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fec84c66b9add70f/Documents/Strategirummet/E2G/Tekster til E2G-platform/"/>
    </mc:Choice>
  </mc:AlternateContent>
  <xr:revisionPtr revIDLastSave="20" documentId="8_{39727887-741E-4287-A41E-10346F9743C7}" xr6:coauthVersionLast="45" xr6:coauthVersionMax="45" xr10:uidLastSave="{AFB50738-1E59-4286-8D24-B17E8D44D63C}"/>
  <bookViews>
    <workbookView xWindow="-120" yWindow="-120" windowWidth="29040" windowHeight="15840" activeTab="6" xr2:uid="{00000000-000D-0000-FFFF-FFFF00000000}"/>
  </bookViews>
  <sheets>
    <sheet name="Energibalance" sheetId="1" r:id="rId1"/>
    <sheet name="Detaljeret opgørelse 2018" sheetId="51" state="hidden" r:id="rId2"/>
    <sheet name="Meta data" sheetId="26" state="hidden" r:id="rId3"/>
    <sheet name="Emissionsfaktorer" sheetId="5" state="hidden" r:id="rId4"/>
    <sheet name="Nøgletal slutforbrug" sheetId="56" r:id="rId5"/>
    <sheet name="Nøgletal trans+distri" sheetId="58" r:id="rId6"/>
    <sheet name="Nøgletal sekundær energi" sheetId="59" r:id="rId7"/>
    <sheet name="Størrelse på strømme" sheetId="50" state="hidden" r:id="rId8"/>
    <sheet name="Detaljeret opgørelse 2017" sheetId="33" state="hidden" r:id="rId9"/>
    <sheet name="Detaljeret opgørelse 2016" sheetId="60" state="hidden" r:id="rId10"/>
    <sheet name="Detaljeret opgørelse 2015" sheetId="61" state="hidden" r:id="rId11"/>
    <sheet name="Detaljeret opgørelse 2014" sheetId="62" state="hidden" r:id="rId12"/>
    <sheet name="2018 (2)" sheetId="57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8" i="59" l="1"/>
  <c r="L2" i="56" l="1"/>
  <c r="AR23" i="1" l="1"/>
  <c r="AR22" i="1"/>
  <c r="K146" i="56" l="1"/>
  <c r="K132" i="56"/>
  <c r="K118" i="56"/>
  <c r="K104" i="56"/>
  <c r="K90" i="56"/>
  <c r="K76" i="56"/>
  <c r="K62" i="56"/>
  <c r="K48" i="56"/>
  <c r="K43" i="56"/>
  <c r="K33" i="56"/>
  <c r="K28" i="56"/>
  <c r="K24" i="56"/>
  <c r="K20" i="56"/>
  <c r="K16" i="56"/>
  <c r="K12" i="56"/>
  <c r="K5" i="56"/>
  <c r="K7" i="56"/>
  <c r="AR7" i="1" l="1"/>
  <c r="AR8" i="1"/>
  <c r="B5" i="58" l="1"/>
  <c r="K26" i="59"/>
  <c r="J2" i="59" l="1"/>
  <c r="H2" i="59"/>
  <c r="F2" i="59"/>
  <c r="D2" i="59"/>
  <c r="M104" i="59" l="1"/>
  <c r="M94" i="59"/>
  <c r="M86" i="59"/>
  <c r="M82" i="59"/>
  <c r="M71" i="59"/>
  <c r="M63" i="59"/>
  <c r="M55" i="59"/>
  <c r="M47" i="59"/>
  <c r="M44" i="59"/>
  <c r="M21" i="59"/>
  <c r="M15" i="59"/>
  <c r="M7" i="59"/>
  <c r="M156" i="56"/>
  <c r="L146" i="56" s="1"/>
  <c r="S39" i="1" s="1"/>
  <c r="M142" i="56"/>
  <c r="L132" i="56" s="1"/>
  <c r="S38" i="1" s="1"/>
  <c r="M128" i="56"/>
  <c r="L118" i="56" s="1"/>
  <c r="S44" i="1" s="1"/>
  <c r="M114" i="56"/>
  <c r="L104" i="56" s="1"/>
  <c r="S43" i="1" s="1"/>
  <c r="M100" i="56"/>
  <c r="L90" i="56" s="1"/>
  <c r="S42" i="1" s="1"/>
  <c r="M86" i="56"/>
  <c r="L76" i="56" s="1"/>
  <c r="S41" i="1" s="1"/>
  <c r="M72" i="56"/>
  <c r="L62" i="56" s="1"/>
  <c r="S49" i="1" s="1"/>
  <c r="M58" i="56"/>
  <c r="L48" i="56" s="1"/>
  <c r="S48" i="1" s="1"/>
  <c r="M46" i="56"/>
  <c r="L43" i="56" s="1"/>
  <c r="S47" i="1" s="1"/>
  <c r="M40" i="56"/>
  <c r="L33" i="56" s="1"/>
  <c r="S46" i="1" s="1"/>
  <c r="M31" i="56"/>
  <c r="L28" i="56" s="1"/>
  <c r="S36" i="1" s="1"/>
  <c r="M26" i="56"/>
  <c r="L24" i="56" s="1"/>
  <c r="S35" i="1" s="1"/>
  <c r="M22" i="56"/>
  <c r="M18" i="56"/>
  <c r="L16" i="56" s="1"/>
  <c r="S33" i="1" s="1"/>
  <c r="M14" i="56"/>
  <c r="L12" i="56" s="1"/>
  <c r="S32" i="1" s="1"/>
  <c r="M10" i="56"/>
  <c r="L20" i="56" l="1"/>
  <c r="S34" i="1" s="1"/>
  <c r="L7" i="56"/>
  <c r="S31" i="1" s="1"/>
  <c r="L5" i="56"/>
  <c r="S50" i="1" s="1"/>
  <c r="I146" i="56"/>
  <c r="I132" i="56"/>
  <c r="I118" i="56"/>
  <c r="I104" i="56"/>
  <c r="I90" i="56"/>
  <c r="I76" i="56"/>
  <c r="I62" i="56"/>
  <c r="I48" i="56"/>
  <c r="I43" i="56"/>
  <c r="I33" i="56"/>
  <c r="I28" i="56"/>
  <c r="I24" i="56"/>
  <c r="I20" i="56"/>
  <c r="I16" i="56"/>
  <c r="I12" i="56"/>
  <c r="I7" i="56"/>
  <c r="I5" i="56"/>
  <c r="G146" i="56"/>
  <c r="G132" i="56"/>
  <c r="G118" i="56"/>
  <c r="G104" i="56"/>
  <c r="G90" i="56"/>
  <c r="G76" i="56"/>
  <c r="G62" i="56"/>
  <c r="G48" i="56"/>
  <c r="G43" i="56"/>
  <c r="G33" i="56"/>
  <c r="G28" i="56"/>
  <c r="G24" i="56"/>
  <c r="G20" i="56"/>
  <c r="G16" i="56"/>
  <c r="G12" i="56"/>
  <c r="G7" i="56"/>
  <c r="G5" i="56"/>
  <c r="L27" i="59"/>
  <c r="AB6" i="1" s="1"/>
  <c r="L28" i="59"/>
  <c r="AD6" i="1" s="1"/>
  <c r="L29" i="59"/>
  <c r="AC6" i="1" s="1"/>
  <c r="E6" i="1" s="1"/>
  <c r="AR6" i="1" s="1"/>
  <c r="L30" i="59"/>
  <c r="AE6" i="1" s="1"/>
  <c r="L31" i="59"/>
  <c r="AF6" i="1" s="1"/>
  <c r="H7" i="1" s="1"/>
  <c r="AC7" i="1" s="1"/>
  <c r="L32" i="59"/>
  <c r="AK6" i="1" s="1"/>
  <c r="L26" i="59"/>
  <c r="AA6" i="1" s="1"/>
  <c r="K32" i="59"/>
  <c r="K31" i="59"/>
  <c r="K30" i="59"/>
  <c r="K29" i="59"/>
  <c r="K28" i="59"/>
  <c r="K27" i="59"/>
  <c r="I32" i="59"/>
  <c r="I31" i="59"/>
  <c r="I30" i="59"/>
  <c r="I29" i="59"/>
  <c r="I28" i="59"/>
  <c r="I27" i="59"/>
  <c r="I26" i="59"/>
  <c r="G32" i="59"/>
  <c r="G31" i="59"/>
  <c r="G30" i="59"/>
  <c r="G29" i="59"/>
  <c r="G28" i="59"/>
  <c r="G27" i="59"/>
  <c r="G26" i="59"/>
  <c r="C158" i="56"/>
  <c r="C157" i="56"/>
  <c r="C156" i="56"/>
  <c r="C155" i="56"/>
  <c r="C154" i="56"/>
  <c r="C153" i="56"/>
  <c r="C152" i="56"/>
  <c r="C151" i="56"/>
  <c r="C150" i="56"/>
  <c r="C149" i="56"/>
  <c r="C148" i="56"/>
  <c r="C147" i="56"/>
  <c r="B146" i="56"/>
  <c r="E146" i="56" s="1"/>
  <c r="C144" i="56"/>
  <c r="C143" i="56"/>
  <c r="C142" i="56"/>
  <c r="C141" i="56"/>
  <c r="C140" i="56"/>
  <c r="C139" i="56"/>
  <c r="C138" i="56"/>
  <c r="C137" i="56"/>
  <c r="C136" i="56"/>
  <c r="C135" i="56"/>
  <c r="C134" i="56"/>
  <c r="C133" i="56"/>
  <c r="B132" i="56"/>
  <c r="E132" i="56" s="1"/>
  <c r="C130" i="56"/>
  <c r="C129" i="56"/>
  <c r="C128" i="56"/>
  <c r="C127" i="56"/>
  <c r="C126" i="56"/>
  <c r="C125" i="56"/>
  <c r="C124" i="56"/>
  <c r="C123" i="56"/>
  <c r="C122" i="56"/>
  <c r="C121" i="56"/>
  <c r="C120" i="56"/>
  <c r="C119" i="56"/>
  <c r="B118" i="56"/>
  <c r="E118" i="56" s="1"/>
  <c r="C116" i="56"/>
  <c r="C115" i="56"/>
  <c r="C114" i="56"/>
  <c r="C113" i="56"/>
  <c r="C112" i="56"/>
  <c r="C111" i="56"/>
  <c r="C110" i="56"/>
  <c r="C109" i="56"/>
  <c r="C108" i="56"/>
  <c r="C107" i="56"/>
  <c r="C106" i="56"/>
  <c r="C105" i="56"/>
  <c r="B104" i="56"/>
  <c r="E104" i="56" s="1"/>
  <c r="C102" i="56"/>
  <c r="C101" i="56"/>
  <c r="C100" i="56"/>
  <c r="C99" i="56"/>
  <c r="C98" i="56"/>
  <c r="C97" i="56"/>
  <c r="C96" i="56"/>
  <c r="C95" i="56"/>
  <c r="C94" i="56"/>
  <c r="C93" i="56"/>
  <c r="C92" i="56"/>
  <c r="C91" i="56"/>
  <c r="B90" i="56"/>
  <c r="E90" i="56" s="1"/>
  <c r="C88" i="56"/>
  <c r="C87" i="56"/>
  <c r="C86" i="56"/>
  <c r="C85" i="56"/>
  <c r="C84" i="56"/>
  <c r="C83" i="56"/>
  <c r="C82" i="56"/>
  <c r="C81" i="56"/>
  <c r="C80" i="56"/>
  <c r="C79" i="56"/>
  <c r="C78" i="56"/>
  <c r="C77" i="56"/>
  <c r="B76" i="56"/>
  <c r="E76" i="56" s="1"/>
  <c r="C74" i="56"/>
  <c r="C73" i="56"/>
  <c r="C72" i="56"/>
  <c r="C71" i="56"/>
  <c r="C70" i="56"/>
  <c r="C69" i="56"/>
  <c r="C68" i="56"/>
  <c r="C67" i="56"/>
  <c r="C66" i="56"/>
  <c r="C65" i="56"/>
  <c r="C64" i="56"/>
  <c r="C63" i="56"/>
  <c r="B62" i="56"/>
  <c r="E62" i="56" s="1"/>
  <c r="C60" i="56"/>
  <c r="C59" i="56"/>
  <c r="C58" i="56"/>
  <c r="C57" i="56"/>
  <c r="C56" i="56"/>
  <c r="C55" i="56"/>
  <c r="C54" i="56"/>
  <c r="C53" i="56"/>
  <c r="C52" i="56"/>
  <c r="C51" i="56"/>
  <c r="C50" i="56"/>
  <c r="C49" i="56"/>
  <c r="B48" i="56"/>
  <c r="E48" i="56" s="1"/>
  <c r="C47" i="56"/>
  <c r="C46" i="56"/>
  <c r="C45" i="56"/>
  <c r="C44" i="56"/>
  <c r="B43" i="56"/>
  <c r="E43" i="56" s="1"/>
  <c r="C42" i="56"/>
  <c r="C41" i="56"/>
  <c r="C40" i="56"/>
  <c r="C39" i="56"/>
  <c r="C38" i="56"/>
  <c r="C37" i="56"/>
  <c r="C36" i="56"/>
  <c r="C35" i="56"/>
  <c r="C34" i="56"/>
  <c r="B33" i="56"/>
  <c r="E33" i="56" s="1"/>
  <c r="C32" i="56"/>
  <c r="C31" i="56"/>
  <c r="C30" i="56"/>
  <c r="C29" i="56"/>
  <c r="B28" i="56"/>
  <c r="E28" i="56" s="1"/>
  <c r="C27" i="56"/>
  <c r="C26" i="56"/>
  <c r="C25" i="56"/>
  <c r="B24" i="56"/>
  <c r="E24" i="56" s="1"/>
  <c r="C23" i="56"/>
  <c r="C22" i="56"/>
  <c r="C21" i="56"/>
  <c r="B20" i="56"/>
  <c r="E20" i="56" s="1"/>
  <c r="C19" i="56"/>
  <c r="C18" i="56"/>
  <c r="C17" i="56"/>
  <c r="B16" i="56"/>
  <c r="E16" i="56" s="1"/>
  <c r="C15" i="56"/>
  <c r="C14" i="56"/>
  <c r="C13" i="56"/>
  <c r="B12" i="56"/>
  <c r="E12" i="56" s="1"/>
  <c r="C11" i="56"/>
  <c r="C10" i="56"/>
  <c r="C9" i="56"/>
  <c r="C8" i="56"/>
  <c r="B7" i="56"/>
  <c r="E7" i="56" s="1"/>
  <c r="B5" i="56"/>
  <c r="E5" i="56" s="1"/>
  <c r="B4" i="58"/>
  <c r="B120" i="59"/>
  <c r="B117" i="59"/>
  <c r="B116" i="59"/>
  <c r="B115" i="59"/>
  <c r="B114" i="59"/>
  <c r="B113" i="59"/>
  <c r="B112" i="59"/>
  <c r="B111" i="59"/>
  <c r="B110" i="59"/>
  <c r="B109" i="59"/>
  <c r="B108" i="59"/>
  <c r="B107" i="59"/>
  <c r="B106" i="59"/>
  <c r="B5" i="59"/>
  <c r="C104" i="59"/>
  <c r="C103" i="59"/>
  <c r="C102" i="59"/>
  <c r="C100" i="59"/>
  <c r="C99" i="59"/>
  <c r="C98" i="59"/>
  <c r="C97" i="59"/>
  <c r="C96" i="59"/>
  <c r="C95" i="59"/>
  <c r="C93" i="59"/>
  <c r="C92" i="59"/>
  <c r="C91" i="59"/>
  <c r="C88" i="59"/>
  <c r="C87" i="59"/>
  <c r="C86" i="59"/>
  <c r="C85" i="59"/>
  <c r="C84" i="59"/>
  <c r="C83" i="59"/>
  <c r="C81" i="59"/>
  <c r="C80" i="59"/>
  <c r="C79" i="59"/>
  <c r="C76" i="59"/>
  <c r="C75" i="59"/>
  <c r="C74" i="59"/>
  <c r="C73" i="59"/>
  <c r="C72" i="59"/>
  <c r="C71" i="59"/>
  <c r="C68" i="59"/>
  <c r="C67" i="59"/>
  <c r="C66" i="59"/>
  <c r="C65" i="59"/>
  <c r="C64" i="59"/>
  <c r="C63" i="59"/>
  <c r="C60" i="59"/>
  <c r="C59" i="59"/>
  <c r="C58" i="59"/>
  <c r="C57" i="59"/>
  <c r="C56" i="59"/>
  <c r="C55" i="59"/>
  <c r="C52" i="59"/>
  <c r="C51" i="59"/>
  <c r="C50" i="59"/>
  <c r="C49" i="59"/>
  <c r="C48" i="59"/>
  <c r="C47" i="59"/>
  <c r="C44" i="59"/>
  <c r="C43" i="59"/>
  <c r="C42" i="59"/>
  <c r="C41" i="59"/>
  <c r="C40" i="59"/>
  <c r="C39" i="59"/>
  <c r="C36" i="59"/>
  <c r="C34" i="59"/>
  <c r="B32" i="59"/>
  <c r="E32" i="59" s="1"/>
  <c r="B31" i="59"/>
  <c r="E31" i="59" s="1"/>
  <c r="B30" i="59"/>
  <c r="E30" i="59" s="1"/>
  <c r="B29" i="59"/>
  <c r="E29" i="59" s="1"/>
  <c r="B28" i="59"/>
  <c r="E28" i="59" s="1"/>
  <c r="B27" i="59"/>
  <c r="E27" i="59" s="1"/>
  <c r="B26" i="59"/>
  <c r="E26" i="59" s="1"/>
  <c r="C24" i="59"/>
  <c r="C22" i="59"/>
  <c r="C21" i="59"/>
  <c r="C19" i="59"/>
  <c r="C18" i="59"/>
  <c r="C17" i="59"/>
  <c r="C16" i="59"/>
  <c r="C15" i="59"/>
  <c r="C12" i="59"/>
  <c r="C11" i="59"/>
  <c r="C10" i="59"/>
  <c r="C9" i="59"/>
  <c r="C8" i="59"/>
  <c r="C7" i="59"/>
  <c r="L4" i="56"/>
  <c r="M4" i="56"/>
  <c r="L6" i="56"/>
  <c r="M6" i="56"/>
  <c r="L8" i="56"/>
  <c r="L9" i="56"/>
  <c r="L10" i="56"/>
  <c r="L11" i="56"/>
  <c r="L13" i="56"/>
  <c r="L14" i="56"/>
  <c r="L15" i="56"/>
  <c r="L17" i="56"/>
  <c r="L18" i="56"/>
  <c r="L19" i="56"/>
  <c r="L21" i="56"/>
  <c r="L22" i="56"/>
  <c r="L23" i="56"/>
  <c r="L25" i="56"/>
  <c r="L26" i="56"/>
  <c r="L27" i="56"/>
  <c r="L29" i="56"/>
  <c r="L30" i="56"/>
  <c r="L31" i="56"/>
  <c r="L32" i="56"/>
  <c r="L34" i="56"/>
  <c r="L35" i="56"/>
  <c r="L36" i="56"/>
  <c r="L37" i="56"/>
  <c r="L38" i="56"/>
  <c r="L39" i="56"/>
  <c r="L40" i="56"/>
  <c r="L41" i="56"/>
  <c r="L42" i="56"/>
  <c r="L44" i="56"/>
  <c r="L45" i="56"/>
  <c r="L46" i="56"/>
  <c r="L47" i="56"/>
  <c r="L49" i="56"/>
  <c r="L50" i="56"/>
  <c r="L51" i="56"/>
  <c r="L52" i="56"/>
  <c r="L53" i="56"/>
  <c r="L54" i="56"/>
  <c r="L55" i="56"/>
  <c r="L56" i="56"/>
  <c r="L57" i="56"/>
  <c r="L58" i="56"/>
  <c r="L59" i="56"/>
  <c r="L60" i="56"/>
  <c r="L61" i="56"/>
  <c r="L63" i="56"/>
  <c r="L64" i="56"/>
  <c r="L65" i="56"/>
  <c r="L66" i="56"/>
  <c r="L67" i="56"/>
  <c r="L68" i="56"/>
  <c r="L69" i="56"/>
  <c r="L70" i="56"/>
  <c r="L71" i="56"/>
  <c r="L72" i="56"/>
  <c r="L73" i="56"/>
  <c r="L74" i="56"/>
  <c r="L75" i="56"/>
  <c r="L77" i="56"/>
  <c r="L78" i="56"/>
  <c r="L79" i="56"/>
  <c r="L80" i="56"/>
  <c r="L81" i="56"/>
  <c r="L82" i="56"/>
  <c r="L83" i="56"/>
  <c r="L84" i="56"/>
  <c r="L85" i="56"/>
  <c r="L86" i="56"/>
  <c r="L87" i="56"/>
  <c r="L88" i="56"/>
  <c r="L89" i="56"/>
  <c r="L91" i="56"/>
  <c r="L92" i="56"/>
  <c r="L93" i="56"/>
  <c r="L94" i="56"/>
  <c r="L95" i="56"/>
  <c r="L96" i="56"/>
  <c r="L97" i="56"/>
  <c r="L98" i="56"/>
  <c r="L99" i="56"/>
  <c r="L100" i="56"/>
  <c r="L101" i="56"/>
  <c r="L102" i="56"/>
  <c r="L103" i="56"/>
  <c r="L105" i="56"/>
  <c r="L106" i="56"/>
  <c r="L107" i="56"/>
  <c r="L108" i="56"/>
  <c r="L109" i="56"/>
  <c r="L110" i="56"/>
  <c r="L111" i="56"/>
  <c r="L112" i="56"/>
  <c r="L113" i="56"/>
  <c r="L114" i="56"/>
  <c r="L115" i="56"/>
  <c r="L116" i="56"/>
  <c r="L117" i="56"/>
  <c r="L119" i="56"/>
  <c r="L120" i="56"/>
  <c r="L121" i="56"/>
  <c r="L122" i="56"/>
  <c r="L123" i="56"/>
  <c r="L124" i="56"/>
  <c r="L125" i="56"/>
  <c r="L126" i="56"/>
  <c r="L127" i="56"/>
  <c r="L128" i="56"/>
  <c r="L129" i="56"/>
  <c r="L130" i="56"/>
  <c r="L131" i="56"/>
  <c r="L133" i="56"/>
  <c r="L134" i="56"/>
  <c r="L135" i="56"/>
  <c r="L136" i="56"/>
  <c r="L137" i="56"/>
  <c r="L138" i="56"/>
  <c r="L139" i="56"/>
  <c r="L140" i="56"/>
  <c r="L141" i="56"/>
  <c r="L142" i="56"/>
  <c r="L143" i="56"/>
  <c r="L144" i="56"/>
  <c r="L145" i="56"/>
  <c r="L147" i="56"/>
  <c r="L148" i="56"/>
  <c r="L149" i="56"/>
  <c r="L150" i="56"/>
  <c r="L151" i="56"/>
  <c r="L152" i="56"/>
  <c r="L153" i="56"/>
  <c r="L154" i="56"/>
  <c r="L155" i="56"/>
  <c r="L156" i="56"/>
  <c r="L157" i="56"/>
  <c r="L158" i="56"/>
  <c r="L159" i="56"/>
  <c r="H4" i="56"/>
  <c r="I4" i="56"/>
  <c r="F4" i="56"/>
  <c r="G4" i="56"/>
  <c r="D4" i="56"/>
  <c r="E4" i="56"/>
  <c r="C20" i="59" l="1"/>
  <c r="C82" i="59"/>
  <c r="N50" i="1"/>
  <c r="C94" i="59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A45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A40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A37" i="1"/>
  <c r="AB30" i="1"/>
  <c r="AC30" i="1"/>
  <c r="AD30" i="1"/>
  <c r="AD28" i="1" s="1"/>
  <c r="AE30" i="1"/>
  <c r="AF30" i="1"/>
  <c r="AG30" i="1"/>
  <c r="AH30" i="1"/>
  <c r="AH28" i="1" s="1"/>
  <c r="AI30" i="1"/>
  <c r="AJ30" i="1"/>
  <c r="AJ28" i="1" s="1"/>
  <c r="AK30" i="1"/>
  <c r="AL30" i="1"/>
  <c r="AM30" i="1"/>
  <c r="AN30" i="1"/>
  <c r="AO30" i="1"/>
  <c r="AP30" i="1"/>
  <c r="AA30" i="1"/>
  <c r="AA28" i="1" s="1"/>
  <c r="AB28" i="1"/>
  <c r="AF28" i="1"/>
  <c r="AG28" i="1"/>
  <c r="AN28" i="1"/>
  <c r="AO28" i="1"/>
  <c r="AQ23" i="1"/>
  <c r="AG5" i="1"/>
  <c r="I9" i="1" s="1"/>
  <c r="AH5" i="1"/>
  <c r="J9" i="1" s="1"/>
  <c r="AI5" i="1"/>
  <c r="K9" i="1" s="1"/>
  <c r="AJ5" i="1"/>
  <c r="L9" i="1" s="1"/>
  <c r="AL5" i="1"/>
  <c r="N9" i="1" s="1"/>
  <c r="AM5" i="1"/>
  <c r="O9" i="1" s="1"/>
  <c r="AN5" i="1"/>
  <c r="P9" i="1" s="1"/>
  <c r="AO5" i="1"/>
  <c r="Q9" i="1" s="1"/>
  <c r="AP5" i="1"/>
  <c r="AK28" i="1" l="1"/>
  <c r="AC28" i="1"/>
  <c r="AL28" i="1"/>
  <c r="AP28" i="1"/>
  <c r="AM28" i="1"/>
  <c r="AI28" i="1"/>
  <c r="AE28" i="1"/>
  <c r="D14" i="1"/>
  <c r="I14" i="1"/>
  <c r="J14" i="1"/>
  <c r="K14" i="1"/>
  <c r="L14" i="1"/>
  <c r="O14" i="1"/>
  <c r="P14" i="1"/>
  <c r="Q14" i="1"/>
  <c r="C14" i="1"/>
  <c r="S8" i="1"/>
  <c r="S10" i="1"/>
  <c r="S12" i="1"/>
  <c r="D18" i="1"/>
  <c r="L18" i="1"/>
  <c r="P18" i="1"/>
  <c r="Q18" i="1"/>
  <c r="C18" i="1"/>
  <c r="C13" i="1" l="1"/>
  <c r="D13" i="1"/>
  <c r="D11" i="1" s="1"/>
  <c r="Q13" i="1"/>
  <c r="Q11" i="1" s="1"/>
  <c r="S6" i="1"/>
  <c r="AQ6" i="1" s="1"/>
  <c r="P13" i="1"/>
  <c r="AR5" i="1"/>
  <c r="S5" i="1"/>
  <c r="S7" i="1"/>
  <c r="X6" i="1" l="1"/>
  <c r="X7" i="1"/>
  <c r="AQ7" i="1" s="1"/>
  <c r="AQ5" i="1" s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AB18" i="1"/>
  <c r="AC18" i="1"/>
  <c r="AD18" i="1"/>
  <c r="AE18" i="1"/>
  <c r="AF18" i="1"/>
  <c r="AG18" i="1"/>
  <c r="AH18" i="1"/>
  <c r="AI18" i="1"/>
  <c r="AJ18" i="1"/>
  <c r="AK18" i="1"/>
  <c r="AL18" i="1"/>
  <c r="AO18" i="1"/>
  <c r="AP18" i="1"/>
  <c r="AA18" i="1"/>
  <c r="AB14" i="1"/>
  <c r="AB13" i="1" s="1"/>
  <c r="AC14" i="1"/>
  <c r="AD14" i="1"/>
  <c r="AE14" i="1"/>
  <c r="AE13" i="1" s="1"/>
  <c r="AF14" i="1"/>
  <c r="AF13" i="1" s="1"/>
  <c r="AG14" i="1"/>
  <c r="AH14" i="1"/>
  <c r="AI14" i="1"/>
  <c r="AI13" i="1" s="1"/>
  <c r="AJ14" i="1"/>
  <c r="AJ13" i="1" s="1"/>
  <c r="AK14" i="1"/>
  <c r="AL14" i="1"/>
  <c r="AO14" i="1"/>
  <c r="AO13" i="1" s="1"/>
  <c r="AP14" i="1"/>
  <c r="AP13" i="1" s="1"/>
  <c r="AA14" i="1"/>
  <c r="AL13" i="1" l="1"/>
  <c r="AH13" i="1"/>
  <c r="AD13" i="1"/>
  <c r="AA13" i="1"/>
  <c r="AK13" i="1"/>
  <c r="AG13" i="1"/>
  <c r="AC13" i="1"/>
  <c r="AQ48" i="1"/>
  <c r="AQ35" i="1"/>
  <c r="AQ32" i="1"/>
  <c r="AQ34" i="1"/>
  <c r="K30" i="1"/>
  <c r="O42" i="1" l="1"/>
  <c r="F42" i="1"/>
  <c r="Q42" i="1"/>
  <c r="K42" i="1"/>
  <c r="J42" i="1"/>
  <c r="G42" i="1"/>
  <c r="I42" i="1"/>
  <c r="H42" i="1"/>
  <c r="M42" i="1"/>
  <c r="L42" i="1"/>
  <c r="P42" i="1"/>
  <c r="E42" i="1"/>
  <c r="N42" i="1"/>
  <c r="P43" i="1"/>
  <c r="M43" i="1"/>
  <c r="J43" i="1"/>
  <c r="L43" i="1"/>
  <c r="O43" i="1"/>
  <c r="Q43" i="1"/>
  <c r="H43" i="1"/>
  <c r="K43" i="1"/>
  <c r="I43" i="1"/>
  <c r="F43" i="1"/>
  <c r="G43" i="1"/>
  <c r="E43" i="1"/>
  <c r="N43" i="1"/>
  <c r="E36" i="1"/>
  <c r="M36" i="1"/>
  <c r="O36" i="1"/>
  <c r="N36" i="1"/>
  <c r="O41" i="1"/>
  <c r="M41" i="1"/>
  <c r="F41" i="1"/>
  <c r="I41" i="1"/>
  <c r="Q41" i="1"/>
  <c r="J41" i="1"/>
  <c r="G41" i="1"/>
  <c r="H41" i="1"/>
  <c r="L41" i="1"/>
  <c r="K41" i="1"/>
  <c r="E41" i="1"/>
  <c r="P41" i="1"/>
  <c r="N41" i="1"/>
  <c r="AQ42" i="1"/>
  <c r="AQ43" i="1"/>
  <c r="AQ36" i="1"/>
  <c r="AQ41" i="1"/>
  <c r="M46" i="1"/>
  <c r="E46" i="1"/>
  <c r="F46" i="1"/>
  <c r="O46" i="1"/>
  <c r="P46" i="1"/>
  <c r="K46" i="1"/>
  <c r="L46" i="1"/>
  <c r="H46" i="1"/>
  <c r="N46" i="1"/>
  <c r="O39" i="1"/>
  <c r="M39" i="1"/>
  <c r="E39" i="1"/>
  <c r="J39" i="1"/>
  <c r="I39" i="1"/>
  <c r="F39" i="1"/>
  <c r="L39" i="1"/>
  <c r="Q39" i="1"/>
  <c r="G39" i="1"/>
  <c r="P39" i="1"/>
  <c r="K39" i="1"/>
  <c r="H39" i="1"/>
  <c r="N39" i="1"/>
  <c r="O47" i="1"/>
  <c r="M47" i="1"/>
  <c r="L47" i="1"/>
  <c r="N47" i="1"/>
  <c r="AR47" i="1" s="1"/>
  <c r="M49" i="1"/>
  <c r="L49" i="1"/>
  <c r="G49" i="1"/>
  <c r="H49" i="1"/>
  <c r="J49" i="1"/>
  <c r="E49" i="1"/>
  <c r="O49" i="1"/>
  <c r="F49" i="1"/>
  <c r="P49" i="1"/>
  <c r="K49" i="1"/>
  <c r="I49" i="1"/>
  <c r="N49" i="1"/>
  <c r="O34" i="1"/>
  <c r="M34" i="1"/>
  <c r="N34" i="1"/>
  <c r="AR34" i="1" s="1"/>
  <c r="O32" i="1"/>
  <c r="M32" i="1"/>
  <c r="N32" i="1"/>
  <c r="AR32" i="1" s="1"/>
  <c r="M35" i="1"/>
  <c r="O35" i="1"/>
  <c r="N35" i="1"/>
  <c r="AR35" i="1" s="1"/>
  <c r="M48" i="1"/>
  <c r="P48" i="1"/>
  <c r="K48" i="1"/>
  <c r="I48" i="1"/>
  <c r="L48" i="1"/>
  <c r="J48" i="1"/>
  <c r="E48" i="1"/>
  <c r="H48" i="1"/>
  <c r="F48" i="1"/>
  <c r="G48" i="1"/>
  <c r="O48" i="1"/>
  <c r="N48" i="1"/>
  <c r="E38" i="1"/>
  <c r="H38" i="1"/>
  <c r="J38" i="1"/>
  <c r="M38" i="1"/>
  <c r="Q38" i="1"/>
  <c r="F38" i="1"/>
  <c r="K38" i="1"/>
  <c r="I38" i="1"/>
  <c r="L38" i="1"/>
  <c r="P38" i="1"/>
  <c r="G38" i="1"/>
  <c r="O38" i="1"/>
  <c r="N38" i="1"/>
  <c r="E31" i="1"/>
  <c r="M31" i="1"/>
  <c r="O31" i="1"/>
  <c r="N31" i="1"/>
  <c r="O44" i="1"/>
  <c r="E44" i="1"/>
  <c r="M44" i="1"/>
  <c r="G44" i="1"/>
  <c r="J44" i="1"/>
  <c r="P44" i="1"/>
  <c r="Q44" i="1"/>
  <c r="F44" i="1"/>
  <c r="H44" i="1"/>
  <c r="K44" i="1"/>
  <c r="L44" i="1"/>
  <c r="I44" i="1"/>
  <c r="N44" i="1"/>
  <c r="O33" i="1"/>
  <c r="M33" i="1"/>
  <c r="N33" i="1"/>
  <c r="AR33" i="1" s="1"/>
  <c r="AQ38" i="1"/>
  <c r="AQ46" i="1"/>
  <c r="AQ31" i="1"/>
  <c r="AQ39" i="1"/>
  <c r="AQ47" i="1"/>
  <c r="AQ44" i="1"/>
  <c r="AQ33" i="1"/>
  <c r="AQ49" i="1"/>
  <c r="D45" i="1"/>
  <c r="Q45" i="1"/>
  <c r="C45" i="1"/>
  <c r="D40" i="1"/>
  <c r="C40" i="1"/>
  <c r="D37" i="1"/>
  <c r="C37" i="1"/>
  <c r="D30" i="1"/>
  <c r="F30" i="1"/>
  <c r="G30" i="1"/>
  <c r="H30" i="1"/>
  <c r="I30" i="1"/>
  <c r="J30" i="1"/>
  <c r="P30" i="1"/>
  <c r="Q30" i="1"/>
  <c r="C30" i="1"/>
  <c r="B80" i="51"/>
  <c r="AR39" i="1" l="1"/>
  <c r="AR36" i="1"/>
  <c r="AQ37" i="1"/>
  <c r="AR31" i="1"/>
  <c r="AR42" i="1"/>
  <c r="AQ30" i="1"/>
  <c r="AR38" i="1"/>
  <c r="AR49" i="1"/>
  <c r="AQ40" i="1"/>
  <c r="AQ45" i="1"/>
  <c r="AR44" i="1"/>
  <c r="AR48" i="1"/>
  <c r="AR46" i="1"/>
  <c r="AR41" i="1"/>
  <c r="AR43" i="1"/>
  <c r="D29" i="1"/>
  <c r="D28" i="1" s="1"/>
  <c r="AQ28" i="1" l="1"/>
  <c r="AB8" i="1"/>
  <c r="AB5" i="1" s="1"/>
  <c r="D9" i="1" s="1"/>
  <c r="AB9" i="1"/>
  <c r="K37" i="1" l="1"/>
  <c r="L40" i="1"/>
  <c r="O40" i="1"/>
  <c r="F40" i="1"/>
  <c r="K40" i="1"/>
  <c r="P40" i="1"/>
  <c r="N45" i="1"/>
  <c r="K45" i="1"/>
  <c r="N37" i="1"/>
  <c r="G37" i="1"/>
  <c r="F37" i="1"/>
  <c r="J37" i="1"/>
  <c r="H37" i="1"/>
  <c r="M45" i="1"/>
  <c r="P45" i="1"/>
  <c r="F45" i="1"/>
  <c r="O45" i="1"/>
  <c r="E45" i="1"/>
  <c r="E37" i="1"/>
  <c r="E40" i="1"/>
  <c r="I37" i="1"/>
  <c r="Q37" i="1"/>
  <c r="G45" i="1"/>
  <c r="H40" i="1"/>
  <c r="N40" i="1"/>
  <c r="P37" i="1"/>
  <c r="G40" i="1"/>
  <c r="M40" i="1"/>
  <c r="Q40" i="1"/>
  <c r="L45" i="1"/>
  <c r="O37" i="1"/>
  <c r="I40" i="1"/>
  <c r="H45" i="1"/>
  <c r="I45" i="1"/>
  <c r="L37" i="1"/>
  <c r="J45" i="1"/>
  <c r="Q28" i="1" l="1"/>
  <c r="I28" i="1"/>
  <c r="AG27" i="1" s="1"/>
  <c r="K28" i="1"/>
  <c r="AI27" i="1" s="1"/>
  <c r="M37" i="1"/>
  <c r="S37" i="1" s="1"/>
  <c r="AR40" i="1"/>
  <c r="J40" i="1"/>
  <c r="AR37" i="1"/>
  <c r="AR45" i="1"/>
  <c r="M30" i="1"/>
  <c r="L30" i="1"/>
  <c r="L28" i="1" s="1"/>
  <c r="S45" i="1"/>
  <c r="AL4" i="1"/>
  <c r="Z4" i="1"/>
  <c r="AQ4" i="1" s="1"/>
  <c r="AJ27" i="1" l="1"/>
  <c r="J28" i="1"/>
  <c r="AH27" i="1" s="1"/>
  <c r="S40" i="1"/>
  <c r="N30" i="1"/>
  <c r="N29" i="1" s="1"/>
  <c r="N28" i="1" s="1"/>
  <c r="O30" i="1"/>
  <c r="E51" i="50"/>
  <c r="X27" i="1" l="1"/>
  <c r="AL12" i="1"/>
  <c r="AR30" i="1"/>
  <c r="AR28" i="1" s="1"/>
  <c r="C55" i="50" s="1"/>
  <c r="E30" i="1"/>
  <c r="S30" i="1" l="1"/>
  <c r="B2" i="56"/>
  <c r="C11" i="50" l="1"/>
  <c r="E11" i="50" s="1"/>
  <c r="C32" i="50" l="1"/>
  <c r="E32" i="50" s="1"/>
  <c r="W45" i="1" s="1"/>
  <c r="C30" i="50"/>
  <c r="E30" i="50" s="1"/>
  <c r="W40" i="1" s="1"/>
  <c r="C28" i="50"/>
  <c r="E28" i="50" s="1"/>
  <c r="W37" i="1" s="1"/>
  <c r="C26" i="50" l="1"/>
  <c r="E26" i="50" s="1"/>
  <c r="W30" i="1" s="1"/>
  <c r="C42" i="50" l="1"/>
  <c r="E42" i="50" s="1"/>
  <c r="C38" i="50"/>
  <c r="E38" i="50" s="1"/>
  <c r="C40" i="50"/>
  <c r="E40" i="50" s="1"/>
  <c r="C34" i="50" l="1"/>
  <c r="E34" i="50" s="1"/>
  <c r="E55" i="50" l="1"/>
  <c r="AR4" i="1" s="1"/>
  <c r="C36" i="50" l="1"/>
  <c r="E36" i="50" s="1"/>
  <c r="C49" i="50"/>
  <c r="E49" i="50" s="1"/>
  <c r="C48" i="50"/>
  <c r="E48" i="50" s="1"/>
  <c r="C47" i="50" l="1"/>
  <c r="E47" i="50" s="1"/>
  <c r="C14" i="50"/>
  <c r="E14" i="50" s="1"/>
  <c r="O25" i="1" l="1"/>
  <c r="AL26" i="1" l="1"/>
  <c r="N26" i="1" l="1"/>
  <c r="P25" i="1" s="1"/>
  <c r="P29" i="1" l="1"/>
  <c r="P28" i="1" s="1"/>
  <c r="P11" i="1"/>
  <c r="AL11" i="1"/>
  <c r="AN26" i="1" l="1"/>
  <c r="P26" i="1" l="1"/>
  <c r="AN11" i="1" s="1"/>
  <c r="AN17" i="1" l="1"/>
  <c r="AM17" i="1" s="1"/>
  <c r="X17" i="1" s="1"/>
  <c r="AN24" i="1"/>
  <c r="X24" i="1" s="1"/>
  <c r="AN21" i="1"/>
  <c r="X21" i="1" s="1"/>
  <c r="AN16" i="1"/>
  <c r="AM16" i="1" s="1"/>
  <c r="X16" i="1" s="1"/>
  <c r="AN12" i="1"/>
  <c r="AN20" i="1"/>
  <c r="AM20" i="1" s="1"/>
  <c r="X20" i="1" s="1"/>
  <c r="AN14" i="1" l="1"/>
  <c r="M16" i="1"/>
  <c r="E16" i="1"/>
  <c r="H16" i="1"/>
  <c r="G16" i="1"/>
  <c r="N16" i="1"/>
  <c r="F16" i="1"/>
  <c r="M21" i="1"/>
  <c r="G21" i="1"/>
  <c r="K21" i="1"/>
  <c r="K18" i="1" s="1"/>
  <c r="K13" i="1" s="1"/>
  <c r="F21" i="1"/>
  <c r="O21" i="1"/>
  <c r="O18" i="1" s="1"/>
  <c r="O13" i="1" s="1"/>
  <c r="I21" i="1"/>
  <c r="E21" i="1"/>
  <c r="N21" i="1"/>
  <c r="H21" i="1"/>
  <c r="M20" i="1"/>
  <c r="E20" i="1"/>
  <c r="H20" i="1"/>
  <c r="G20" i="1"/>
  <c r="N20" i="1"/>
  <c r="F20" i="1"/>
  <c r="N24" i="1"/>
  <c r="H24" i="1"/>
  <c r="M24" i="1"/>
  <c r="G24" i="1"/>
  <c r="K24" i="1"/>
  <c r="F24" i="1"/>
  <c r="O24" i="1"/>
  <c r="I24" i="1"/>
  <c r="E24" i="1"/>
  <c r="G17" i="1"/>
  <c r="N17" i="1"/>
  <c r="F17" i="1"/>
  <c r="M17" i="1"/>
  <c r="E17" i="1"/>
  <c r="H17" i="1"/>
  <c r="AN18" i="1"/>
  <c r="O11" i="1" l="1"/>
  <c r="AR17" i="1"/>
  <c r="AR16" i="1"/>
  <c r="AR20" i="1"/>
  <c r="AR21" i="1"/>
  <c r="AR24" i="1"/>
  <c r="AN13" i="1"/>
  <c r="O29" i="1"/>
  <c r="K11" i="1"/>
  <c r="AI10" i="1" s="1"/>
  <c r="S24" i="1"/>
  <c r="AQ24" i="1" s="1"/>
  <c r="S21" i="1"/>
  <c r="S17" i="1"/>
  <c r="AQ17" i="1" s="1"/>
  <c r="S20" i="1"/>
  <c r="AQ20" i="1" s="1"/>
  <c r="S16" i="1"/>
  <c r="AQ16" i="1" s="1"/>
  <c r="O28" i="1" l="1"/>
  <c r="AM26" i="1" s="1"/>
  <c r="O26" i="1" l="1"/>
  <c r="AM11" i="1" s="1"/>
  <c r="AM19" i="1" s="1"/>
  <c r="X26" i="1"/>
  <c r="AM12" i="1" l="1"/>
  <c r="X12" i="1" s="1"/>
  <c r="X11" i="1"/>
  <c r="C8" i="50" s="1"/>
  <c r="E8" i="50" s="1"/>
  <c r="AM23" i="1"/>
  <c r="L23" i="1" s="1"/>
  <c r="L13" i="1" s="1"/>
  <c r="L11" i="1" s="1"/>
  <c r="AJ10" i="1" s="1"/>
  <c r="AM15" i="1"/>
  <c r="X15" i="1" s="1"/>
  <c r="AM22" i="1"/>
  <c r="J22" i="1" s="1"/>
  <c r="S22" i="1" s="1"/>
  <c r="S26" i="1"/>
  <c r="C52" i="50" s="1"/>
  <c r="E52" i="50" s="1"/>
  <c r="AM18" i="1"/>
  <c r="X18" i="1" s="1"/>
  <c r="X19" i="1"/>
  <c r="AM14" i="1" l="1"/>
  <c r="X14" i="1" s="1"/>
  <c r="AQ26" i="1"/>
  <c r="C53" i="50" s="1"/>
  <c r="E53" i="50" s="1"/>
  <c r="C10" i="50"/>
  <c r="E10" i="50" s="1"/>
  <c r="X22" i="1"/>
  <c r="AQ22" i="1" s="1"/>
  <c r="O17" i="59"/>
  <c r="I19" i="1"/>
  <c r="O21" i="59" s="1"/>
  <c r="J19" i="1"/>
  <c r="O22" i="59" s="1"/>
  <c r="G15" i="1"/>
  <c r="G14" i="1" s="1"/>
  <c r="N15" i="1"/>
  <c r="N14" i="1" s="1"/>
  <c r="F15" i="1"/>
  <c r="F14" i="1" s="1"/>
  <c r="M15" i="1"/>
  <c r="M14" i="1" s="1"/>
  <c r="E15" i="1"/>
  <c r="H15" i="1"/>
  <c r="H14" i="1" s="1"/>
  <c r="AR15" i="1" l="1"/>
  <c r="AR14" i="1" s="1"/>
  <c r="AM13" i="1"/>
  <c r="X13" i="1" s="1"/>
  <c r="C15" i="50"/>
  <c r="E15" i="50" s="1"/>
  <c r="B7" i="26"/>
  <c r="E19" i="1"/>
  <c r="F19" i="1"/>
  <c r="F18" i="1" s="1"/>
  <c r="F13" i="1" s="1"/>
  <c r="F11" i="1" s="1"/>
  <c r="M19" i="1"/>
  <c r="M18" i="1" s="1"/>
  <c r="M13" i="1" s="1"/>
  <c r="M11" i="1" s="1"/>
  <c r="H19" i="1"/>
  <c r="H18" i="1" s="1"/>
  <c r="H13" i="1" s="1"/>
  <c r="H11" i="1" s="1"/>
  <c r="N19" i="1"/>
  <c r="N18" i="1" s="1"/>
  <c r="N13" i="1" s="1"/>
  <c r="N11" i="1" s="1"/>
  <c r="G19" i="1"/>
  <c r="I18" i="1"/>
  <c r="I13" i="1" s="1"/>
  <c r="I11" i="1" s="1"/>
  <c r="AG10" i="1" s="1"/>
  <c r="J18" i="1"/>
  <c r="J13" i="1" s="1"/>
  <c r="J11" i="1" s="1"/>
  <c r="AH10" i="1" s="1"/>
  <c r="C18" i="50" s="1"/>
  <c r="E18" i="50" s="1"/>
  <c r="E14" i="1"/>
  <c r="S15" i="1"/>
  <c r="AQ15" i="1" s="1"/>
  <c r="AQ14" i="1" s="1"/>
  <c r="AR19" i="1" l="1"/>
  <c r="AR18" i="1" s="1"/>
  <c r="AR13" i="1" s="1"/>
  <c r="M29" i="1"/>
  <c r="F29" i="1"/>
  <c r="F28" i="1" s="1"/>
  <c r="H29" i="1"/>
  <c r="G18" i="1"/>
  <c r="G13" i="1" s="1"/>
  <c r="G11" i="1" s="1"/>
  <c r="X10" i="1"/>
  <c r="C6" i="50" s="1"/>
  <c r="E6" i="50" s="1"/>
  <c r="AL25" i="1"/>
  <c r="AR25" i="1" s="1"/>
  <c r="S19" i="1"/>
  <c r="AQ19" i="1" s="1"/>
  <c r="AQ18" i="1" s="1"/>
  <c r="AQ13" i="1" s="1"/>
  <c r="E18" i="1"/>
  <c r="S14" i="1"/>
  <c r="C22" i="50" s="1"/>
  <c r="E22" i="50" s="1"/>
  <c r="W14" i="1" s="1"/>
  <c r="H28" i="1" l="1"/>
  <c r="AF8" i="1" s="1"/>
  <c r="AF5" i="1" s="1"/>
  <c r="H9" i="1" s="1"/>
  <c r="M28" i="1"/>
  <c r="AK8" i="1" s="1"/>
  <c r="AK5" i="1" s="1"/>
  <c r="M9" i="1" s="1"/>
  <c r="AD8" i="1"/>
  <c r="AD5" i="1" s="1"/>
  <c r="F9" i="1" s="1"/>
  <c r="AD9" i="1"/>
  <c r="G29" i="1"/>
  <c r="S18" i="1"/>
  <c r="C24" i="50" s="1"/>
  <c r="E24" i="50" s="1"/>
  <c r="W18" i="1" s="1"/>
  <c r="E13" i="1"/>
  <c r="S13" i="1" s="1"/>
  <c r="C20" i="50" s="1"/>
  <c r="E20" i="50" s="1"/>
  <c r="W13" i="1" s="1"/>
  <c r="AR11" i="1"/>
  <c r="X25" i="1"/>
  <c r="C25" i="1" s="1"/>
  <c r="AK9" i="1" l="1"/>
  <c r="AF9" i="1"/>
  <c r="G28" i="1"/>
  <c r="AE9" i="1" s="1"/>
  <c r="B2" i="59"/>
  <c r="L2" i="59"/>
  <c r="E11" i="1"/>
  <c r="E29" i="1" s="1"/>
  <c r="E28" i="1" s="1"/>
  <c r="B8" i="26"/>
  <c r="L1" i="56" s="1"/>
  <c r="C11" i="1"/>
  <c r="S25" i="1"/>
  <c r="AE8" i="1" l="1"/>
  <c r="AE5" i="1" s="1"/>
  <c r="G9" i="1" s="1"/>
  <c r="AQ25" i="1"/>
  <c r="AQ11" i="1" s="1"/>
  <c r="C13" i="50" s="1"/>
  <c r="E13" i="50" s="1"/>
  <c r="C29" i="1"/>
  <c r="S11" i="1"/>
  <c r="B1" i="56"/>
  <c r="B1" i="59"/>
  <c r="L1" i="59"/>
  <c r="C28" i="1" l="1"/>
  <c r="AA8" i="1" s="1"/>
  <c r="AA5" i="1" s="1"/>
  <c r="C9" i="1" s="1"/>
  <c r="C45" i="50"/>
  <c r="E45" i="50" s="1"/>
  <c r="AC8" i="1"/>
  <c r="AC5" i="1" s="1"/>
  <c r="E9" i="1" s="1"/>
  <c r="AC9" i="1"/>
  <c r="C7" i="50"/>
  <c r="E7" i="50" s="1"/>
  <c r="C44" i="50"/>
  <c r="E44" i="50" s="1"/>
  <c r="C9" i="50" l="1"/>
  <c r="E9" i="50" s="1"/>
  <c r="S28" i="1"/>
  <c r="C46" i="50" s="1"/>
  <c r="E46" i="50" s="1"/>
  <c r="W28" i="1" s="1"/>
  <c r="AA9" i="1"/>
  <c r="X8" i="1"/>
  <c r="W5" i="1"/>
  <c r="W11" i="1"/>
  <c r="X5" i="1"/>
  <c r="C12" i="50" l="1"/>
  <c r="E12" i="50" s="1"/>
  <c r="S9" i="1"/>
  <c r="C50" i="50" s="1"/>
  <c r="E50" i="50" s="1"/>
  <c r="X9" i="1"/>
  <c r="C5" i="50" s="1"/>
  <c r="E5" i="50" s="1"/>
</calcChain>
</file>

<file path=xl/sharedStrings.xml><?xml version="1.0" encoding="utf-8"?>
<sst xmlns="http://schemas.openxmlformats.org/spreadsheetml/2006/main" count="2067" uniqueCount="486">
  <si>
    <t>Forbrug</t>
  </si>
  <si>
    <t xml:space="preserve">Råolie </t>
  </si>
  <si>
    <t>Halvfabrikata</t>
  </si>
  <si>
    <t>Naturgas</t>
  </si>
  <si>
    <t>Kul</t>
  </si>
  <si>
    <t>Affald (ikke-bionedbrydeligt)</t>
  </si>
  <si>
    <t>Biomasse</t>
  </si>
  <si>
    <t>Sol</t>
  </si>
  <si>
    <t>Vind</t>
  </si>
  <si>
    <t>Omgivelsesvarme og geotermi</t>
  </si>
  <si>
    <t>Vand</t>
  </si>
  <si>
    <t>Bioolie, biodiesel og bioethanol</t>
  </si>
  <si>
    <t>Olieprodukter</t>
  </si>
  <si>
    <t>El</t>
  </si>
  <si>
    <t>Fjernvarme</t>
  </si>
  <si>
    <t>Overskudsvarme</t>
  </si>
  <si>
    <t>Energitjenester</t>
  </si>
  <si>
    <t>Total energiforbrug</t>
  </si>
  <si>
    <t>Brutto forbrug</t>
  </si>
  <si>
    <t>Danmark</t>
  </si>
  <si>
    <t>Faktor</t>
  </si>
  <si>
    <t>Brutto produktion</t>
  </si>
  <si>
    <t>Virkningsgrad</t>
  </si>
  <si>
    <t>Produktion</t>
  </si>
  <si>
    <t>Nyttiggjort overskudsvarme</t>
  </si>
  <si>
    <t>Tab</t>
  </si>
  <si>
    <t>CO2-udledning</t>
  </si>
  <si>
    <t>ID</t>
  </si>
  <si>
    <t xml:space="preserve">F </t>
  </si>
  <si>
    <t>FLR</t>
  </si>
  <si>
    <t>FLRH</t>
  </si>
  <si>
    <t>FN</t>
  </si>
  <si>
    <t>FK</t>
  </si>
  <si>
    <t>FMA</t>
  </si>
  <si>
    <t>FVB</t>
  </si>
  <si>
    <t>FLVE1</t>
  </si>
  <si>
    <t>FLVE2</t>
  </si>
  <si>
    <t>FLVE3</t>
  </si>
  <si>
    <t>FLVE4</t>
  </si>
  <si>
    <t>FS</t>
  </si>
  <si>
    <t xml:space="preserve">FOO </t>
  </si>
  <si>
    <t>FE</t>
  </si>
  <si>
    <t>FF</t>
  </si>
  <si>
    <t>FOV</t>
  </si>
  <si>
    <t>FTOTAL</t>
  </si>
  <si>
    <t>fbrbr</t>
  </si>
  <si>
    <t>ID Parent</t>
  </si>
  <si>
    <t>factor</t>
  </si>
  <si>
    <t>pbrpr</t>
  </si>
  <si>
    <t>pvrkg</t>
  </si>
  <si>
    <t xml:space="preserve">P </t>
  </si>
  <si>
    <t>PLR</t>
  </si>
  <si>
    <t>PLRH</t>
  </si>
  <si>
    <t>PN</t>
  </si>
  <si>
    <t>PK</t>
  </si>
  <si>
    <t>PMA</t>
  </si>
  <si>
    <t>PVB</t>
  </si>
  <si>
    <t>PLVE1</t>
  </si>
  <si>
    <t>PLVE2</t>
  </si>
  <si>
    <t>PLVE3</t>
  </si>
  <si>
    <t>PLVE4</t>
  </si>
  <si>
    <t>PS</t>
  </si>
  <si>
    <t>POO</t>
  </si>
  <si>
    <t>PE</t>
  </si>
  <si>
    <t>PF</t>
  </si>
  <si>
    <t>POV</t>
  </si>
  <si>
    <t>PTOTAL</t>
  </si>
  <si>
    <t>PTAB</t>
  </si>
  <si>
    <t>PCO2</t>
  </si>
  <si>
    <t>F</t>
  </si>
  <si>
    <t>Structures</t>
  </si>
  <si>
    <t>P</t>
  </si>
  <si>
    <t>Indgang for brændsler (bio, kul mv.)</t>
  </si>
  <si>
    <t>TP</t>
  </si>
  <si>
    <t>Egen udvinding af brændsler</t>
  </si>
  <si>
    <t>TPEUT</t>
  </si>
  <si>
    <t>Opgraderingsanlæg</t>
  </si>
  <si>
    <t>TPOP</t>
  </si>
  <si>
    <t>Netto import/lager</t>
  </si>
  <si>
    <t>TPI</t>
  </si>
  <si>
    <t>Transport af brændsler</t>
  </si>
  <si>
    <t>TRAP</t>
  </si>
  <si>
    <t>Indgang nettilsluttet VE</t>
  </si>
  <si>
    <t>TLP1</t>
  </si>
  <si>
    <t>Indgang el, varme og olieprodukter</t>
  </si>
  <si>
    <t>TS</t>
  </si>
  <si>
    <t>IMP</t>
  </si>
  <si>
    <t>El og varmeproduktion</t>
  </si>
  <si>
    <t>ELOGVARME</t>
  </si>
  <si>
    <t>Centrale kraftværker</t>
  </si>
  <si>
    <t>CKV</t>
  </si>
  <si>
    <t>Kondensproduktion</t>
  </si>
  <si>
    <t>KOND</t>
  </si>
  <si>
    <t>Kraftvarmeproduktion</t>
  </si>
  <si>
    <t>CKVA</t>
  </si>
  <si>
    <t>Decentral kraftvarme</t>
  </si>
  <si>
    <t>DCKV</t>
  </si>
  <si>
    <t>Sekundære producenter</t>
  </si>
  <si>
    <t>SEK</t>
  </si>
  <si>
    <t>Elproducerende anlæg</t>
  </si>
  <si>
    <t>SEKE</t>
  </si>
  <si>
    <t>Kraftvarmeproducerende anlæg</t>
  </si>
  <si>
    <t>SEKKV</t>
  </si>
  <si>
    <t>Varmeproducerende anlæg</t>
  </si>
  <si>
    <t>SEKV</t>
  </si>
  <si>
    <t>Vindmøller</t>
  </si>
  <si>
    <t>VIND</t>
  </si>
  <si>
    <t>Vandkraft</t>
  </si>
  <si>
    <t>VAND</t>
  </si>
  <si>
    <t>HP</t>
  </si>
  <si>
    <t xml:space="preserve">Raffinaderi </t>
  </si>
  <si>
    <t>RAF</t>
  </si>
  <si>
    <t>Transport af el, fjernvarme, mv.</t>
  </si>
  <si>
    <t>TRAS</t>
  </si>
  <si>
    <t>Indgang ikke-nettilsluttet VE</t>
  </si>
  <si>
    <t>TLP2</t>
  </si>
  <si>
    <t>Afgang fra energisystemet</t>
  </si>
  <si>
    <t>A</t>
  </si>
  <si>
    <t>Netto eksport/lager</t>
  </si>
  <si>
    <t>AES</t>
  </si>
  <si>
    <t>Transport</t>
  </si>
  <si>
    <t>AT</t>
  </si>
  <si>
    <t>Vejtransport</t>
  </si>
  <si>
    <t>ATV</t>
  </si>
  <si>
    <t>Banetransport</t>
  </si>
  <si>
    <t>ATB</t>
  </si>
  <si>
    <t>Søtransport, indenrigs</t>
  </si>
  <si>
    <t>ATS</t>
  </si>
  <si>
    <t>Luftfart, udenrigs</t>
  </si>
  <si>
    <t>ATLU</t>
  </si>
  <si>
    <t>Luftfart, indenrigs</t>
  </si>
  <si>
    <t>ATLI</t>
  </si>
  <si>
    <t>Forsvarets transport</t>
  </si>
  <si>
    <t>ATF</t>
  </si>
  <si>
    <t>Husholdninger</t>
  </si>
  <si>
    <t>AH</t>
  </si>
  <si>
    <t>Enfamiliehuse</t>
  </si>
  <si>
    <t>ENH</t>
  </si>
  <si>
    <t>Etageboliger</t>
  </si>
  <si>
    <t>ETH</t>
  </si>
  <si>
    <t>Handels- og serviceerhverv</t>
  </si>
  <si>
    <t>AHS</t>
  </si>
  <si>
    <t>Engroshandel</t>
  </si>
  <si>
    <t>ENGHS</t>
  </si>
  <si>
    <t>Detailhandel</t>
  </si>
  <si>
    <t>DETHS</t>
  </si>
  <si>
    <t>Privatservice</t>
  </si>
  <si>
    <t>PSHS</t>
  </si>
  <si>
    <t>Offentligservice</t>
  </si>
  <si>
    <t>OFSHS</t>
  </si>
  <si>
    <t>Produktionserhverv</t>
  </si>
  <si>
    <t>AP</t>
  </si>
  <si>
    <t>Landbrug, skovbrug og gartneri</t>
  </si>
  <si>
    <t>LSGAP</t>
  </si>
  <si>
    <t>Fiskeri</t>
  </si>
  <si>
    <t>FAP</t>
  </si>
  <si>
    <t>Fremstillingsvirksomhed</t>
  </si>
  <si>
    <t>FVAP</t>
  </si>
  <si>
    <t>Byggeri- og anlægsvirksomhed</t>
  </si>
  <si>
    <t>BAAP</t>
  </si>
  <si>
    <t>Ikke energiformål</t>
  </si>
  <si>
    <t>AIE</t>
  </si>
  <si>
    <t>EN</t>
  </si>
  <si>
    <t>Culture</t>
  </si>
  <si>
    <t>da-DK</t>
  </si>
  <si>
    <t>Regnskabsnavn</t>
  </si>
  <si>
    <t>Danmark fremskrivning</t>
  </si>
  <si>
    <t>Regnskabsperiode</t>
  </si>
  <si>
    <t>År</t>
  </si>
  <si>
    <t>Måleenhed energi</t>
  </si>
  <si>
    <t>PJ</t>
  </si>
  <si>
    <t>Måleenhed CO2</t>
  </si>
  <si>
    <t>mio. ton</t>
  </si>
  <si>
    <t>Tab Sum</t>
  </si>
  <si>
    <t>CO2 Sum</t>
  </si>
  <si>
    <t>CO2 nøgletal</t>
  </si>
  <si>
    <t>kg/MWh</t>
  </si>
  <si>
    <t>Tabsnøgletal</t>
  </si>
  <si>
    <t>%</t>
  </si>
  <si>
    <t>mio. ton/PJ</t>
  </si>
  <si>
    <t>Affald ikke bionedbrydelig</t>
  </si>
  <si>
    <t>Fordeling af affald</t>
  </si>
  <si>
    <t>Samlet CO2-udledning</t>
  </si>
  <si>
    <t>CO2-udledning fra slutforbrug</t>
  </si>
  <si>
    <t>Absolut værdi</t>
  </si>
  <si>
    <t>Stigning og fordeling</t>
  </si>
  <si>
    <t>Udenrigsluftfart</t>
  </si>
  <si>
    <t>Indenrigsluftfart</t>
  </si>
  <si>
    <t>Biobrændsler</t>
  </si>
  <si>
    <t>Privat service</t>
  </si>
  <si>
    <t>Offentlig service</t>
  </si>
  <si>
    <t>Tab i transmission og distribution</t>
  </si>
  <si>
    <r>
      <t>Samlet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-udledning</t>
    </r>
  </si>
  <si>
    <t>Absout værdi</t>
  </si>
  <si>
    <t>Stigning og %-fordeling</t>
  </si>
  <si>
    <t>Fjernvarmeproduktion</t>
  </si>
  <si>
    <t>Import af fjernvarme</t>
  </si>
  <si>
    <t>Netto-fjernvarmeproduktion på central KV</t>
  </si>
  <si>
    <t xml:space="preserve">Netto-fjernvarmeproduktion på decentral KV </t>
  </si>
  <si>
    <t>Netto-fjernvarmeproduktion på sekundær KV</t>
  </si>
  <si>
    <t>Netto-fjernvarmeproduktion på sekundær varme</t>
  </si>
  <si>
    <t>Netto-fjernvarmeproduktion på fjernvarme</t>
  </si>
  <si>
    <t>Elproduktion</t>
  </si>
  <si>
    <t>Fordeling af ikke-samproduceret el</t>
  </si>
  <si>
    <t xml:space="preserve"> - Netto import</t>
  </si>
  <si>
    <t xml:space="preserve"> - Elproduktion på central kondens</t>
  </si>
  <si>
    <t xml:space="preserve"> - Elproduktion på vindmøller</t>
  </si>
  <si>
    <t xml:space="preserve"> - Vandkraft</t>
  </si>
  <si>
    <t xml:space="preserve"> - Sekundær elproduktion</t>
  </si>
  <si>
    <t xml:space="preserve">     - heraf termisk</t>
  </si>
  <si>
    <t xml:space="preserve">     - heraf solceller</t>
  </si>
  <si>
    <t xml:space="preserve">     - heraf vind</t>
  </si>
  <si>
    <t>Olieproduktion</t>
  </si>
  <si>
    <t>Netto-import og træk på lager af olieprodukter</t>
  </si>
  <si>
    <t>Produktion af primær energi</t>
  </si>
  <si>
    <t>Råolie</t>
  </si>
  <si>
    <t xml:space="preserve">Naturgas </t>
  </si>
  <si>
    <t>Affald ikke-bionedbrydeligt</t>
  </si>
  <si>
    <t>Forbrug ved udvinding af primær energi</t>
  </si>
  <si>
    <t>Naturgas i % af naturgasudvinding</t>
  </si>
  <si>
    <t>Opgraderings anlæg</t>
  </si>
  <si>
    <t>Andele af biomasse, der bliver til naturgas</t>
  </si>
  <si>
    <t>Brændselsfordeling på central kondens</t>
  </si>
  <si>
    <t>Brændselsfordeling på central KV</t>
  </si>
  <si>
    <t>Brændselsfordeling på decentral KV</t>
  </si>
  <si>
    <t>Brændselsfordeling på sekundær el</t>
  </si>
  <si>
    <t>Brændselsfordeling på sekundær KV</t>
  </si>
  <si>
    <t>Brændselsfordeling på sekundær varme</t>
  </si>
  <si>
    <t>Solvarme</t>
  </si>
  <si>
    <t>Varmepumper</t>
  </si>
  <si>
    <t>Elkedler</t>
  </si>
  <si>
    <t>Termisk varmeproduktion</t>
  </si>
  <si>
    <t xml:space="preserve"> - heraf naturgas</t>
  </si>
  <si>
    <t xml:space="preserve"> - heraf kul</t>
  </si>
  <si>
    <t xml:space="preserve"> - heraf affald (ikke-bionedbrydeligt)</t>
  </si>
  <si>
    <t xml:space="preserve"> - heraf biobrændsler</t>
  </si>
  <si>
    <t xml:space="preserve"> - heraf bioolie, biodiesel og bioethanol</t>
  </si>
  <si>
    <t xml:space="preserve"> - heraf olieprodukter</t>
  </si>
  <si>
    <t>Brændselsfordeling på fjernvarme</t>
  </si>
  <si>
    <t>Termisk Varmeproduktion</t>
  </si>
  <si>
    <t>Produktionen på raffinaderier</t>
  </si>
  <si>
    <t>Raffinaderigas</t>
  </si>
  <si>
    <t>Tekniske faktorer</t>
  </si>
  <si>
    <t>Fjernvarmeforbrug i raffinaderi (%-af slutforbrug af olieprodukter)</t>
  </si>
  <si>
    <t>Elforbrug i raffinaderi (% af slutforbruget af olieprodukter)</t>
  </si>
  <si>
    <t>Olieprodukter-forbrug på raffinaderi i % af nettoproduktion</t>
  </si>
  <si>
    <t>CM-værdi for central KV</t>
  </si>
  <si>
    <t>CM-værdi for decentral KV</t>
  </si>
  <si>
    <t>CM-værdi for sekundær KV</t>
  </si>
  <si>
    <t>Netto-virkningsgrad central kondens</t>
  </si>
  <si>
    <t>Netto-virkningsgrad central KV</t>
  </si>
  <si>
    <t>Netto-virkningsgrad decentral KV</t>
  </si>
  <si>
    <t>Netto-virkningsgrad sekundær el</t>
  </si>
  <si>
    <t>Netto-virkningsgrad sekundær KV</t>
  </si>
  <si>
    <t>Netto-virkningsgrad sekundær varme</t>
  </si>
  <si>
    <t>Netto-virkningsgrad fjernvarmekedel</t>
  </si>
  <si>
    <t>Virkningsgrad varmepumpe</t>
  </si>
  <si>
    <t>Virkningsgrad elkedel</t>
  </si>
  <si>
    <t>Netto-virkningsgrad raffinaderi</t>
  </si>
  <si>
    <t>Ikke bionedbrydelig affald andel af samlet affald</t>
  </si>
  <si>
    <t>Reference år</t>
  </si>
  <si>
    <t>Bio</t>
  </si>
  <si>
    <t>Bioolie</t>
  </si>
  <si>
    <t>Andre sektorer</t>
  </si>
  <si>
    <t>Affald</t>
  </si>
  <si>
    <t>VE</t>
  </si>
  <si>
    <t>Niveau 1</t>
  </si>
  <si>
    <t>Størrelse</t>
  </si>
  <si>
    <t>Energi</t>
  </si>
  <si>
    <t>Under kasser</t>
  </si>
  <si>
    <t>Energi/%</t>
  </si>
  <si>
    <t>Udgang transport af brændsel</t>
  </si>
  <si>
    <t>Indgang On-Grid VE</t>
  </si>
  <si>
    <t>Indgang el, fjernvarme og olieprodukter</t>
  </si>
  <si>
    <t>Udgang el, fjernvarme og olieprodukter</t>
  </si>
  <si>
    <t>Under el, fjernvarme og olieprodukter</t>
  </si>
  <si>
    <t>Indgang transport af el, fjernvarme og olieprodukter</t>
  </si>
  <si>
    <t>Indgang Off-Grid VE</t>
  </si>
  <si>
    <t>Exit Energy</t>
  </si>
  <si>
    <t>Tab konvertering</t>
  </si>
  <si>
    <t>Tab slutforbrug</t>
  </si>
  <si>
    <t>Tab transport af el mv.</t>
  </si>
  <si>
    <t>Udgang VE</t>
  </si>
  <si>
    <t>El og fjernvarmeproduuktion</t>
  </si>
  <si>
    <t>Husholdning</t>
  </si>
  <si>
    <t>Handel og Service</t>
  </si>
  <si>
    <t>Transport energitjenester</t>
  </si>
  <si>
    <t>Proces energitjenester</t>
  </si>
  <si>
    <t>Elapparater energitjenester</t>
  </si>
  <si>
    <t>Persontransport energitjenester</t>
  </si>
  <si>
    <t>Godstransport energitjenester</t>
  </si>
  <si>
    <t>Indgang el, varme  og olieprodukter</t>
  </si>
  <si>
    <t>Tab indgang el, varme og olieprodukter</t>
  </si>
  <si>
    <t>Udgang energi</t>
  </si>
  <si>
    <t>Tab udgang</t>
  </si>
  <si>
    <t>Tab energitjenester</t>
  </si>
  <si>
    <t>Transport brændsler</t>
  </si>
  <si>
    <t>Tab transport af brændsler</t>
  </si>
  <si>
    <t>Transport af el, varme og olieprodukter</t>
  </si>
  <si>
    <t>Tab transport af el, varme og olieprodukter</t>
  </si>
  <si>
    <t>CO2</t>
  </si>
  <si>
    <t>Energiforsyning og -forbrug 2018</t>
  </si>
  <si>
    <t>Energy supply and consumption 2018</t>
  </si>
  <si>
    <t>I alt</t>
  </si>
  <si>
    <t>Halv-fabrikata</t>
  </si>
  <si>
    <t>Raffinaderi-gas</t>
  </si>
  <si>
    <t>LPG</t>
  </si>
  <si>
    <t>Flybenzin</t>
  </si>
  <si>
    <t>Motorbenzin</t>
  </si>
  <si>
    <t>Petroleum</t>
  </si>
  <si>
    <t>JP1</t>
  </si>
  <si>
    <t>Gas-/dieselolie</t>
  </si>
  <si>
    <t>Fuelolie</t>
  </si>
  <si>
    <t>Spildolie</t>
  </si>
  <si>
    <t>Petroleums-koks</t>
  </si>
  <si>
    <t>Terpentin, smøreolie og bitumen</t>
  </si>
  <si>
    <t>Stenkul</t>
  </si>
  <si>
    <t>Koks mv</t>
  </si>
  <si>
    <t>Solenergi</t>
  </si>
  <si>
    <t>Vindkraft</t>
  </si>
  <si>
    <t>Geotermi</t>
  </si>
  <si>
    <t>Halm</t>
  </si>
  <si>
    <t>Skovflis</t>
  </si>
  <si>
    <t>Brænde</t>
  </si>
  <si>
    <t>Træpiller</t>
  </si>
  <si>
    <t>Træaffald</t>
  </si>
  <si>
    <t>Biogas</t>
  </si>
  <si>
    <t>Bionaturgas</t>
  </si>
  <si>
    <t>Varme-pumper</t>
  </si>
  <si>
    <t>Bygas</t>
  </si>
  <si>
    <t>Total</t>
  </si>
  <si>
    <t>Crude oil</t>
  </si>
  <si>
    <t>Refinery feedstock</t>
  </si>
  <si>
    <t>Refinery gas</t>
  </si>
  <si>
    <t>Aviation gasoline</t>
  </si>
  <si>
    <t>Motor gasoline</t>
  </si>
  <si>
    <t>Other Kerosene</t>
  </si>
  <si>
    <t>Gas-/Diesel Oil</t>
  </si>
  <si>
    <t>Fuel Oil</t>
  </si>
  <si>
    <t>Waste Oil</t>
  </si>
  <si>
    <t>Petroleum coke</t>
  </si>
  <si>
    <t>White spirit, lubricants and bitumen</t>
  </si>
  <si>
    <t>Natural Gas</t>
  </si>
  <si>
    <t>Coal</t>
  </si>
  <si>
    <t>Coke etc.</t>
  </si>
  <si>
    <t>Solar</t>
  </si>
  <si>
    <t>Wind</t>
  </si>
  <si>
    <t>Hydro</t>
  </si>
  <si>
    <t>Geothermal</t>
  </si>
  <si>
    <t>Straw</t>
  </si>
  <si>
    <t>Wood chips</t>
  </si>
  <si>
    <t>Firewood</t>
  </si>
  <si>
    <t>Wood pellets</t>
  </si>
  <si>
    <t>Wood waste</t>
  </si>
  <si>
    <t>Bio Methane</t>
  </si>
  <si>
    <t>Waste</t>
  </si>
  <si>
    <t>Biooil, biodiesel og bioethanol</t>
  </si>
  <si>
    <t>Heat pumps</t>
  </si>
  <si>
    <t>Electricity</t>
  </si>
  <si>
    <t>District Heating</t>
  </si>
  <si>
    <t>Gas works gas</t>
  </si>
  <si>
    <t>Direkte energiindhold [TJ]</t>
  </si>
  <si>
    <t>Direct energy contents [TJ]</t>
  </si>
  <si>
    <t>Energiforsyning</t>
  </si>
  <si>
    <t>Total energy supply</t>
  </si>
  <si>
    <t>-  Primær produktion</t>
  </si>
  <si>
    <t>-  Primary production</t>
  </si>
  <si>
    <t>-  Genbrug</t>
  </si>
  <si>
    <t>-  Recycling</t>
  </si>
  <si>
    <t>-  Import</t>
  </si>
  <si>
    <t>-  Registered imports</t>
  </si>
  <si>
    <t>-  Eksport</t>
  </si>
  <si>
    <t>-  Registered exports</t>
  </si>
  <si>
    <t>-  Grænsehandel</t>
  </si>
  <si>
    <t>-  Border trade</t>
  </si>
  <si>
    <t>-  Udenrigsbunkring</t>
  </si>
  <si>
    <t>-  International marine bunkers</t>
  </si>
  <si>
    <t>-  Tilgang ved blanding</t>
  </si>
  <si>
    <t>- Supply from blending</t>
  </si>
  <si>
    <t>-  Lagertræk</t>
  </si>
  <si>
    <t>- Stock changes</t>
  </si>
  <si>
    <t>Statistisk difference</t>
  </si>
  <si>
    <t>Statistical difference</t>
  </si>
  <si>
    <t>Udvinding og forgasning</t>
  </si>
  <si>
    <t>Extraction and gasification</t>
  </si>
  <si>
    <t>Raffinaderier</t>
  </si>
  <si>
    <t>Refineries</t>
  </si>
  <si>
    <t/>
  </si>
  <si>
    <t>-  Råvareforbrug og produktion</t>
  </si>
  <si>
    <t>-  Input and net production</t>
  </si>
  <si>
    <t>-  Forbrug ved produktion</t>
  </si>
  <si>
    <t>-  Own use in production</t>
  </si>
  <si>
    <t>Forbrug ved distribution</t>
  </si>
  <si>
    <t>Used in distribution</t>
  </si>
  <si>
    <t>Centrale elproducerende anlæg</t>
  </si>
  <si>
    <t>Large-scale power units</t>
  </si>
  <si>
    <t>-  Brændselsforbrug og produktion</t>
  </si>
  <si>
    <t>-  Fuels used and production</t>
  </si>
  <si>
    <t>-  Egetforbrug ved produktion</t>
  </si>
  <si>
    <t>Centrale el- og varmeprod. anlæg</t>
  </si>
  <si>
    <t>Large-scale CHP units</t>
  </si>
  <si>
    <t>Vindkraftanlæg</t>
  </si>
  <si>
    <t>Wind turbines</t>
  </si>
  <si>
    <t>Vandkraftanlæg</t>
  </si>
  <si>
    <t>Hydro power plants</t>
  </si>
  <si>
    <t>Decentrale kraftvarmeanlæg</t>
  </si>
  <si>
    <t>Small-scale CHP units</t>
  </si>
  <si>
    <t>- Fuels used and production</t>
  </si>
  <si>
    <t>- Own  use in production</t>
  </si>
  <si>
    <t>Fjernvarmeværker</t>
  </si>
  <si>
    <t>District heating units</t>
  </si>
  <si>
    <t>- Own use in production</t>
  </si>
  <si>
    <t>Autoproducers</t>
  </si>
  <si>
    <t>- Electricity units</t>
  </si>
  <si>
    <t>-  Kraftvarmeanlæg</t>
  </si>
  <si>
    <t>- CHP units</t>
  </si>
  <si>
    <t>-  Varmeproducerende anlæg</t>
  </si>
  <si>
    <t>- Heat units</t>
  </si>
  <si>
    <t>Bygasværker</t>
  </si>
  <si>
    <t>Gas Works</t>
  </si>
  <si>
    <t>Biogas Upgrading Plant</t>
  </si>
  <si>
    <t>Distributionstab m.v.</t>
  </si>
  <si>
    <t>Distribution losses etc.</t>
  </si>
  <si>
    <t>Endeligt forbrug</t>
  </si>
  <si>
    <t>Final energy consumption</t>
  </si>
  <si>
    <t>-  Ikke energiformål</t>
  </si>
  <si>
    <t>-  Non-energy use</t>
  </si>
  <si>
    <t>-  Vejtransport</t>
  </si>
  <si>
    <t xml:space="preserve">-  Road </t>
  </si>
  <si>
    <t>-  Banetransport</t>
  </si>
  <si>
    <t xml:space="preserve">-  Rail </t>
  </si>
  <si>
    <t>-  Søtransport, indenrigs</t>
  </si>
  <si>
    <t>-  Domestic sea transport</t>
  </si>
  <si>
    <t>-  Udenrigsluftfart</t>
  </si>
  <si>
    <t>-  International aviation</t>
  </si>
  <si>
    <t>-  Indenrigsluftfart</t>
  </si>
  <si>
    <t>-  Domestic aviation</t>
  </si>
  <si>
    <t>-  Forsvarets transport</t>
  </si>
  <si>
    <t>-  Military transport</t>
  </si>
  <si>
    <t>-  Landbrug, skovbrug og gartneri</t>
  </si>
  <si>
    <t>-  Agriculture, forestry and horticulture</t>
  </si>
  <si>
    <t>-  Fiskeri</t>
  </si>
  <si>
    <t>-  Fishing</t>
  </si>
  <si>
    <t>-  Fremstillingsvirksomhed</t>
  </si>
  <si>
    <t>-  Manufacturing</t>
  </si>
  <si>
    <t>-  Byggeri- og anlægsvirksomhed</t>
  </si>
  <si>
    <t>-  Construction</t>
  </si>
  <si>
    <t>-  Engroshandel</t>
  </si>
  <si>
    <t>-  Wholesale</t>
  </si>
  <si>
    <t>-  Detailhandel</t>
  </si>
  <si>
    <t>-  Retail trade</t>
  </si>
  <si>
    <t>-  Privat service</t>
  </si>
  <si>
    <t>-  Private services</t>
  </si>
  <si>
    <t>-  Offentlig service</t>
  </si>
  <si>
    <t>-  Public services</t>
  </si>
  <si>
    <t>-  Enfamiliehuse</t>
  </si>
  <si>
    <t>-  Single-family houses</t>
  </si>
  <si>
    <t>-  Etageboliger</t>
  </si>
  <si>
    <t>-  Multi-family houses</t>
  </si>
  <si>
    <t>Energiforsyning og -forbrug 2017</t>
  </si>
  <si>
    <t>-  Elproducerende anlæg</t>
  </si>
  <si>
    <t>Energiforsyning og -forbrug 2016</t>
  </si>
  <si>
    <t>Motor-benzin</t>
  </si>
  <si>
    <t>Fjern-varme</t>
  </si>
  <si>
    <t>-  Udenrigs bunkring</t>
  </si>
  <si>
    <t>Energiforsyning og -forbrug 2015</t>
  </si>
  <si>
    <t>Energiforsyning og -forbrug 2014</t>
  </si>
  <si>
    <t>Primær energi - brændsel</t>
  </si>
  <si>
    <t>Primær energi - ikke brændsel VE</t>
  </si>
  <si>
    <t>Samlet energiforbrug</t>
  </si>
  <si>
    <t>Virkningsgrader</t>
  </si>
  <si>
    <t>Total forbrug</t>
  </si>
  <si>
    <t>Mål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</si>
  <si>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-udledning ved konvertering og udvinding</t>
    </r>
  </si>
  <si>
    <t>Skal være nul</t>
  </si>
  <si>
    <r>
      <t>Biomasse -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-rensning</t>
    </r>
  </si>
  <si>
    <t>Rensningsgrad på central kondens</t>
  </si>
  <si>
    <t>Rensningsgrad på decentral KV</t>
  </si>
  <si>
    <t>Rensningsgrad på central KV</t>
  </si>
  <si>
    <t>Rensningsgrad på sekundær el</t>
  </si>
  <si>
    <t>Rensningsgrad på sekundær KV</t>
  </si>
  <si>
    <t>Rensningsgrad på sekundær varme</t>
  </si>
  <si>
    <t>Rensningsgrad fjernvarme</t>
  </si>
  <si>
    <t>Vindmøllekapacitet</t>
  </si>
  <si>
    <t>MW</t>
  </si>
  <si>
    <t>Solcellekapacitet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</si>
</sst>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,\ ###,##0;[Red]\-###,##0;&quot;-&quot;"/>
    <numFmt numFmtId="165" formatCode="0.0"/>
    <numFmt numFmtId="166" formatCode="0.000"/>
    <numFmt numFmtId="167" formatCode="#\ ##0;[Red]\-#\ ##0;\-"/>
    <numFmt numFmtId="168" formatCode="#\ ##0;\-#\ ##0;\-"/>
    <numFmt numFmtId="169" formatCode="###\ ###\ ##0;\-###\ ###\ ##0;&quot;-&quot;"/>
    <numFmt numFmtId="170" formatCode="###\ ###\ ##0;###\ ###\ ##0;&quot;-&quot;"/>
    <numFmt numFmtId="171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6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i/>
      <sz val="16"/>
      <name val="Arial"/>
      <family val="2"/>
    </font>
    <font>
      <sz val="9"/>
      <name val="Helvetica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name val="Helvetica"/>
      <family val="2"/>
    </font>
    <font>
      <b/>
      <sz val="10"/>
      <color theme="1"/>
      <name val="Helvetica"/>
      <family val="2"/>
    </font>
    <font>
      <vertAlign val="subscript"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39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4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5" borderId="0" xfId="0" applyFill="1"/>
    <xf numFmtId="0" fontId="0" fillId="0" borderId="0" xfId="0" applyBorder="1"/>
    <xf numFmtId="0" fontId="3" fillId="3" borderId="0" xfId="0" quotePrefix="1" applyFont="1" applyFill="1" applyBorder="1" applyAlignment="1">
      <alignment horizontal="center" vertical="center" wrapText="1"/>
    </xf>
    <xf numFmtId="0" fontId="3" fillId="3" borderId="3" xfId="0" quotePrefix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5" borderId="3" xfId="0" quotePrefix="1" applyFont="1" applyFill="1" applyBorder="1" applyAlignment="1">
      <alignment horizontal="center" wrapText="1"/>
    </xf>
    <xf numFmtId="0" fontId="2" fillId="5" borderId="6" xfId="0" quotePrefix="1" applyFont="1" applyFill="1" applyBorder="1"/>
    <xf numFmtId="0" fontId="0" fillId="5" borderId="6" xfId="0" quotePrefix="1" applyFont="1" applyFill="1" applyBorder="1"/>
    <xf numFmtId="0" fontId="0" fillId="5" borderId="9" xfId="0" quotePrefix="1" applyFont="1" applyFill="1" applyBorder="1"/>
    <xf numFmtId="3" fontId="4" fillId="5" borderId="13" xfId="1" quotePrefix="1" applyNumberFormat="1" applyFont="1" applyFill="1" applyBorder="1" applyAlignment="1">
      <alignment horizontal="left"/>
    </xf>
    <xf numFmtId="0" fontId="0" fillId="5" borderId="14" xfId="0" quotePrefix="1" applyFont="1" applyFill="1" applyBorder="1"/>
    <xf numFmtId="0" fontId="0" fillId="5" borderId="9" xfId="0" quotePrefix="1" applyFont="1" applyFill="1" applyBorder="1" applyAlignment="1"/>
    <xf numFmtId="0" fontId="0" fillId="5" borderId="11" xfId="0" quotePrefix="1" applyFont="1" applyFill="1" applyBorder="1"/>
    <xf numFmtId="0" fontId="2" fillId="6" borderId="3" xfId="0" applyFont="1" applyFill="1" applyBorder="1" applyAlignment="1">
      <alignment horizontal="center" textRotation="90"/>
    </xf>
    <xf numFmtId="164" fontId="2" fillId="6" borderId="3" xfId="0" applyNumberFormat="1" applyFont="1" applyFill="1" applyBorder="1" applyAlignment="1">
      <alignment horizontal="center" textRotation="90"/>
    </xf>
    <xf numFmtId="0" fontId="0" fillId="2" borderId="0" xfId="0" applyFill="1"/>
    <xf numFmtId="0" fontId="2" fillId="7" borderId="3" xfId="0" applyFont="1" applyFill="1" applyBorder="1" applyAlignment="1">
      <alignment horizontal="center" textRotation="90"/>
    </xf>
    <xf numFmtId="164" fontId="2" fillId="7" borderId="3" xfId="0" applyNumberFormat="1" applyFont="1" applyFill="1" applyBorder="1" applyAlignment="1">
      <alignment horizontal="center" textRotation="90"/>
    </xf>
    <xf numFmtId="0" fontId="0" fillId="5" borderId="11" xfId="0" quotePrefix="1" applyFont="1" applyFill="1" applyBorder="1" applyAlignment="1"/>
    <xf numFmtId="0" fontId="2" fillId="8" borderId="3" xfId="0" applyFont="1" applyFill="1" applyBorder="1" applyAlignment="1">
      <alignment horizontal="center" textRotation="90"/>
    </xf>
    <xf numFmtId="165" fontId="1" fillId="8" borderId="3" xfId="0" applyNumberFormat="1" applyFont="1" applyFill="1" applyBorder="1" applyAlignment="1">
      <alignment horizontal="left"/>
    </xf>
    <xf numFmtId="0" fontId="1" fillId="8" borderId="6" xfId="0" quotePrefix="1" applyFont="1" applyFill="1" applyBorder="1"/>
    <xf numFmtId="0" fontId="0" fillId="9" borderId="8" xfId="0" quotePrefix="1" applyFont="1" applyFill="1" applyBorder="1"/>
    <xf numFmtId="0" fontId="0" fillId="9" borderId="8" xfId="0" quotePrefix="1" applyFont="1" applyFill="1" applyBorder="1" applyAlignment="1"/>
    <xf numFmtId="0" fontId="0" fillId="9" borderId="10" xfId="0" quotePrefix="1" applyFont="1" applyFill="1" applyBorder="1" applyAlignment="1"/>
    <xf numFmtId="0" fontId="0" fillId="9" borderId="8" xfId="0" quotePrefix="1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textRotation="90"/>
    </xf>
    <xf numFmtId="0" fontId="0" fillId="9" borderId="15" xfId="0" quotePrefix="1" applyFont="1" applyFill="1" applyBorder="1" applyAlignment="1"/>
    <xf numFmtId="0" fontId="0" fillId="5" borderId="3" xfId="0" quotePrefix="1" applyFont="1" applyFill="1" applyBorder="1" applyAlignment="1"/>
    <xf numFmtId="0" fontId="2" fillId="5" borderId="3" xfId="0" quotePrefix="1" applyFont="1" applyFill="1" applyBorder="1" applyAlignment="1"/>
    <xf numFmtId="3" fontId="4" fillId="5" borderId="17" xfId="1" quotePrefix="1" applyNumberFormat="1" applyFont="1" applyFill="1" applyBorder="1" applyAlignment="1">
      <alignment horizontal="left"/>
    </xf>
    <xf numFmtId="0" fontId="1" fillId="4" borderId="3" xfId="0" applyFont="1" applyFill="1" applyBorder="1" applyAlignment="1"/>
    <xf numFmtId="167" fontId="0" fillId="0" borderId="0" xfId="0" applyNumberFormat="1" applyFill="1"/>
    <xf numFmtId="0" fontId="8" fillId="0" borderId="0" xfId="0" applyFont="1" applyFill="1"/>
    <xf numFmtId="167" fontId="8" fillId="0" borderId="0" xfId="0" applyNumberFormat="1" applyFont="1" applyFill="1"/>
    <xf numFmtId="0" fontId="11" fillId="0" borderId="0" xfId="0" applyFont="1" applyFill="1"/>
    <xf numFmtId="0" fontId="6" fillId="0" borderId="0" xfId="2" applyFill="1"/>
    <xf numFmtId="16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68" fontId="9" fillId="0" borderId="0" xfId="2" applyNumberFormat="1" applyFont="1" applyFill="1"/>
    <xf numFmtId="164" fontId="9" fillId="0" borderId="0" xfId="0" applyNumberFormat="1" applyFont="1" applyFill="1" applyAlignment="1">
      <alignment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2" fillId="0" borderId="0" xfId="2" applyNumberFormat="1" applyFont="1" applyFill="1"/>
    <xf numFmtId="164" fontId="10" fillId="0" borderId="0" xfId="0" applyNumberFormat="1" applyFont="1" applyFill="1"/>
    <xf numFmtId="166" fontId="6" fillId="0" borderId="0" xfId="2" applyNumberFormat="1" applyFill="1"/>
    <xf numFmtId="169" fontId="10" fillId="0" borderId="0" xfId="2" applyNumberFormat="1" applyFont="1" applyFill="1"/>
    <xf numFmtId="164" fontId="9" fillId="0" borderId="0" xfId="0" quotePrefix="1" applyNumberFormat="1" applyFont="1" applyFill="1"/>
    <xf numFmtId="169" fontId="9" fillId="0" borderId="0" xfId="2" applyNumberFormat="1" applyFont="1" applyFill="1"/>
    <xf numFmtId="170" fontId="7" fillId="0" borderId="0" xfId="2" applyNumberFormat="1" applyFont="1" applyFill="1" applyAlignment="1">
      <alignment vertical="center"/>
    </xf>
    <xf numFmtId="0" fontId="0" fillId="7" borderId="3" xfId="0" applyFill="1" applyBorder="1"/>
    <xf numFmtId="0" fontId="0" fillId="0" borderId="0" xfId="0" applyFont="1" applyAlignment="1">
      <alignment horizontal="right"/>
    </xf>
    <xf numFmtId="0" fontId="3" fillId="3" borderId="4" xfId="0" quotePrefix="1" applyFont="1" applyFill="1" applyBorder="1" applyAlignment="1">
      <alignment horizontal="center" vertical="center" wrapText="1"/>
    </xf>
    <xf numFmtId="0" fontId="2" fillId="5" borderId="4" xfId="0" quotePrefix="1" applyFont="1" applyFill="1" applyBorder="1" applyAlignment="1">
      <alignment horizontal="center" wrapText="1"/>
    </xf>
    <xf numFmtId="165" fontId="1" fillId="8" borderId="4" xfId="0" applyNumberFormat="1" applyFont="1" applyFill="1" applyBorder="1" applyAlignment="1">
      <alignment horizontal="left"/>
    </xf>
    <xf numFmtId="0" fontId="1" fillId="4" borderId="4" xfId="0" applyFont="1" applyFill="1" applyBorder="1" applyAlignment="1"/>
    <xf numFmtId="0" fontId="0" fillId="5" borderId="4" xfId="0" quotePrefix="1" applyFont="1" applyFill="1" applyBorder="1" applyAlignment="1"/>
    <xf numFmtId="0" fontId="2" fillId="5" borderId="4" xfId="0" quotePrefix="1" applyFont="1" applyFill="1" applyBorder="1" applyAlignment="1"/>
    <xf numFmtId="0" fontId="2" fillId="10" borderId="7" xfId="0" applyFont="1" applyFill="1" applyBorder="1" applyAlignment="1">
      <alignment horizontal="center" textRotation="90"/>
    </xf>
    <xf numFmtId="0" fontId="1" fillId="8" borderId="3" xfId="0" quotePrefix="1" applyFont="1" applyFill="1" applyBorder="1"/>
    <xf numFmtId="0" fontId="0" fillId="5" borderId="3" xfId="0" quotePrefix="1" applyFont="1" applyFill="1" applyBorder="1"/>
    <xf numFmtId="3" fontId="4" fillId="5" borderId="3" xfId="1" quotePrefix="1" applyNumberFormat="1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5" borderId="3" xfId="0" quotePrefix="1" applyFont="1" applyFill="1" applyBorder="1"/>
    <xf numFmtId="0" fontId="2" fillId="6" borderId="12" xfId="0" applyFont="1" applyFill="1" applyBorder="1" applyAlignment="1">
      <alignment horizontal="center" textRotation="90"/>
    </xf>
    <xf numFmtId="0" fontId="0" fillId="5" borderId="3" xfId="0" applyFill="1" applyBorder="1"/>
    <xf numFmtId="165" fontId="1" fillId="8" borderId="18" xfId="0" applyNumberFormat="1" applyFont="1" applyFill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11" borderId="3" xfId="0" applyFill="1" applyBorder="1"/>
    <xf numFmtId="165" fontId="1" fillId="4" borderId="3" xfId="0" applyNumberFormat="1" applyFont="1" applyFill="1" applyBorder="1" applyAlignment="1">
      <alignment horizontal="left"/>
    </xf>
    <xf numFmtId="0" fontId="2" fillId="13" borderId="3" xfId="0" applyFont="1" applyFill="1" applyBorder="1" applyAlignment="1">
      <alignment horizontal="center" textRotation="90"/>
    </xf>
    <xf numFmtId="0" fontId="2" fillId="12" borderId="3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1" fillId="12" borderId="3" xfId="0" quotePrefix="1" applyFont="1" applyFill="1" applyBorder="1"/>
    <xf numFmtId="165" fontId="1" fillId="12" borderId="3" xfId="0" quotePrefix="1" applyNumberFormat="1" applyFont="1" applyFill="1" applyBorder="1"/>
    <xf numFmtId="165" fontId="1" fillId="12" borderId="4" xfId="0" applyNumberFormat="1" applyFont="1" applyFill="1" applyBorder="1" applyAlignment="1">
      <alignment horizontal="center"/>
    </xf>
    <xf numFmtId="165" fontId="0" fillId="0" borderId="0" xfId="0" applyNumberFormat="1"/>
    <xf numFmtId="0" fontId="2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4" fillId="3" borderId="0" xfId="0" quotePrefix="1" applyFont="1" applyFill="1" applyBorder="1" applyAlignment="1">
      <alignment horizontal="center" vertical="center" wrapText="1"/>
    </xf>
    <xf numFmtId="0" fontId="0" fillId="9" borderId="0" xfId="0" applyFill="1"/>
    <xf numFmtId="164" fontId="6" fillId="0" borderId="0" xfId="0" applyNumberFormat="1" applyFont="1" applyFill="1" applyAlignment="1">
      <alignment horizontal="right" wrapText="1"/>
    </xf>
    <xf numFmtId="164" fontId="9" fillId="0" borderId="16" xfId="0" applyNumberFormat="1" applyFont="1" applyFill="1" applyBorder="1" applyAlignment="1">
      <alignment wrapText="1"/>
    </xf>
    <xf numFmtId="164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" fontId="16" fillId="0" borderId="0" xfId="2" applyNumberFormat="1" applyFont="1" applyFill="1"/>
    <xf numFmtId="165" fontId="1" fillId="13" borderId="4" xfId="0" applyNumberFormat="1" applyFont="1" applyFill="1" applyBorder="1" applyAlignment="1">
      <alignment horizontal="center"/>
    </xf>
    <xf numFmtId="0" fontId="0" fillId="15" borderId="2" xfId="0" quotePrefix="1" applyFont="1" applyFill="1" applyBorder="1"/>
    <xf numFmtId="0" fontId="0" fillId="7" borderId="5" xfId="0" quotePrefix="1" applyFont="1" applyFill="1" applyBorder="1"/>
    <xf numFmtId="0" fontId="0" fillId="7" borderId="8" xfId="0" quotePrefix="1" applyFont="1" applyFill="1" applyBorder="1"/>
    <xf numFmtId="0" fontId="0" fillId="7" borderId="10" xfId="0" quotePrefix="1" applyFont="1" applyFill="1" applyBorder="1"/>
    <xf numFmtId="165" fontId="0" fillId="15" borderId="3" xfId="0" applyNumberFormat="1" applyFont="1" applyFill="1" applyBorder="1" applyAlignment="1">
      <alignment horizontal="left"/>
    </xf>
    <xf numFmtId="165" fontId="0" fillId="15" borderId="7" xfId="0" applyNumberFormat="1" applyFont="1" applyFill="1" applyBorder="1" applyAlignment="1">
      <alignment horizontal="left"/>
    </xf>
    <xf numFmtId="165" fontId="0" fillId="15" borderId="19" xfId="0" applyNumberFormat="1" applyFont="1" applyFill="1" applyBorder="1" applyAlignment="1">
      <alignment horizontal="left"/>
    </xf>
    <xf numFmtId="0" fontId="0" fillId="15" borderId="16" xfId="0" quotePrefix="1" applyFont="1" applyFill="1" applyBorder="1" applyAlignment="1"/>
    <xf numFmtId="0" fontId="0" fillId="7" borderId="1" xfId="0" quotePrefix="1" applyFont="1" applyFill="1" applyBorder="1" applyAlignment="1"/>
    <xf numFmtId="0" fontId="0" fillId="15" borderId="3" xfId="0" applyFont="1" applyFill="1" applyBorder="1" applyAlignment="1">
      <alignment horizontal="left"/>
    </xf>
    <xf numFmtId="3" fontId="0" fillId="7" borderId="9" xfId="1" quotePrefix="1" applyNumberFormat="1" applyFont="1" applyFill="1" applyBorder="1" applyAlignment="1">
      <alignment horizontal="left"/>
    </xf>
    <xf numFmtId="0" fontId="0" fillId="5" borderId="0" xfId="0" applyFill="1" applyBorder="1"/>
    <xf numFmtId="0" fontId="0" fillId="8" borderId="0" xfId="0" applyFill="1" applyBorder="1" applyAlignment="1">
      <alignment horizontal="center"/>
    </xf>
    <xf numFmtId="3" fontId="4" fillId="5" borderId="6" xfId="1" quotePrefix="1" applyNumberFormat="1" applyFont="1" applyFill="1" applyBorder="1" applyAlignment="1">
      <alignment horizontal="left"/>
    </xf>
    <xf numFmtId="0" fontId="0" fillId="14" borderId="11" xfId="0" quotePrefix="1" applyFont="1" applyFill="1" applyBorder="1"/>
    <xf numFmtId="0" fontId="0" fillId="9" borderId="9" xfId="0" quotePrefix="1" applyFont="1" applyFill="1" applyBorder="1"/>
    <xf numFmtId="164" fontId="9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7" borderId="0" xfId="0" quotePrefix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9" fillId="7" borderId="3" xfId="0" quotePrefix="1" applyNumberFormat="1" applyFont="1" applyFill="1" applyBorder="1"/>
    <xf numFmtId="9" fontId="0" fillId="9" borderId="3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Fill="1" applyBorder="1"/>
    <xf numFmtId="1" fontId="0" fillId="0" borderId="0" xfId="0" applyNumberFormat="1"/>
    <xf numFmtId="164" fontId="9" fillId="0" borderId="0" xfId="0" quotePrefix="1" applyNumberFormat="1" applyFont="1" applyFill="1" applyBorder="1"/>
    <xf numFmtId="0" fontId="0" fillId="0" borderId="0" xfId="0" applyAlignment="1">
      <alignment textRotation="90"/>
    </xf>
    <xf numFmtId="0" fontId="2" fillId="12" borderId="0" xfId="0" applyFont="1" applyFill="1" applyAlignment="1">
      <alignment horizontal="center" textRotation="90"/>
    </xf>
    <xf numFmtId="0" fontId="0" fillId="16" borderId="3" xfId="0" applyFill="1" applyBorder="1"/>
    <xf numFmtId="0" fontId="0" fillId="13" borderId="3" xfId="0" applyFill="1" applyBorder="1"/>
    <xf numFmtId="165" fontId="1" fillId="13" borderId="3" xfId="0" quotePrefix="1" applyNumberFormat="1" applyFont="1" applyFill="1" applyBorder="1"/>
    <xf numFmtId="1" fontId="0" fillId="7" borderId="3" xfId="0" applyNumberFormat="1" applyFill="1" applyBorder="1"/>
    <xf numFmtId="9" fontId="0" fillId="0" borderId="3" xfId="0" applyNumberFormat="1" applyFill="1" applyBorder="1"/>
    <xf numFmtId="49" fontId="0" fillId="0" borderId="0" xfId="0" applyNumberFormat="1"/>
    <xf numFmtId="49" fontId="0" fillId="7" borderId="3" xfId="0" applyNumberFormat="1" applyFill="1" applyBorder="1"/>
    <xf numFmtId="164" fontId="0" fillId="7" borderId="3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9" fontId="0" fillId="0" borderId="0" xfId="0" applyNumberFormat="1"/>
    <xf numFmtId="9" fontId="0" fillId="9" borderId="0" xfId="0" applyNumberFormat="1" applyFill="1"/>
    <xf numFmtId="10" fontId="0" fillId="0" borderId="0" xfId="0" applyNumberFormat="1"/>
    <xf numFmtId="2" fontId="0" fillId="0" borderId="0" xfId="0" applyNumberFormat="1"/>
    <xf numFmtId="2" fontId="0" fillId="13" borderId="0" xfId="0" applyNumberFormat="1" applyFill="1"/>
    <xf numFmtId="49" fontId="0" fillId="0" borderId="0" xfId="0" applyNumberFormat="1" applyFill="1" applyBorder="1"/>
    <xf numFmtId="0" fontId="0" fillId="0" borderId="0" xfId="0" applyFill="1" applyBorder="1"/>
    <xf numFmtId="1" fontId="1" fillId="4" borderId="3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right"/>
    </xf>
    <xf numFmtId="1" fontId="4" fillId="9" borderId="3" xfId="0" applyNumberFormat="1" applyFont="1" applyFill="1" applyBorder="1" applyAlignment="1">
      <alignment horizontal="right"/>
    </xf>
    <xf numFmtId="1" fontId="13" fillId="8" borderId="3" xfId="0" quotePrefix="1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1" fontId="0" fillId="7" borderId="3" xfId="0" applyNumberFormat="1" applyFill="1" applyBorder="1" applyAlignment="1">
      <alignment horizontal="right"/>
    </xf>
    <xf numFmtId="1" fontId="0" fillId="7" borderId="3" xfId="0" quotePrefix="1" applyNumberFormat="1" applyFont="1" applyFill="1" applyBorder="1" applyAlignment="1">
      <alignment horizontal="right"/>
    </xf>
    <xf numFmtId="1" fontId="4" fillId="7" borderId="3" xfId="1" quotePrefix="1" applyNumberFormat="1" applyFont="1" applyFill="1" applyBorder="1" applyAlignment="1">
      <alignment horizontal="right"/>
    </xf>
    <xf numFmtId="1" fontId="2" fillId="8" borderId="3" xfId="0" applyNumberFormat="1" applyFont="1" applyFill="1" applyBorder="1" applyAlignment="1">
      <alignment horizontal="right"/>
    </xf>
    <xf numFmtId="1" fontId="2" fillId="7" borderId="3" xfId="0" quotePrefix="1" applyNumberFormat="1" applyFont="1" applyFill="1" applyBorder="1" applyAlignment="1">
      <alignment horizontal="right"/>
    </xf>
    <xf numFmtId="1" fontId="0" fillId="0" borderId="0" xfId="0" applyNumberFormat="1" applyBorder="1"/>
    <xf numFmtId="49" fontId="0" fillId="7" borderId="0" xfId="0" applyNumberFormat="1" applyFill="1"/>
    <xf numFmtId="9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Fill="1"/>
    <xf numFmtId="167" fontId="17" fillId="0" borderId="0" xfId="0" applyNumberFormat="1" applyFont="1" applyFill="1"/>
    <xf numFmtId="10" fontId="0" fillId="12" borderId="3" xfId="0" applyNumberFormat="1" applyFill="1" applyBorder="1"/>
    <xf numFmtId="10" fontId="0" fillId="9" borderId="3" xfId="0" applyNumberFormat="1" applyFill="1" applyBorder="1"/>
    <xf numFmtId="10" fontId="0" fillId="17" borderId="3" xfId="0" applyNumberFormat="1" applyFill="1" applyBorder="1"/>
    <xf numFmtId="9" fontId="0" fillId="17" borderId="3" xfId="0" applyNumberFormat="1" applyFill="1" applyBorder="1"/>
    <xf numFmtId="9" fontId="0" fillId="9" borderId="4" xfId="0" applyNumberFormat="1" applyFill="1" applyBorder="1"/>
    <xf numFmtId="9" fontId="0" fillId="0" borderId="4" xfId="0" applyNumberFormat="1" applyFill="1" applyBorder="1"/>
    <xf numFmtId="9" fontId="0" fillId="17" borderId="7" xfId="0" applyNumberFormat="1" applyFill="1" applyBorder="1"/>
    <xf numFmtId="2" fontId="1" fillId="4" borderId="3" xfId="0" applyNumberFormat="1" applyFont="1" applyFill="1" applyBorder="1" applyAlignment="1">
      <alignment horizontal="right"/>
    </xf>
    <xf numFmtId="2" fontId="1" fillId="13" borderId="4" xfId="0" applyNumberFormat="1" applyFont="1" applyFill="1" applyBorder="1" applyAlignment="1">
      <alignment horizontal="right"/>
    </xf>
    <xf numFmtId="2" fontId="1" fillId="12" borderId="4" xfId="0" applyNumberFormat="1" applyFont="1" applyFill="1" applyBorder="1" applyAlignment="1">
      <alignment horizontal="right"/>
    </xf>
    <xf numFmtId="2" fontId="13" fillId="8" borderId="3" xfId="0" applyNumberFormat="1" applyFont="1" applyFill="1" applyBorder="1" applyAlignment="1">
      <alignment horizontal="right"/>
    </xf>
    <xf numFmtId="2" fontId="4" fillId="7" borderId="3" xfId="0" applyNumberFormat="1" applyFont="1" applyFill="1" applyBorder="1" applyAlignment="1">
      <alignment horizontal="right"/>
    </xf>
    <xf numFmtId="2" fontId="4" fillId="9" borderId="3" xfId="0" applyNumberFormat="1" applyFont="1" applyFill="1" applyBorder="1" applyAlignment="1">
      <alignment horizontal="right"/>
    </xf>
    <xf numFmtId="2" fontId="0" fillId="7" borderId="3" xfId="0" applyNumberFormat="1" applyFill="1" applyBorder="1" applyAlignment="1">
      <alignment horizontal="right"/>
    </xf>
    <xf numFmtId="2" fontId="1" fillId="13" borderId="4" xfId="0" applyNumberFormat="1" applyFont="1" applyFill="1" applyBorder="1" applyAlignment="1">
      <alignment horizontal="center"/>
    </xf>
    <xf numFmtId="2" fontId="1" fillId="12" borderId="3" xfId="0" applyNumberFormat="1" applyFont="1" applyFill="1" applyBorder="1"/>
    <xf numFmtId="2" fontId="1" fillId="4" borderId="3" xfId="0" applyNumberFormat="1" applyFont="1" applyFill="1" applyBorder="1" applyAlignment="1">
      <alignment horizontal="center"/>
    </xf>
    <xf numFmtId="2" fontId="0" fillId="7" borderId="3" xfId="0" quotePrefix="1" applyNumberFormat="1" applyFont="1" applyFill="1" applyBorder="1" applyAlignment="1">
      <alignment horizontal="center"/>
    </xf>
    <xf numFmtId="2" fontId="1" fillId="8" borderId="12" xfId="0" applyNumberFormat="1" applyFont="1" applyFill="1" applyBorder="1" applyAlignment="1">
      <alignment horizontal="right"/>
    </xf>
    <xf numFmtId="2" fontId="13" fillId="8" borderId="3" xfId="0" quotePrefix="1" applyNumberFormat="1" applyFont="1" applyFill="1" applyBorder="1" applyAlignment="1">
      <alignment horizontal="right"/>
    </xf>
    <xf numFmtId="2" fontId="0" fillId="7" borderId="3" xfId="0" applyNumberFormat="1" applyFont="1" applyFill="1" applyBorder="1" applyAlignment="1">
      <alignment horizontal="right"/>
    </xf>
    <xf numFmtId="2" fontId="5" fillId="7" borderId="3" xfId="0" applyNumberFormat="1" applyFont="1" applyFill="1" applyBorder="1" applyAlignment="1">
      <alignment horizontal="right"/>
    </xf>
    <xf numFmtId="2" fontId="2" fillId="7" borderId="12" xfId="0" applyNumberFormat="1" applyFont="1" applyFill="1" applyBorder="1" applyAlignment="1">
      <alignment horizontal="right"/>
    </xf>
    <xf numFmtId="2" fontId="0" fillId="7" borderId="3" xfId="0" quotePrefix="1" applyNumberFormat="1" applyFont="1" applyFill="1" applyBorder="1" applyAlignment="1">
      <alignment horizontal="right"/>
    </xf>
    <xf numFmtId="2" fontId="0" fillId="14" borderId="3" xfId="0" applyNumberFormat="1" applyFont="1" applyFill="1" applyBorder="1" applyAlignment="1">
      <alignment horizontal="right"/>
    </xf>
    <xf numFmtId="2" fontId="4" fillId="14" borderId="3" xfId="0" applyNumberFormat="1" applyFont="1" applyFill="1" applyBorder="1" applyAlignment="1">
      <alignment horizontal="right"/>
    </xf>
    <xf numFmtId="2" fontId="0" fillId="14" borderId="3" xfId="0" applyNumberFormat="1" applyFill="1" applyBorder="1" applyAlignment="1">
      <alignment horizontal="right"/>
    </xf>
    <xf numFmtId="2" fontId="5" fillId="14" borderId="3" xfId="0" applyNumberFormat="1" applyFont="1" applyFill="1" applyBorder="1" applyAlignment="1">
      <alignment horizontal="right"/>
    </xf>
    <xf numFmtId="2" fontId="2" fillId="14" borderId="12" xfId="0" applyNumberFormat="1" applyFont="1" applyFill="1" applyBorder="1" applyAlignment="1">
      <alignment horizontal="right"/>
    </xf>
    <xf numFmtId="2" fontId="0" fillId="14" borderId="3" xfId="0" quotePrefix="1" applyNumberFormat="1" applyFont="1" applyFill="1" applyBorder="1" applyAlignment="1">
      <alignment horizontal="right"/>
    </xf>
    <xf numFmtId="2" fontId="0" fillId="9" borderId="3" xfId="0" applyNumberFormat="1" applyFont="1" applyFill="1" applyBorder="1" applyAlignment="1">
      <alignment horizontal="right"/>
    </xf>
    <xf numFmtId="2" fontId="0" fillId="9" borderId="3" xfId="0" applyNumberFormat="1" applyFill="1" applyBorder="1" applyAlignment="1">
      <alignment horizontal="right"/>
    </xf>
    <xf numFmtId="2" fontId="5" fillId="9" borderId="3" xfId="0" applyNumberFormat="1" applyFont="1" applyFill="1" applyBorder="1" applyAlignment="1">
      <alignment horizontal="right"/>
    </xf>
    <xf numFmtId="2" fontId="2" fillId="9" borderId="12" xfId="0" applyNumberFormat="1" applyFont="1" applyFill="1" applyBorder="1" applyAlignment="1">
      <alignment horizontal="right"/>
    </xf>
    <xf numFmtId="2" fontId="0" fillId="9" borderId="3" xfId="0" quotePrefix="1" applyNumberFormat="1" applyFont="1" applyFill="1" applyBorder="1" applyAlignment="1">
      <alignment horizontal="right"/>
    </xf>
    <xf numFmtId="2" fontId="5" fillId="14" borderId="12" xfId="0" applyNumberFormat="1" applyFont="1" applyFill="1" applyBorder="1" applyAlignment="1">
      <alignment horizontal="right"/>
    </xf>
    <xf numFmtId="2" fontId="0" fillId="7" borderId="0" xfId="0" applyNumberFormat="1" applyFill="1" applyAlignment="1">
      <alignment horizontal="right"/>
    </xf>
    <xf numFmtId="2" fontId="2" fillId="8" borderId="3" xfId="0" applyNumberFormat="1" applyFont="1" applyFill="1" applyBorder="1" applyAlignment="1">
      <alignment horizontal="right"/>
    </xf>
    <xf numFmtId="2" fontId="0" fillId="8" borderId="3" xfId="0" applyNumberFormat="1" applyFont="1" applyFill="1" applyBorder="1" applyAlignment="1">
      <alignment horizontal="right"/>
    </xf>
    <xf numFmtId="2" fontId="1" fillId="7" borderId="3" xfId="0" applyNumberFormat="1" applyFont="1" applyFill="1" applyBorder="1" applyAlignment="1">
      <alignment horizontal="right"/>
    </xf>
    <xf numFmtId="2" fontId="4" fillId="7" borderId="3" xfId="1" quotePrefix="1" applyNumberFormat="1" applyFont="1" applyFill="1" applyBorder="1" applyAlignment="1">
      <alignment horizontal="right"/>
    </xf>
    <xf numFmtId="2" fontId="1" fillId="9" borderId="3" xfId="0" applyNumberFormat="1" applyFont="1" applyFill="1" applyBorder="1" applyAlignment="1">
      <alignment horizontal="right"/>
    </xf>
    <xf numFmtId="2" fontId="2" fillId="9" borderId="3" xfId="0" quotePrefix="1" applyNumberFormat="1" applyFont="1" applyFill="1" applyBorder="1" applyAlignment="1">
      <alignment horizontal="right"/>
    </xf>
    <xf numFmtId="2" fontId="0" fillId="9" borderId="3" xfId="0" quotePrefix="1" applyNumberFormat="1" applyFont="1" applyFill="1" applyBorder="1" applyAlignment="1">
      <alignment horizontal="right" vertical="center"/>
    </xf>
    <xf numFmtId="2" fontId="2" fillId="7" borderId="3" xfId="0" quotePrefix="1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/>
    <xf numFmtId="2" fontId="0" fillId="7" borderId="3" xfId="0" applyNumberFormat="1" applyFill="1" applyBorder="1"/>
    <xf numFmtId="2" fontId="0" fillId="14" borderId="3" xfId="0" applyNumberFormat="1" applyFill="1" applyBorder="1"/>
    <xf numFmtId="2" fontId="0" fillId="9" borderId="3" xfId="0" applyNumberFormat="1" applyFill="1" applyBorder="1"/>
    <xf numFmtId="1" fontId="0" fillId="0" borderId="0" xfId="0" applyNumberFormat="1" applyProtection="1"/>
    <xf numFmtId="2" fontId="1" fillId="12" borderId="3" xfId="0" applyNumberFormat="1" applyFont="1" applyFill="1" applyBorder="1" applyAlignment="1">
      <alignment horizontal="right"/>
    </xf>
    <xf numFmtId="2" fontId="13" fillId="12" borderId="3" xfId="0" applyNumberFormat="1" applyFont="1" applyFill="1" applyBorder="1"/>
    <xf numFmtId="1" fontId="0" fillId="9" borderId="3" xfId="0" applyNumberForma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0" fillId="7" borderId="20" xfId="0" applyNumberFormat="1" applyFill="1" applyBorder="1"/>
    <xf numFmtId="2" fontId="0" fillId="0" borderId="0" xfId="0" applyNumberForma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9" fontId="0" fillId="18" borderId="3" xfId="0" applyNumberFormat="1" applyFill="1" applyBorder="1"/>
    <xf numFmtId="9" fontId="0" fillId="18" borderId="0" xfId="0" applyNumberFormat="1" applyFill="1"/>
    <xf numFmtId="0" fontId="0" fillId="0" borderId="3" xfId="0" applyFont="1" applyFill="1" applyBorder="1" applyAlignment="1">
      <alignment horizontal="left"/>
    </xf>
    <xf numFmtId="2" fontId="0" fillId="0" borderId="3" xfId="0" applyNumberFormat="1" applyBorder="1"/>
    <xf numFmtId="164" fontId="0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/>
    <xf numFmtId="9" fontId="0" fillId="5" borderId="0" xfId="0" applyNumberFormat="1" applyFill="1"/>
    <xf numFmtId="49" fontId="0" fillId="5" borderId="0" xfId="0" applyNumberFormat="1" applyFill="1"/>
    <xf numFmtId="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9393"/>
      <color rgb="FF8EA9DB"/>
      <color rgb="FFFF5B5B"/>
      <color rgb="FFE3DE00"/>
      <color rgb="FFFFF2CC"/>
      <color rgb="FFC6E0B4"/>
      <color rgb="FFA6A6A6"/>
      <color rgb="FFFCE4D6"/>
      <color rgb="FFC65911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vedmenu - Main Menu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vedmenu - Main Menu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ved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ved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ved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</xdr:col>
      <xdr:colOff>0</xdr:colOff>
      <xdr:row>1</xdr:row>
      <xdr:rowOff>258534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0" y="257174"/>
          <a:ext cx="2228850" cy="25853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12700</xdr:rowOff>
    </xdr:to>
    <xdr:sp macro="" textlink="">
      <xdr:nvSpPr>
        <xdr:cNvPr id="3" name="Face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4457700" y="257175"/>
          <a:ext cx="0" cy="26987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Main</a:t>
          </a:r>
          <a:r>
            <a:rPr lang="da-DK" sz="1200" b="1" baseline="0">
              <a:solidFill>
                <a:sysClr val="windowText" lastClr="000000"/>
              </a:solidFill>
            </a:rPr>
            <a:t> Menu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-1</xdr:rowOff>
    </xdr:from>
    <xdr:to>
      <xdr:col>1</xdr:col>
      <xdr:colOff>13607</xdr:colOff>
      <xdr:row>1</xdr:row>
      <xdr:rowOff>258534</xdr:rowOff>
    </xdr:to>
    <xdr:sp macro="" textlink="">
      <xdr:nvSpPr>
        <xdr:cNvPr id="4" name="Face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0" y="257174"/>
          <a:ext cx="2585357" cy="25853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2565400</xdr:colOff>
      <xdr:row>2</xdr:row>
      <xdr:rowOff>12700</xdr:rowOff>
    </xdr:to>
    <xdr:sp macro="" textlink="">
      <xdr:nvSpPr>
        <xdr:cNvPr id="5" name="Face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 bwMode="auto">
        <a:xfrm>
          <a:off x="2571750" y="257175"/>
          <a:ext cx="2565400" cy="26987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Main</a:t>
          </a:r>
          <a:r>
            <a:rPr lang="da-DK" sz="1200" b="1" baseline="0">
              <a:solidFill>
                <a:sysClr val="windowText" lastClr="000000"/>
              </a:solidFill>
            </a:rPr>
            <a:t> Menu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</xdr:col>
      <xdr:colOff>0</xdr:colOff>
      <xdr:row>1</xdr:row>
      <xdr:rowOff>258534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0" y="257174"/>
          <a:ext cx="2585357" cy="25853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12700</xdr:rowOff>
    </xdr:to>
    <xdr:sp macro="" textlink="">
      <xdr:nvSpPr>
        <xdr:cNvPr id="3" name="Face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>
          <a:off x="2571750" y="257175"/>
          <a:ext cx="2565400" cy="269875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Main</a:t>
          </a:r>
          <a:r>
            <a:rPr lang="da-DK" sz="1200" b="1" baseline="0">
              <a:solidFill>
                <a:sysClr val="windowText" lastClr="000000"/>
              </a:solidFill>
            </a:rPr>
            <a:t> Menu</a:t>
          </a:r>
          <a:endParaRPr lang="da-DK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12700</xdr:colOff>
      <xdr:row>1</xdr:row>
      <xdr:rowOff>241300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0" y="257175"/>
          <a:ext cx="2584450" cy="241300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12700</xdr:colOff>
      <xdr:row>1</xdr:row>
      <xdr:rowOff>241300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0" y="257175"/>
          <a:ext cx="2584450" cy="241300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12700</xdr:colOff>
      <xdr:row>1</xdr:row>
      <xdr:rowOff>241300</xdr:rowOff>
    </xdr:to>
    <xdr:sp macro="" textlink="">
      <xdr:nvSpPr>
        <xdr:cNvPr id="2" name="Face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0" y="257175"/>
          <a:ext cx="2584450" cy="241300"/>
        </a:xfrm>
        <a:prstGeom prst="bevel">
          <a:avLst/>
        </a:prstGeom>
        <a:ln>
          <a:headEnd type="none" w="med" len="med"/>
          <a:tailEnd type="none" w="med" len="med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200" b="1">
              <a:solidFill>
                <a:sysClr val="windowText" lastClr="000000"/>
              </a:solidFill>
            </a:rPr>
            <a:t>Hovedmenu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63"/>
  <sheetViews>
    <sheetView zoomScale="82" zoomScaleNormal="82" workbookViewId="0">
      <pane ySplit="1" topLeftCell="A2" activePane="bottomLeft" state="frozen"/>
      <selection pane="bottomLeft" activeCell="O27" sqref="O27"/>
    </sheetView>
  </sheetViews>
  <sheetFormatPr defaultRowHeight="15" x14ac:dyDescent="0.25"/>
  <cols>
    <col min="1" max="1" width="11.28515625" customWidth="1"/>
    <col min="3" max="3" width="12.5703125" bestFit="1" customWidth="1"/>
    <col min="5" max="5" width="11.7109375" customWidth="1"/>
    <col min="6" max="6" width="11.5703125" customWidth="1"/>
    <col min="7" max="7" width="14.7109375" customWidth="1"/>
    <col min="8" max="8" width="13" style="55" customWidth="1"/>
    <col min="9" max="9" width="9.140625" customWidth="1"/>
    <col min="13" max="13" width="12.140625" customWidth="1"/>
    <col min="14" max="14" width="14.42578125" customWidth="1"/>
    <col min="15" max="15" width="11" customWidth="1"/>
    <col min="16" max="16" width="15.5703125" customWidth="1"/>
    <col min="17" max="17" width="8.5703125" customWidth="1"/>
    <col min="18" max="18" width="14.42578125" customWidth="1"/>
    <col min="19" max="19" width="17.85546875" customWidth="1"/>
    <col min="20" max="20" width="58.42578125" customWidth="1"/>
    <col min="21" max="21" width="16" customWidth="1"/>
    <col min="22" max="23" width="11.85546875" customWidth="1"/>
    <col min="24" max="24" width="12" customWidth="1"/>
    <col min="25" max="25" width="9.140625" style="19"/>
    <col min="32" max="32" width="9.140625" style="55"/>
    <col min="39" max="39" width="11.5703125" customWidth="1"/>
    <col min="40" max="40" width="12.5703125" customWidth="1"/>
    <col min="42" max="42" width="9.140625" style="3"/>
    <col min="45" max="45" width="14.42578125" customWidth="1"/>
    <col min="46" max="46" width="13.85546875" customWidth="1"/>
    <col min="47" max="47" width="17.42578125" customWidth="1"/>
    <col min="48" max="48" width="18.85546875" customWidth="1"/>
  </cols>
  <sheetData>
    <row r="1" spans="1:47" ht="178.5" customHeight="1" x14ac:dyDescent="0.25">
      <c r="B1" s="23" t="s">
        <v>0</v>
      </c>
      <c r="C1" s="68" t="s">
        <v>1</v>
      </c>
      <c r="D1" s="68" t="s">
        <v>2</v>
      </c>
      <c r="E1" s="17" t="s">
        <v>3</v>
      </c>
      <c r="F1" s="17" t="s">
        <v>4</v>
      </c>
      <c r="G1" s="17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20" t="s">
        <v>15</v>
      </c>
      <c r="R1" s="20" t="s">
        <v>17</v>
      </c>
      <c r="S1" s="114" t="s">
        <v>18</v>
      </c>
      <c r="T1" s="113" t="s">
        <v>19</v>
      </c>
      <c r="U1" s="56"/>
      <c r="V1" s="6"/>
      <c r="W1" s="30" t="s">
        <v>20</v>
      </c>
      <c r="X1" s="62" t="s">
        <v>21</v>
      </c>
      <c r="Y1" s="30" t="s">
        <v>22</v>
      </c>
      <c r="Z1" s="23" t="s">
        <v>23</v>
      </c>
      <c r="AA1" s="68" t="s">
        <v>1</v>
      </c>
      <c r="AB1" s="68" t="s">
        <v>2</v>
      </c>
      <c r="AC1" s="17" t="s">
        <v>3</v>
      </c>
      <c r="AD1" s="17" t="s">
        <v>4</v>
      </c>
      <c r="AE1" s="17" t="s">
        <v>5</v>
      </c>
      <c r="AF1" s="20" t="s">
        <v>6</v>
      </c>
      <c r="AG1" s="20" t="s">
        <v>7</v>
      </c>
      <c r="AH1" s="20" t="s">
        <v>8</v>
      </c>
      <c r="AI1" s="20" t="s">
        <v>9</v>
      </c>
      <c r="AJ1" s="20" t="s">
        <v>10</v>
      </c>
      <c r="AK1" s="20" t="s">
        <v>11</v>
      </c>
      <c r="AL1" s="21" t="s">
        <v>12</v>
      </c>
      <c r="AM1" s="20" t="s">
        <v>13</v>
      </c>
      <c r="AN1" s="20" t="s">
        <v>14</v>
      </c>
      <c r="AO1" s="20" t="s">
        <v>24</v>
      </c>
      <c r="AP1" s="20" t="s">
        <v>17</v>
      </c>
      <c r="AQ1" s="74" t="s">
        <v>25</v>
      </c>
      <c r="AR1" s="74" t="s">
        <v>26</v>
      </c>
    </row>
    <row r="2" spans="1:47" ht="24.75" customHeight="1" x14ac:dyDescent="0.25">
      <c r="A2" s="69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1" t="s">
        <v>34</v>
      </c>
      <c r="I2" s="7" t="s">
        <v>35</v>
      </c>
      <c r="J2" s="7" t="s">
        <v>36</v>
      </c>
      <c r="K2" s="7" t="s">
        <v>37</v>
      </c>
      <c r="L2" s="7" t="s">
        <v>38</v>
      </c>
      <c r="M2" s="8" t="s">
        <v>39</v>
      </c>
      <c r="N2" s="8" t="s">
        <v>40</v>
      </c>
      <c r="O2" s="8" t="s">
        <v>41</v>
      </c>
      <c r="P2" s="8" t="s">
        <v>42</v>
      </c>
      <c r="Q2" s="7" t="s">
        <v>43</v>
      </c>
      <c r="R2" s="7" t="s">
        <v>44</v>
      </c>
      <c r="S2" s="75" t="s">
        <v>45</v>
      </c>
      <c r="T2" s="5"/>
      <c r="U2" s="57" t="s">
        <v>27</v>
      </c>
      <c r="V2" s="9" t="s">
        <v>46</v>
      </c>
      <c r="W2" s="75" t="s">
        <v>47</v>
      </c>
      <c r="X2" s="76" t="s">
        <v>48</v>
      </c>
      <c r="Y2" s="75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  <c r="AG2" s="7" t="s">
        <v>57</v>
      </c>
      <c r="AH2" s="7" t="s">
        <v>58</v>
      </c>
      <c r="AI2" s="7" t="s">
        <v>59</v>
      </c>
      <c r="AJ2" s="7" t="s">
        <v>60</v>
      </c>
      <c r="AK2" s="7" t="s">
        <v>61</v>
      </c>
      <c r="AL2" s="8" t="s">
        <v>62</v>
      </c>
      <c r="AM2" s="7" t="s">
        <v>63</v>
      </c>
      <c r="AN2" s="7" t="s">
        <v>64</v>
      </c>
      <c r="AO2" s="7" t="s">
        <v>65</v>
      </c>
      <c r="AP2" s="7" t="s">
        <v>66</v>
      </c>
      <c r="AQ2" s="7" t="s">
        <v>67</v>
      </c>
      <c r="AR2" s="7" t="s">
        <v>68</v>
      </c>
    </row>
    <row r="3" spans="1:47" ht="24.75" customHeight="1" x14ac:dyDescent="0.25">
      <c r="A3" s="69" t="s">
        <v>46</v>
      </c>
      <c r="B3" s="69"/>
      <c r="C3" s="7" t="s">
        <v>69</v>
      </c>
      <c r="D3" s="7" t="s">
        <v>69</v>
      </c>
      <c r="E3" s="7" t="s">
        <v>69</v>
      </c>
      <c r="F3" s="7" t="s">
        <v>69</v>
      </c>
      <c r="G3" s="7" t="s">
        <v>69</v>
      </c>
      <c r="H3" s="7" t="s">
        <v>69</v>
      </c>
      <c r="I3" s="7" t="s">
        <v>69</v>
      </c>
      <c r="J3" s="7" t="s">
        <v>69</v>
      </c>
      <c r="K3" s="7" t="s">
        <v>69</v>
      </c>
      <c r="L3" s="7" t="s">
        <v>69</v>
      </c>
      <c r="M3" s="8" t="s">
        <v>28</v>
      </c>
      <c r="N3" s="8" t="s">
        <v>28</v>
      </c>
      <c r="O3" s="8" t="s">
        <v>28</v>
      </c>
      <c r="P3" s="8" t="s">
        <v>28</v>
      </c>
      <c r="Q3" s="8" t="s">
        <v>28</v>
      </c>
      <c r="R3" s="8" t="s">
        <v>69</v>
      </c>
      <c r="S3" s="75"/>
      <c r="T3" s="83" t="s">
        <v>70</v>
      </c>
      <c r="U3" s="9"/>
      <c r="V3" s="9"/>
      <c r="W3" s="9"/>
      <c r="X3" s="75"/>
      <c r="Y3" s="75"/>
      <c r="Z3" s="69"/>
      <c r="AA3" s="7" t="s">
        <v>71</v>
      </c>
      <c r="AB3" s="7" t="s">
        <v>71</v>
      </c>
      <c r="AC3" s="7" t="s">
        <v>71</v>
      </c>
      <c r="AD3" s="7" t="s">
        <v>71</v>
      </c>
      <c r="AE3" s="7" t="s">
        <v>71</v>
      </c>
      <c r="AF3" s="7" t="s">
        <v>71</v>
      </c>
      <c r="AG3" s="7" t="s">
        <v>71</v>
      </c>
      <c r="AH3" s="7" t="s">
        <v>71</v>
      </c>
      <c r="AI3" s="7" t="s">
        <v>71</v>
      </c>
      <c r="AJ3" s="7" t="s">
        <v>71</v>
      </c>
      <c r="AK3" s="7" t="s">
        <v>50</v>
      </c>
      <c r="AL3" s="8" t="s">
        <v>50</v>
      </c>
      <c r="AM3" s="7" t="s">
        <v>50</v>
      </c>
      <c r="AN3" s="7" t="s">
        <v>50</v>
      </c>
      <c r="AO3" s="7" t="s">
        <v>50</v>
      </c>
      <c r="AP3" s="7" t="s">
        <v>71</v>
      </c>
      <c r="AQ3" s="7"/>
      <c r="AR3" s="7"/>
    </row>
    <row r="4" spans="1:47" ht="24.75" customHeight="1" thickBot="1" x14ac:dyDescent="0.3">
      <c r="A4" s="102"/>
      <c r="B4" s="69">
        <v>45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75"/>
      <c r="T4" s="83"/>
      <c r="U4" s="9"/>
      <c r="V4" s="9"/>
      <c r="W4" s="9"/>
      <c r="X4" s="75"/>
      <c r="Y4" s="75"/>
      <c r="Z4" s="69">
        <f>B4</f>
        <v>45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>
        <f>N4</f>
        <v>0</v>
      </c>
      <c r="AM4" s="7"/>
      <c r="AN4" s="7"/>
      <c r="AO4" s="7"/>
      <c r="AP4" s="7"/>
      <c r="AQ4" s="7">
        <f>Z4</f>
        <v>45</v>
      </c>
      <c r="AR4" s="7">
        <f>'Størrelse på strømme'!E55</f>
        <v>2.3866474187103721</v>
      </c>
    </row>
    <row r="5" spans="1:47" x14ac:dyDescent="0.25">
      <c r="B5" s="72"/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  <c r="I5" s="166">
        <v>0</v>
      </c>
      <c r="J5" s="166">
        <v>0</v>
      </c>
      <c r="K5" s="166">
        <v>0</v>
      </c>
      <c r="L5" s="166">
        <v>0</v>
      </c>
      <c r="M5" s="166">
        <v>0</v>
      </c>
      <c r="N5" s="166">
        <v>0</v>
      </c>
      <c r="O5" s="166">
        <v>0</v>
      </c>
      <c r="P5" s="166">
        <v>0</v>
      </c>
      <c r="Q5" s="166">
        <v>0</v>
      </c>
      <c r="R5" s="167"/>
      <c r="S5" s="168">
        <f t="shared" ref="S5:S22" si="0">SUM(C5:Q5)</f>
        <v>0</v>
      </c>
      <c r="T5" s="91" t="s">
        <v>72</v>
      </c>
      <c r="U5" s="25" t="s">
        <v>73</v>
      </c>
      <c r="V5" s="63"/>
      <c r="W5" s="63">
        <f>'Størrelse på strømme'!E44</f>
        <v>17.773563932909525</v>
      </c>
      <c r="X5" s="78">
        <f t="shared" ref="X5:X22" si="1">SUM(AA5:AO5)</f>
        <v>783.85882275188453</v>
      </c>
      <c r="Y5" s="77"/>
      <c r="Z5" s="72"/>
      <c r="AA5" s="175">
        <f>SUM(AA6:AA8)</f>
        <v>324.63360864090816</v>
      </c>
      <c r="AB5" s="175">
        <f t="shared" ref="AB5:AP5" si="2">SUM(AB6:AB8)</f>
        <v>25.94192</v>
      </c>
      <c r="AC5" s="175">
        <f t="shared" si="2"/>
        <v>162.13140000000001</v>
      </c>
      <c r="AD5" s="175">
        <f t="shared" si="2"/>
        <v>67.523311478654605</v>
      </c>
      <c r="AE5" s="175">
        <f t="shared" si="2"/>
        <v>18.487728596282043</v>
      </c>
      <c r="AF5" s="175">
        <f t="shared" si="2"/>
        <v>175.81809698276234</v>
      </c>
      <c r="AG5" s="175">
        <f t="shared" si="2"/>
        <v>0</v>
      </c>
      <c r="AH5" s="175">
        <f t="shared" si="2"/>
        <v>0</v>
      </c>
      <c r="AI5" s="175">
        <f t="shared" si="2"/>
        <v>0</v>
      </c>
      <c r="AJ5" s="175">
        <f t="shared" si="2"/>
        <v>0</v>
      </c>
      <c r="AK5" s="175">
        <f t="shared" si="2"/>
        <v>9.3227570532773729</v>
      </c>
      <c r="AL5" s="175">
        <f t="shared" si="2"/>
        <v>0</v>
      </c>
      <c r="AM5" s="175">
        <f t="shared" si="2"/>
        <v>0</v>
      </c>
      <c r="AN5" s="175">
        <f t="shared" si="2"/>
        <v>0</v>
      </c>
      <c r="AO5" s="175">
        <f t="shared" si="2"/>
        <v>0</v>
      </c>
      <c r="AP5" s="175">
        <f t="shared" si="2"/>
        <v>0</v>
      </c>
      <c r="AQ5" s="175">
        <f t="shared" ref="AQ5" si="3">SUM(AQ6:AQ8)</f>
        <v>20.987379999999998</v>
      </c>
      <c r="AR5" s="143">
        <f t="shared" ref="AR5" si="4">SUM(AR6:AR8)</f>
        <v>1.19628066</v>
      </c>
    </row>
    <row r="6" spans="1:47" x14ac:dyDescent="0.25">
      <c r="B6" s="72"/>
      <c r="C6" s="206">
        <v>0</v>
      </c>
      <c r="D6" s="206">
        <v>0</v>
      </c>
      <c r="E6" s="206">
        <f>(AC6*'Nøgletal sekundær energi'!M34*-1)</f>
        <v>-20.987379999999998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0</v>
      </c>
      <c r="O6" s="206">
        <v>0</v>
      </c>
      <c r="P6" s="206">
        <v>0</v>
      </c>
      <c r="Q6" s="206">
        <v>0</v>
      </c>
      <c r="R6" s="167"/>
      <c r="S6" s="168">
        <f t="shared" si="0"/>
        <v>-20.987379999999998</v>
      </c>
      <c r="T6" s="92" t="s">
        <v>74</v>
      </c>
      <c r="U6" s="11" t="s">
        <v>75</v>
      </c>
      <c r="V6" s="64" t="s">
        <v>73</v>
      </c>
      <c r="W6" s="64"/>
      <c r="X6" s="78">
        <f t="shared" si="1"/>
        <v>545.88730999999996</v>
      </c>
      <c r="Y6" s="77"/>
      <c r="Z6" s="72"/>
      <c r="AA6" s="206">
        <f>('Nøgletal sekundær energi'!L26)/1000</f>
        <v>243.62884</v>
      </c>
      <c r="AB6" s="206">
        <f>('Nøgletal sekundær energi'!L27)/1000</f>
        <v>25.94192</v>
      </c>
      <c r="AC6" s="206">
        <f>('Nøgletal sekundær energi'!L29)/1000</f>
        <v>155.07133999999999</v>
      </c>
      <c r="AD6" s="206">
        <f>('Nøgletal sekundær energi'!L28)/1000</f>
        <v>0</v>
      </c>
      <c r="AE6" s="206">
        <f>('Nøgletal sekundær energi'!L30)/1000</f>
        <v>15.103084500000003</v>
      </c>
      <c r="AF6" s="206">
        <f>('Nøgletal sekundær energi'!L31)/1000</f>
        <v>105.9080055</v>
      </c>
      <c r="AG6" s="206">
        <v>0</v>
      </c>
      <c r="AH6" s="206">
        <v>0</v>
      </c>
      <c r="AI6" s="206">
        <v>0</v>
      </c>
      <c r="AJ6" s="206">
        <v>0</v>
      </c>
      <c r="AK6" s="206">
        <f>('Nøgletal sekundær energi'!L32)/1000</f>
        <v>0.23411999999999999</v>
      </c>
      <c r="AL6" s="206">
        <v>0</v>
      </c>
      <c r="AM6" s="206">
        <v>0</v>
      </c>
      <c r="AN6" s="206">
        <v>0</v>
      </c>
      <c r="AO6" s="206">
        <v>0</v>
      </c>
      <c r="AP6" s="206">
        <v>0</v>
      </c>
      <c r="AQ6" s="176">
        <f>S6*-1</f>
        <v>20.987379999999998</v>
      </c>
      <c r="AR6" s="215">
        <f>(((E6*Emissionsfaktorer!$B$2+F6*Emissionsfaktorer!$B$3+G6*Emissionsfaktorer!$B$4+N6*Emissionsfaktorer!$B$5)*-1)*1000)/1000</f>
        <v>1.19628066</v>
      </c>
      <c r="AS6" s="216"/>
    </row>
    <row r="7" spans="1:47" x14ac:dyDescent="0.25">
      <c r="B7" s="72"/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f>(AF6*'Nøgletal sekundær energi'!M36*-1)</f>
        <v>-7.06006</v>
      </c>
      <c r="I7" s="206">
        <v>0</v>
      </c>
      <c r="J7" s="206">
        <v>0</v>
      </c>
      <c r="K7" s="206">
        <v>0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167"/>
      <c r="S7" s="168">
        <f t="shared" si="0"/>
        <v>-7.06006</v>
      </c>
      <c r="T7" s="92" t="s">
        <v>76</v>
      </c>
      <c r="U7" s="11" t="s">
        <v>77</v>
      </c>
      <c r="V7" s="64" t="s">
        <v>73</v>
      </c>
      <c r="W7" s="64"/>
      <c r="X7" s="78">
        <f t="shared" si="1"/>
        <v>7.06006</v>
      </c>
      <c r="Y7" s="77"/>
      <c r="Z7" s="72"/>
      <c r="AA7" s="206">
        <v>0</v>
      </c>
      <c r="AB7" s="206">
        <v>0</v>
      </c>
      <c r="AC7" s="206">
        <f>(H7*-1)</f>
        <v>7.06006</v>
      </c>
      <c r="AD7" s="206">
        <v>0</v>
      </c>
      <c r="AE7" s="206">
        <v>0</v>
      </c>
      <c r="AF7" s="206">
        <v>0</v>
      </c>
      <c r="AG7" s="206">
        <v>0</v>
      </c>
      <c r="AH7" s="206">
        <v>0</v>
      </c>
      <c r="AI7" s="206">
        <v>0</v>
      </c>
      <c r="AJ7" s="206">
        <v>0</v>
      </c>
      <c r="AK7" s="206">
        <v>0</v>
      </c>
      <c r="AL7" s="206">
        <v>0</v>
      </c>
      <c r="AM7" s="206">
        <v>0</v>
      </c>
      <c r="AN7" s="206">
        <v>0</v>
      </c>
      <c r="AO7" s="206">
        <v>0</v>
      </c>
      <c r="AP7" s="206">
        <v>0</v>
      </c>
      <c r="AQ7" s="176">
        <f>S7*-1-X7</f>
        <v>0</v>
      </c>
      <c r="AR7" s="215">
        <f>(((E7*Emissionsfaktorer!$B$2+F7*Emissionsfaktorer!$B$3+G7*Emissionsfaktorer!$B$4+N7*Emissionsfaktorer!$B$5)*-1)*1000)/1000</f>
        <v>0</v>
      </c>
    </row>
    <row r="8" spans="1:47" x14ac:dyDescent="0.25">
      <c r="B8" s="72"/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167"/>
      <c r="S8" s="168">
        <f t="shared" si="0"/>
        <v>0</v>
      </c>
      <c r="T8" s="94" t="s">
        <v>78</v>
      </c>
      <c r="U8" s="16" t="s">
        <v>79</v>
      </c>
      <c r="V8" s="64" t="s">
        <v>73</v>
      </c>
      <c r="W8" s="64"/>
      <c r="X8" s="78">
        <f t="shared" si="1"/>
        <v>230.91145275188455</v>
      </c>
      <c r="Y8" s="77"/>
      <c r="Z8" s="72"/>
      <c r="AA8" s="206">
        <f t="shared" ref="AA8:AF8" si="5">(IF(AA6+AA7+C11+C28+C6+C7&lt;0,AA6+AA7+C11+C28+C6+C7,0)*-1)</f>
        <v>81.004768640908168</v>
      </c>
      <c r="AB8" s="206">
        <f t="shared" si="5"/>
        <v>0</v>
      </c>
      <c r="AC8" s="206">
        <f t="shared" si="5"/>
        <v>2.4868995751603507E-14</v>
      </c>
      <c r="AD8" s="206">
        <f t="shared" si="5"/>
        <v>67.523311478654605</v>
      </c>
      <c r="AE8" s="206">
        <f t="shared" si="5"/>
        <v>3.3846440962820408</v>
      </c>
      <c r="AF8" s="206">
        <f t="shared" si="5"/>
        <v>69.91009148276234</v>
      </c>
      <c r="AG8" s="206">
        <v>0</v>
      </c>
      <c r="AH8" s="206">
        <v>0</v>
      </c>
      <c r="AI8" s="206">
        <v>0</v>
      </c>
      <c r="AJ8" s="206">
        <v>0</v>
      </c>
      <c r="AK8" s="206">
        <f>(IF(AK6+AK7+M11+M28+M6+M7&lt;0,AK6+AK7+M11+M28+M6+M7,0)*-1)</f>
        <v>9.0886370532773721</v>
      </c>
      <c r="AL8" s="206">
        <v>0</v>
      </c>
      <c r="AM8" s="206">
        <v>0</v>
      </c>
      <c r="AN8" s="206">
        <v>0</v>
      </c>
      <c r="AO8" s="206">
        <v>0</v>
      </c>
      <c r="AP8" s="206">
        <v>0</v>
      </c>
      <c r="AQ8" s="176">
        <v>0</v>
      </c>
      <c r="AR8" s="215">
        <f>(((E8*Emissionsfaktorer!$B$2+F8*Emissionsfaktorer!$B$3+G8*Emissionsfaktorer!$B$4+N8*Emissionsfaktorer!$B$5)*-1)*1000)/1000</f>
        <v>0</v>
      </c>
    </row>
    <row r="9" spans="1:47" x14ac:dyDescent="0.25">
      <c r="B9" s="72"/>
      <c r="C9" s="169">
        <f t="shared" ref="C9:Q9" si="6">(AA5+C6+C7)*-1</f>
        <v>-324.63360864090816</v>
      </c>
      <c r="D9" s="169">
        <f t="shared" si="6"/>
        <v>-25.94192</v>
      </c>
      <c r="E9" s="169">
        <f t="shared" si="6"/>
        <v>-141.14402000000001</v>
      </c>
      <c r="F9" s="169">
        <f t="shared" si="6"/>
        <v>-67.523311478654605</v>
      </c>
      <c r="G9" s="169">
        <f t="shared" si="6"/>
        <v>-18.487728596282043</v>
      </c>
      <c r="H9" s="169">
        <f t="shared" si="6"/>
        <v>-168.75803698276235</v>
      </c>
      <c r="I9" s="169">
        <f t="shared" si="6"/>
        <v>0</v>
      </c>
      <c r="J9" s="169">
        <f t="shared" si="6"/>
        <v>0</v>
      </c>
      <c r="K9" s="169">
        <f t="shared" si="6"/>
        <v>0</v>
      </c>
      <c r="L9" s="169">
        <f t="shared" si="6"/>
        <v>0</v>
      </c>
      <c r="M9" s="169">
        <f t="shared" si="6"/>
        <v>-9.3227570532773729</v>
      </c>
      <c r="N9" s="169">
        <f t="shared" si="6"/>
        <v>0</v>
      </c>
      <c r="O9" s="169">
        <f t="shared" si="6"/>
        <v>0</v>
      </c>
      <c r="P9" s="169">
        <f t="shared" si="6"/>
        <v>0</v>
      </c>
      <c r="Q9" s="169">
        <f t="shared" si="6"/>
        <v>0</v>
      </c>
      <c r="R9" s="167"/>
      <c r="S9" s="168">
        <f t="shared" si="0"/>
        <v>-755.81138275188459</v>
      </c>
      <c r="T9" s="95" t="s">
        <v>80</v>
      </c>
      <c r="U9" s="73" t="s">
        <v>81</v>
      </c>
      <c r="V9" s="24"/>
      <c r="W9" s="24"/>
      <c r="X9" s="78">
        <f t="shared" si="1"/>
        <v>755.81138275188459</v>
      </c>
      <c r="Y9" s="77"/>
      <c r="Z9" s="72"/>
      <c r="AA9" s="177">
        <f t="shared" ref="AA9:AF9" si="7">(C11+C28)*-1</f>
        <v>324.63360864090816</v>
      </c>
      <c r="AB9" s="177">
        <f t="shared" si="7"/>
        <v>25.94192</v>
      </c>
      <c r="AC9" s="177">
        <f t="shared" si="7"/>
        <v>141.14402000000001</v>
      </c>
      <c r="AD9" s="177">
        <f t="shared" si="7"/>
        <v>67.523311478654605</v>
      </c>
      <c r="AE9" s="177">
        <f t="shared" si="7"/>
        <v>18.487728596282043</v>
      </c>
      <c r="AF9" s="177">
        <f t="shared" si="7"/>
        <v>168.75803698276235</v>
      </c>
      <c r="AG9" s="177"/>
      <c r="AH9" s="177"/>
      <c r="AI9" s="177"/>
      <c r="AJ9" s="177"/>
      <c r="AK9" s="177">
        <f>(M11+M28)*-1</f>
        <v>9.3227570532773711</v>
      </c>
      <c r="AL9" s="177"/>
      <c r="AM9" s="177"/>
      <c r="AN9" s="177"/>
      <c r="AO9" s="177"/>
      <c r="AP9" s="177"/>
      <c r="AQ9" s="178">
        <v>0</v>
      </c>
      <c r="AR9" s="146">
        <v>0</v>
      </c>
    </row>
    <row r="10" spans="1:47" x14ac:dyDescent="0.25">
      <c r="B10" s="72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7"/>
      <c r="S10" s="168">
        <f t="shared" si="0"/>
        <v>0</v>
      </c>
      <c r="T10" s="96" t="s">
        <v>82</v>
      </c>
      <c r="U10" s="58" t="s">
        <v>83</v>
      </c>
      <c r="V10" s="24"/>
      <c r="W10" s="24"/>
      <c r="X10" s="78">
        <f t="shared" si="1"/>
        <v>55.857906350135899</v>
      </c>
      <c r="Y10" s="77"/>
      <c r="Z10" s="72"/>
      <c r="AA10" s="177"/>
      <c r="AB10" s="177"/>
      <c r="AC10" s="177"/>
      <c r="AD10" s="177"/>
      <c r="AE10" s="177"/>
      <c r="AF10" s="177"/>
      <c r="AG10" s="177">
        <f>I11*-1</f>
        <v>5.5938020470708203</v>
      </c>
      <c r="AH10" s="177">
        <f>J11*-1</f>
        <v>50.100529630191389</v>
      </c>
      <c r="AI10" s="177">
        <f>K11*-1</f>
        <v>0.11000534395635986</v>
      </c>
      <c r="AJ10" s="177">
        <f>L11*-1</f>
        <v>5.3569328917323598E-2</v>
      </c>
      <c r="AK10" s="177"/>
      <c r="AL10" s="177"/>
      <c r="AM10" s="177"/>
      <c r="AN10" s="177"/>
      <c r="AO10" s="177"/>
      <c r="AP10" s="177"/>
      <c r="AQ10" s="178">
        <v>0</v>
      </c>
      <c r="AR10" s="146">
        <v>0</v>
      </c>
      <c r="AS10" s="4"/>
      <c r="AT10" s="4"/>
      <c r="AU10" s="4"/>
    </row>
    <row r="11" spans="1:47" x14ac:dyDescent="0.25">
      <c r="B11" s="72"/>
      <c r="C11" s="166">
        <f>C12+C13+C24+C25</f>
        <v>-324.63360864090816</v>
      </c>
      <c r="D11" s="166">
        <f t="shared" ref="D11:Q11" si="8">D12+D13+D24+D25</f>
        <v>0</v>
      </c>
      <c r="E11" s="166">
        <f t="shared" si="8"/>
        <v>-30.746019087274949</v>
      </c>
      <c r="F11" s="166">
        <f t="shared" si="8"/>
        <v>-61.930990567376199</v>
      </c>
      <c r="G11" s="166">
        <f t="shared" si="8"/>
        <v>-16.295098293887452</v>
      </c>
      <c r="H11" s="166">
        <f t="shared" si="8"/>
        <v>-107.93288049824753</v>
      </c>
      <c r="I11" s="166">
        <f t="shared" si="8"/>
        <v>-5.5938020470708203</v>
      </c>
      <c r="J11" s="166">
        <f t="shared" si="8"/>
        <v>-50.100529630191389</v>
      </c>
      <c r="K11" s="166">
        <f t="shared" si="8"/>
        <v>-0.11000534395635986</v>
      </c>
      <c r="L11" s="166">
        <f t="shared" si="8"/>
        <v>-5.3569328917323598E-2</v>
      </c>
      <c r="M11" s="166">
        <f t="shared" si="8"/>
        <v>-0.23389747640598466</v>
      </c>
      <c r="N11" s="166">
        <f t="shared" si="8"/>
        <v>-3.7826500073193823</v>
      </c>
      <c r="O11" s="166">
        <f t="shared" si="8"/>
        <v>-2.250988052455396</v>
      </c>
      <c r="P11" s="166">
        <f t="shared" si="8"/>
        <v>-0.63713474491294153</v>
      </c>
      <c r="Q11" s="166">
        <f t="shared" si="8"/>
        <v>0</v>
      </c>
      <c r="R11" s="167"/>
      <c r="S11" s="168">
        <f t="shared" si="0"/>
        <v>-604.30117371892379</v>
      </c>
      <c r="T11" s="96" t="s">
        <v>84</v>
      </c>
      <c r="U11" s="58" t="s">
        <v>85</v>
      </c>
      <c r="V11" s="24"/>
      <c r="W11" s="24">
        <f>'Størrelse på strømme'!E44</f>
        <v>17.773563932909525</v>
      </c>
      <c r="X11" s="78">
        <f t="shared" si="1"/>
        <v>536.15133969757835</v>
      </c>
      <c r="Y11" s="77"/>
      <c r="Z11" s="72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>
        <f>N26*-1</f>
        <v>280.56803511191708</v>
      </c>
      <c r="AM11" s="166">
        <f>O26*-1</f>
        <v>122.15612441418439</v>
      </c>
      <c r="AN11" s="166">
        <f>P26*-1</f>
        <v>133.42718017147695</v>
      </c>
      <c r="AO11" s="166"/>
      <c r="AP11" s="166"/>
      <c r="AQ11" s="166">
        <f t="shared" ref="AQ11:AR11" si="9">AQ12+AQ13+AQ24+AQ25</f>
        <v>84.233162039039911</v>
      </c>
      <c r="AR11" s="147">
        <f t="shared" si="9"/>
        <v>10.201076113858294</v>
      </c>
      <c r="AS11" s="153"/>
      <c r="AT11" s="4"/>
      <c r="AU11" s="4"/>
    </row>
    <row r="12" spans="1:47" x14ac:dyDescent="0.25">
      <c r="B12" s="72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67"/>
      <c r="S12" s="168">
        <f t="shared" si="0"/>
        <v>0</v>
      </c>
      <c r="T12" s="101" t="s">
        <v>78</v>
      </c>
      <c r="U12" s="13" t="s">
        <v>86</v>
      </c>
      <c r="V12" s="65" t="s">
        <v>85</v>
      </c>
      <c r="W12" s="65"/>
      <c r="X12" s="78">
        <f t="shared" si="1"/>
        <v>18.931295197873641</v>
      </c>
      <c r="Y12" s="77"/>
      <c r="Z12" s="72"/>
      <c r="AA12" s="179"/>
      <c r="AB12" s="179"/>
      <c r="AC12" s="179"/>
      <c r="AD12" s="179"/>
      <c r="AE12" s="179"/>
      <c r="AF12" s="170"/>
      <c r="AG12" s="179"/>
      <c r="AH12" s="179"/>
      <c r="AI12" s="179"/>
      <c r="AJ12" s="179"/>
      <c r="AK12" s="172"/>
      <c r="AL12" s="180">
        <f>(N30+N37+N40+N45+N50)*IF('Nøgletal sekundær energi'!M24&gt;0,'Nøgletal sekundær energi'!M24)*-1</f>
        <v>0</v>
      </c>
      <c r="AM12" s="181">
        <f>IF((AM11-O24-O25-O21-(AM16+AM17+AM20))*'Nøgletal sekundær energi'!M15&gt;0,(AM11-O24-O25-(AM16+AM17+AM20))*'Nøgletal sekundær energi'!M15,0)</f>
        <v>18.81788309501351</v>
      </c>
      <c r="AN12" s="181">
        <f>(AN11-P25)*IF('Nøgletal sekundær energi'!M7&gt;0,'Nøgletal sekundær energi'!M7,0)</f>
        <v>0.11341210286013072</v>
      </c>
      <c r="AO12" s="181"/>
      <c r="AP12" s="181"/>
      <c r="AQ12" s="182">
        <v>0</v>
      </c>
      <c r="AR12" s="150">
        <v>0</v>
      </c>
      <c r="AS12" s="4"/>
      <c r="AT12" s="4"/>
      <c r="AU12" s="4"/>
    </row>
    <row r="13" spans="1:47" x14ac:dyDescent="0.25">
      <c r="B13" s="72"/>
      <c r="C13" s="170">
        <f>C14+C17+C18+C22+C23</f>
        <v>0</v>
      </c>
      <c r="D13" s="170">
        <f t="shared" ref="D13:Q13" si="10">D14+D17+D18+D22+D23</f>
        <v>0</v>
      </c>
      <c r="E13" s="170">
        <f t="shared" si="10"/>
        <v>-18.082716603238566</v>
      </c>
      <c r="F13" s="170">
        <f t="shared" si="10"/>
        <v>-61.821015194905797</v>
      </c>
      <c r="G13" s="170">
        <f t="shared" si="10"/>
        <v>-16.059297628123218</v>
      </c>
      <c r="H13" s="170">
        <f t="shared" si="10"/>
        <v>-85.875929871409312</v>
      </c>
      <c r="I13" s="170">
        <f t="shared" si="10"/>
        <v>-3.4351457330217205</v>
      </c>
      <c r="J13" s="170">
        <f t="shared" si="10"/>
        <v>-50.100529630191389</v>
      </c>
      <c r="K13" s="170">
        <f t="shared" si="10"/>
        <v>0</v>
      </c>
      <c r="L13" s="170">
        <f t="shared" si="10"/>
        <v>-5.3569328917323598E-2</v>
      </c>
      <c r="M13" s="170">
        <f t="shared" si="10"/>
        <v>-1.3407244717957945E-2</v>
      </c>
      <c r="N13" s="170">
        <f t="shared" si="10"/>
        <v>-2.993490791584497</v>
      </c>
      <c r="O13" s="170">
        <f t="shared" si="10"/>
        <v>-5.4328313544154475E-2</v>
      </c>
      <c r="P13" s="170">
        <f t="shared" si="10"/>
        <v>0</v>
      </c>
      <c r="Q13" s="170">
        <f t="shared" si="10"/>
        <v>0</v>
      </c>
      <c r="R13" s="167"/>
      <c r="S13" s="168">
        <f t="shared" si="0"/>
        <v>-238.48943033965395</v>
      </c>
      <c r="T13" s="101" t="s">
        <v>87</v>
      </c>
      <c r="U13" s="104" t="s">
        <v>88</v>
      </c>
      <c r="V13" s="65" t="s">
        <v>85</v>
      </c>
      <c r="W13" s="65">
        <f>'Størrelse på strømme'!E20</f>
        <v>5.4202143259012265</v>
      </c>
      <c r="X13" s="78">
        <f t="shared" si="1"/>
        <v>200.8771925011938</v>
      </c>
      <c r="Y13" s="77"/>
      <c r="Z13" s="72"/>
      <c r="AA13" s="170">
        <f>AA14+AA17+AA18+AA22+AA23</f>
        <v>0</v>
      </c>
      <c r="AB13" s="170">
        <f t="shared" ref="AB13:AR13" si="11">AB14+AB17+AB18+AB22+AB23</f>
        <v>0</v>
      </c>
      <c r="AC13" s="170">
        <f t="shared" si="11"/>
        <v>0</v>
      </c>
      <c r="AD13" s="170">
        <f t="shared" si="11"/>
        <v>0</v>
      </c>
      <c r="AE13" s="170">
        <f t="shared" si="11"/>
        <v>0</v>
      </c>
      <c r="AF13" s="170">
        <f t="shared" si="11"/>
        <v>0</v>
      </c>
      <c r="AG13" s="170">
        <f t="shared" si="11"/>
        <v>0</v>
      </c>
      <c r="AH13" s="170">
        <f t="shared" si="11"/>
        <v>0</v>
      </c>
      <c r="AI13" s="170">
        <f t="shared" si="11"/>
        <v>0</v>
      </c>
      <c r="AJ13" s="170">
        <f t="shared" si="11"/>
        <v>0</v>
      </c>
      <c r="AK13" s="170">
        <f t="shared" si="11"/>
        <v>0</v>
      </c>
      <c r="AL13" s="170">
        <f t="shared" si="11"/>
        <v>0</v>
      </c>
      <c r="AM13" s="170">
        <f t="shared" si="11"/>
        <v>105.57511026803562</v>
      </c>
      <c r="AN13" s="170">
        <f t="shared" si="11"/>
        <v>95.302082233158188</v>
      </c>
      <c r="AO13" s="170">
        <f t="shared" si="11"/>
        <v>0</v>
      </c>
      <c r="AP13" s="170">
        <f t="shared" si="11"/>
        <v>0</v>
      </c>
      <c r="AQ13" s="170">
        <f t="shared" si="11"/>
        <v>41.420924359378034</v>
      </c>
      <c r="AR13" s="144">
        <f t="shared" si="11"/>
        <v>8.3517232097984362</v>
      </c>
      <c r="AS13" s="4"/>
      <c r="AT13" s="4"/>
      <c r="AU13" s="4"/>
    </row>
    <row r="14" spans="1:47" x14ac:dyDescent="0.25">
      <c r="B14" s="72"/>
      <c r="C14" s="171">
        <f>SUM(C15:C16)</f>
        <v>0</v>
      </c>
      <c r="D14" s="171">
        <f t="shared" ref="D14:Q14" si="12">SUM(D15:D16)</f>
        <v>0</v>
      </c>
      <c r="E14" s="171">
        <f t="shared" si="12"/>
        <v>-3.9909830890018099</v>
      </c>
      <c r="F14" s="171">
        <f t="shared" si="12"/>
        <v>-61.78251182594677</v>
      </c>
      <c r="G14" s="171">
        <f t="shared" si="12"/>
        <v>0</v>
      </c>
      <c r="H14" s="171">
        <f t="shared" si="12"/>
        <v>-47.768424441328456</v>
      </c>
      <c r="I14" s="171">
        <f t="shared" si="12"/>
        <v>0</v>
      </c>
      <c r="J14" s="171">
        <f t="shared" si="12"/>
        <v>0</v>
      </c>
      <c r="K14" s="171">
        <f t="shared" si="12"/>
        <v>0</v>
      </c>
      <c r="L14" s="171">
        <f t="shared" si="12"/>
        <v>0</v>
      </c>
      <c r="M14" s="171">
        <f t="shared" si="12"/>
        <v>0</v>
      </c>
      <c r="N14" s="171">
        <f t="shared" si="12"/>
        <v>-0.83092819386570937</v>
      </c>
      <c r="O14" s="171">
        <f t="shared" si="12"/>
        <v>0</v>
      </c>
      <c r="P14" s="171">
        <f t="shared" si="12"/>
        <v>0</v>
      </c>
      <c r="Q14" s="171">
        <f t="shared" si="12"/>
        <v>0</v>
      </c>
      <c r="R14" s="167"/>
      <c r="S14" s="168">
        <f t="shared" si="0"/>
        <v>-114.37284755014275</v>
      </c>
      <c r="T14" s="26" t="s">
        <v>89</v>
      </c>
      <c r="U14" s="11" t="s">
        <v>90</v>
      </c>
      <c r="V14" s="64" t="s">
        <v>88</v>
      </c>
      <c r="W14" s="64">
        <f>'Størrelse på strømme'!E22</f>
        <v>2.1994778375027453</v>
      </c>
      <c r="X14" s="78">
        <f t="shared" si="1"/>
        <v>82.316592947367042</v>
      </c>
      <c r="Y14" s="77"/>
      <c r="Z14" s="72"/>
      <c r="AA14" s="171">
        <f>SUM(AA15:AA16)</f>
        <v>0</v>
      </c>
      <c r="AB14" s="171">
        <f t="shared" ref="AB14:AR14" si="13">SUM(AB15:AB16)</f>
        <v>0</v>
      </c>
      <c r="AC14" s="171">
        <f t="shared" si="13"/>
        <v>0</v>
      </c>
      <c r="AD14" s="171">
        <f t="shared" si="13"/>
        <v>0</v>
      </c>
      <c r="AE14" s="171">
        <f t="shared" si="13"/>
        <v>0</v>
      </c>
      <c r="AF14" s="171">
        <f t="shared" si="13"/>
        <v>0</v>
      </c>
      <c r="AG14" s="171">
        <f t="shared" si="13"/>
        <v>0</v>
      </c>
      <c r="AH14" s="171">
        <f t="shared" si="13"/>
        <v>0</v>
      </c>
      <c r="AI14" s="171">
        <f t="shared" si="13"/>
        <v>0</v>
      </c>
      <c r="AJ14" s="171">
        <f t="shared" si="13"/>
        <v>0</v>
      </c>
      <c r="AK14" s="171">
        <f t="shared" si="13"/>
        <v>0</v>
      </c>
      <c r="AL14" s="171">
        <f t="shared" si="13"/>
        <v>0</v>
      </c>
      <c r="AM14" s="171">
        <f t="shared" si="13"/>
        <v>35.430698891023859</v>
      </c>
      <c r="AN14" s="171">
        <f t="shared" si="13"/>
        <v>46.885894056343176</v>
      </c>
      <c r="AO14" s="171">
        <f t="shared" si="13"/>
        <v>0</v>
      </c>
      <c r="AP14" s="171">
        <f t="shared" si="13"/>
        <v>0</v>
      </c>
      <c r="AQ14" s="171">
        <f t="shared" si="13"/>
        <v>32.056254602775724</v>
      </c>
      <c r="AR14" s="145">
        <f t="shared" si="13"/>
        <v>6.1599752022718413</v>
      </c>
      <c r="AS14" s="4"/>
      <c r="AT14" s="4"/>
      <c r="AU14" s="4"/>
    </row>
    <row r="15" spans="1:47" x14ac:dyDescent="0.25">
      <c r="B15" s="72"/>
      <c r="C15" s="207">
        <v>0</v>
      </c>
      <c r="D15" s="207">
        <v>0</v>
      </c>
      <c r="E15" s="207">
        <f>($X15/'Nøgletal sekundær energi'!$L$111*'Nøgletal sekundær energi'!$M39*-1)</f>
        <v>0</v>
      </c>
      <c r="F15" s="207">
        <f>($X15/'Nøgletal sekundær energi'!$L$111*'Nøgletal sekundær energi'!$M40*-1)</f>
        <v>0</v>
      </c>
      <c r="G15" s="207">
        <f>($X15/'Nøgletal sekundær energi'!$L$111*'Nøgletal sekundær energi'!$M41*-1)</f>
        <v>0</v>
      </c>
      <c r="H15" s="207">
        <f>($X15/'Nøgletal sekundær energi'!$L$111*'Nøgletal sekundær energi'!$M42*-1)</f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f>($X15/'Nøgletal sekundær energi'!$L$111*'Nøgletal sekundær energi'!$M43*-1)</f>
        <v>0</v>
      </c>
      <c r="N15" s="207">
        <f>($X15/'Nøgletal sekundær energi'!$L$111*'Nøgletal sekundær energi'!$M44*-1)</f>
        <v>-0.17310402959302623</v>
      </c>
      <c r="O15" s="207">
        <v>0</v>
      </c>
      <c r="P15" s="207">
        <v>0</v>
      </c>
      <c r="Q15" s="207">
        <v>0</v>
      </c>
      <c r="R15" s="167"/>
      <c r="S15" s="168">
        <f t="shared" si="0"/>
        <v>-0.17310402959302623</v>
      </c>
      <c r="T15" s="105" t="s">
        <v>91</v>
      </c>
      <c r="U15" s="14" t="s">
        <v>92</v>
      </c>
      <c r="V15" s="64" t="s">
        <v>90</v>
      </c>
      <c r="W15" s="64"/>
      <c r="X15" s="78">
        <f t="shared" si="1"/>
        <v>3.8599955696501403E-2</v>
      </c>
      <c r="Y15" s="77"/>
      <c r="Z15" s="72"/>
      <c r="AA15" s="183"/>
      <c r="AB15" s="183"/>
      <c r="AC15" s="183"/>
      <c r="AD15" s="183"/>
      <c r="AE15" s="183"/>
      <c r="AF15" s="184"/>
      <c r="AG15" s="183"/>
      <c r="AH15" s="183"/>
      <c r="AI15" s="183"/>
      <c r="AJ15" s="183"/>
      <c r="AK15" s="185"/>
      <c r="AL15" s="186"/>
      <c r="AM15" s="187">
        <f>(AM11-O24-O25-O21-(AM16+AM17+AM20))*'Nøgletal sekundær energi'!M16</f>
        <v>3.8599955696501403E-2</v>
      </c>
      <c r="AN15" s="187"/>
      <c r="AO15" s="187"/>
      <c r="AP15" s="187"/>
      <c r="AQ15" s="188">
        <f>S15*-1-X15</f>
        <v>0.13450407389652483</v>
      </c>
      <c r="AR15" s="207">
        <f>((E15*Emissionsfaktorer!$B$2+F15*Emissionsfaktorer!$B$3+G15*Emissionsfaktorer!$B$4+N15*Emissionsfaktorer!$B$5)*(1-'Nøgletal sekundær energi'!$M37)-'Nøgletal sekundær energi'!$M37*(H15+M15)*Emissionsfaktorer!$B$6)*-1</f>
        <v>1.3155906249069994E-2</v>
      </c>
    </row>
    <row r="16" spans="1:47" x14ac:dyDescent="0.25">
      <c r="B16" s="72"/>
      <c r="C16" s="207">
        <v>0</v>
      </c>
      <c r="D16" s="207">
        <v>0</v>
      </c>
      <c r="E16" s="207">
        <f>($X16/'Nøgletal sekundær energi'!$L$112*'Nøgletal sekundær energi'!$M47*-1)</f>
        <v>-3.9909830890018099</v>
      </c>
      <c r="F16" s="207">
        <f>($X16/'Nøgletal sekundær energi'!$L$112*'Nøgletal sekundær energi'!$M48*-1)</f>
        <v>-61.78251182594677</v>
      </c>
      <c r="G16" s="207">
        <f>($X16/'Nøgletal sekundær energi'!$L$112*'Nøgletal sekundær energi'!$M49*-1)</f>
        <v>0</v>
      </c>
      <c r="H16" s="207">
        <f>($X16/'Nøgletal sekundær energi'!$L$112*'Nøgletal sekundær energi'!$M50*-1)</f>
        <v>-47.768424441328456</v>
      </c>
      <c r="I16" s="207">
        <v>0</v>
      </c>
      <c r="J16" s="207">
        <v>0</v>
      </c>
      <c r="K16" s="207">
        <v>0</v>
      </c>
      <c r="L16" s="207">
        <v>0</v>
      </c>
      <c r="M16" s="207">
        <f>($X16/'Nøgletal sekundær energi'!$L$112*'Nøgletal sekundær energi'!$M51*-1)</f>
        <v>0</v>
      </c>
      <c r="N16" s="207">
        <f>($X16/'Nøgletal sekundær energi'!$L$112*'Nøgletal sekundær energi'!$M52*-1)</f>
        <v>-0.6578241642726832</v>
      </c>
      <c r="O16" s="207">
        <v>0</v>
      </c>
      <c r="P16" s="207">
        <v>0</v>
      </c>
      <c r="Q16" s="207">
        <v>0</v>
      </c>
      <c r="R16" s="167"/>
      <c r="S16" s="168">
        <f t="shared" si="0"/>
        <v>-114.19974352054973</v>
      </c>
      <c r="T16" s="105" t="s">
        <v>93</v>
      </c>
      <c r="U16" s="64" t="s">
        <v>94</v>
      </c>
      <c r="V16" s="64" t="s">
        <v>90</v>
      </c>
      <c r="W16" s="64"/>
      <c r="X16" s="78">
        <f t="shared" si="1"/>
        <v>82.27799299167053</v>
      </c>
      <c r="Y16" s="77"/>
      <c r="Z16" s="72"/>
      <c r="AA16" s="183"/>
      <c r="AB16" s="183"/>
      <c r="AC16" s="183"/>
      <c r="AD16" s="183"/>
      <c r="AE16" s="183"/>
      <c r="AF16" s="184"/>
      <c r="AG16" s="183"/>
      <c r="AH16" s="183"/>
      <c r="AI16" s="183"/>
      <c r="AJ16" s="183"/>
      <c r="AK16" s="185"/>
      <c r="AL16" s="186"/>
      <c r="AM16" s="187">
        <f>AN16*'Nøgletal sekundær energi'!L108</f>
        <v>35.392098935327354</v>
      </c>
      <c r="AN16" s="187">
        <f>(AN11-P25)*'Nøgletal sekundær energi'!M8</f>
        <v>46.885894056343176</v>
      </c>
      <c r="AO16" s="187"/>
      <c r="AP16" s="187"/>
      <c r="AQ16" s="188">
        <f>S16*-1-X16</f>
        <v>31.921750528879201</v>
      </c>
      <c r="AR16" s="207">
        <f>((E16*Emissionsfaktorer!$B$2+F16*Emissionsfaktorer!$B$3+G16*Emissionsfaktorer!$B$4+N16*Emissionsfaktorer!$B$5)*(1-'Nøgletal sekundær energi'!$M45)-'Nøgletal sekundær energi'!$M45*(H16+M16)*Emissionsfaktorer!$B$6)*-1</f>
        <v>6.1468192960227714</v>
      </c>
    </row>
    <row r="17" spans="2:47" x14ac:dyDescent="0.25">
      <c r="B17" s="72"/>
      <c r="C17" s="208">
        <v>0</v>
      </c>
      <c r="D17" s="208">
        <v>0</v>
      </c>
      <c r="E17" s="208">
        <f>($X17/'Nøgletal sekundær energi'!$L$113*'Nøgletal sekundær energi'!$M55*-1)</f>
        <v>-11.096183397819091</v>
      </c>
      <c r="F17" s="208">
        <f>($X17/'Nøgletal sekundær energi'!$L$113*'Nøgletal sekundær energi'!$M56*-1)</f>
        <v>-3.850336895902378E-2</v>
      </c>
      <c r="G17" s="208">
        <f>($X17/'Nøgletal sekundær energi'!$L$113*'Nøgletal sekundær energi'!$M57*-1)</f>
        <v>-2.4191439932710903</v>
      </c>
      <c r="H17" s="208">
        <f>($X17/'Nøgletal sekundær energi'!$L$113*'Nøgletal sekundær energi'!$M58*-1)</f>
        <v>-17.404146675911413</v>
      </c>
      <c r="I17" s="208">
        <v>0</v>
      </c>
      <c r="J17" s="208">
        <v>0</v>
      </c>
      <c r="K17" s="208">
        <v>0</v>
      </c>
      <c r="L17" s="208">
        <v>0</v>
      </c>
      <c r="M17" s="208">
        <f>($X17/'Nøgletal sekundær energi'!$L$113*'Nøgletal sekundær energi'!$M59*-1)</f>
        <v>0</v>
      </c>
      <c r="N17" s="208">
        <f>($X17/'Nøgletal sekundær energi'!$L$113*'Nøgletal sekundær energi'!$M60*-1)</f>
        <v>-1.6724089163831297E-2</v>
      </c>
      <c r="O17" s="208">
        <v>0</v>
      </c>
      <c r="P17" s="208">
        <v>0</v>
      </c>
      <c r="Q17" s="208">
        <v>0</v>
      </c>
      <c r="R17" s="167"/>
      <c r="S17" s="168">
        <f t="shared" si="0"/>
        <v>-30.974701525124448</v>
      </c>
      <c r="T17" s="106" t="s">
        <v>95</v>
      </c>
      <c r="U17" s="64" t="s">
        <v>96</v>
      </c>
      <c r="V17" s="64" t="s">
        <v>88</v>
      </c>
      <c r="W17" s="64"/>
      <c r="X17" s="78">
        <f t="shared" si="1"/>
        <v>27.03772705381661</v>
      </c>
      <c r="Y17" s="77"/>
      <c r="Z17" s="72"/>
      <c r="AA17" s="189"/>
      <c r="AB17" s="189"/>
      <c r="AC17" s="189"/>
      <c r="AD17" s="189"/>
      <c r="AE17" s="189"/>
      <c r="AF17" s="171"/>
      <c r="AG17" s="189"/>
      <c r="AH17" s="189"/>
      <c r="AI17" s="189"/>
      <c r="AJ17" s="189"/>
      <c r="AK17" s="190"/>
      <c r="AL17" s="191"/>
      <c r="AM17" s="192">
        <f>AN17*'Nøgletal sekundær energi'!L109</f>
        <v>8.8323671300432984</v>
      </c>
      <c r="AN17" s="192">
        <f>(AN11-P25)*'Nøgletal sekundær energi'!M9</f>
        <v>18.205359923773312</v>
      </c>
      <c r="AO17" s="192"/>
      <c r="AP17" s="192"/>
      <c r="AQ17" s="193">
        <f>S17*-1-X17</f>
        <v>3.9369744713078383</v>
      </c>
      <c r="AR17" s="208">
        <f>((E17*Emissionsfaktorer!$B$2+F17*Emissionsfaktorer!$B$3+G17*Emissionsfaktorer!$B$4+N17*Emissionsfaktorer!$B$5)*(1-'Nøgletal sekundær energi'!$M53)-'Nøgletal sekundær energi'!$M53*(H17+M17)*Emissionsfaktorer!$B$6)*-1</f>
        <v>0.82126624799184955</v>
      </c>
    </row>
    <row r="18" spans="2:47" x14ac:dyDescent="0.25">
      <c r="B18" s="72"/>
      <c r="C18" s="171">
        <f>SUM(C19:C21)</f>
        <v>0</v>
      </c>
      <c r="D18" s="171">
        <f t="shared" ref="D18:Q18" si="14">SUM(D19:D21)</f>
        <v>0</v>
      </c>
      <c r="E18" s="171">
        <f t="shared" si="14"/>
        <v>-2.9955501164176637</v>
      </c>
      <c r="F18" s="171">
        <f t="shared" si="14"/>
        <v>0</v>
      </c>
      <c r="G18" s="171">
        <f t="shared" si="14"/>
        <v>-13.640153634852126</v>
      </c>
      <c r="H18" s="171">
        <f t="shared" si="14"/>
        <v>-20.703358754169443</v>
      </c>
      <c r="I18" s="171">
        <f t="shared" si="14"/>
        <v>-3.4351457330217205</v>
      </c>
      <c r="J18" s="171">
        <f t="shared" si="14"/>
        <v>0</v>
      </c>
      <c r="K18" s="171">
        <f t="shared" si="14"/>
        <v>0</v>
      </c>
      <c r="L18" s="171">
        <f t="shared" si="14"/>
        <v>0</v>
      </c>
      <c r="M18" s="171">
        <f t="shared" si="14"/>
        <v>-1.3407244717957945E-2</v>
      </c>
      <c r="N18" s="171">
        <f t="shared" si="14"/>
        <v>-2.1458385085549563</v>
      </c>
      <c r="O18" s="171">
        <f t="shared" si="14"/>
        <v>-5.4328313544154475E-2</v>
      </c>
      <c r="P18" s="171">
        <f t="shared" si="14"/>
        <v>0</v>
      </c>
      <c r="Q18" s="171">
        <f t="shared" si="14"/>
        <v>0</v>
      </c>
      <c r="R18" s="167"/>
      <c r="S18" s="168">
        <f t="shared" si="0"/>
        <v>-42.987782305278024</v>
      </c>
      <c r="T18" s="26" t="s">
        <v>97</v>
      </c>
      <c r="U18" s="11" t="s">
        <v>98</v>
      </c>
      <c r="V18" s="64" t="s">
        <v>88</v>
      </c>
      <c r="W18" s="64">
        <f>'Størrelse på strømme'!E24</f>
        <v>0.89557879802662554</v>
      </c>
      <c r="X18" s="78">
        <f t="shared" si="1"/>
        <v>41.368773540901451</v>
      </c>
      <c r="Y18" s="77"/>
      <c r="Z18" s="72"/>
      <c r="AA18" s="171">
        <f>SUM(AA19:AA21)</f>
        <v>0</v>
      </c>
      <c r="AB18" s="171">
        <f t="shared" ref="AB18:AR18" si="15">SUM(AB19:AB21)</f>
        <v>0</v>
      </c>
      <c r="AC18" s="171">
        <f t="shared" si="15"/>
        <v>0</v>
      </c>
      <c r="AD18" s="171">
        <f t="shared" si="15"/>
        <v>0</v>
      </c>
      <c r="AE18" s="171">
        <f t="shared" si="15"/>
        <v>0</v>
      </c>
      <c r="AF18" s="171">
        <f t="shared" si="15"/>
        <v>0</v>
      </c>
      <c r="AG18" s="171">
        <f t="shared" si="15"/>
        <v>0</v>
      </c>
      <c r="AH18" s="171">
        <f t="shared" si="15"/>
        <v>0</v>
      </c>
      <c r="AI18" s="171">
        <f t="shared" si="15"/>
        <v>0</v>
      </c>
      <c r="AJ18" s="171">
        <f t="shared" si="15"/>
        <v>0</v>
      </c>
      <c r="AK18" s="171">
        <f t="shared" si="15"/>
        <v>0</v>
      </c>
      <c r="AL18" s="171">
        <f t="shared" si="15"/>
        <v>0</v>
      </c>
      <c r="AM18" s="171">
        <f t="shared" si="15"/>
        <v>11.157945287859755</v>
      </c>
      <c r="AN18" s="171">
        <f t="shared" si="15"/>
        <v>30.210828253041697</v>
      </c>
      <c r="AO18" s="171">
        <f t="shared" si="15"/>
        <v>0</v>
      </c>
      <c r="AP18" s="171">
        <f t="shared" si="15"/>
        <v>0</v>
      </c>
      <c r="AQ18" s="171">
        <f t="shared" si="15"/>
        <v>5.4276952852944751</v>
      </c>
      <c r="AR18" s="145">
        <f t="shared" si="15"/>
        <v>1.3704817595347452</v>
      </c>
    </row>
    <row r="19" spans="2:47" x14ac:dyDescent="0.25">
      <c r="B19" s="72"/>
      <c r="C19" s="207">
        <v>0</v>
      </c>
      <c r="D19" s="207">
        <v>0</v>
      </c>
      <c r="E19" s="207">
        <f>(($X19+$I19+$J19)/'Nøgletal sekundær energi'!$L$114*'Nøgletal sekundær energi'!$M63*-1)</f>
        <v>0</v>
      </c>
      <c r="F19" s="207">
        <f>(($X19+$I19+$J19)/'Nøgletal sekundær energi'!$L$114*'Nøgletal sekundær energi'!$M64*-1)</f>
        <v>0</v>
      </c>
      <c r="G19" s="207">
        <f>(($X19+$I19+$J19)/'Nøgletal sekundær energi'!$L$114*'Nøgletal sekundær energi'!$M65*-1)</f>
        <v>0</v>
      </c>
      <c r="H19" s="207">
        <f>(($X19+$I19+$J19)/'Nøgletal sekundær energi'!$L$114*'Nøgletal sekundær energi'!$M66*-1)</f>
        <v>-1.1514902477554928E-2</v>
      </c>
      <c r="I19" s="207">
        <f>(X19*'Nøgletal sekundær energi'!M21*-1)</f>
        <v>-3.4351457330217205</v>
      </c>
      <c r="J19" s="207">
        <f>(X19*'Nøgletal sekundær energi'!M22*-1)</f>
        <v>0</v>
      </c>
      <c r="K19" s="207">
        <v>0</v>
      </c>
      <c r="L19" s="207">
        <v>0</v>
      </c>
      <c r="M19" s="207">
        <f>(($X19+$I19+$J19)/'Nøgletal sekundær energi'!$L$114*'Nøgletal sekundær energi'!$M67*-1)</f>
        <v>0</v>
      </c>
      <c r="N19" s="207">
        <f>(($X19+$I19+$J19)/'Nøgletal sekundær energi'!$L$114*'Nøgletal sekundær energi'!$M68*-1)</f>
        <v>0</v>
      </c>
      <c r="O19" s="207">
        <v>0</v>
      </c>
      <c r="P19" s="207">
        <v>0</v>
      </c>
      <c r="Q19" s="207">
        <v>0</v>
      </c>
      <c r="R19" s="167"/>
      <c r="S19" s="168">
        <f t="shared" si="0"/>
        <v>-3.4466606354992755</v>
      </c>
      <c r="T19" s="105" t="s">
        <v>99</v>
      </c>
      <c r="U19" s="14" t="s">
        <v>100</v>
      </c>
      <c r="V19" s="64" t="s">
        <v>98</v>
      </c>
      <c r="W19" s="64"/>
      <c r="X19" s="78">
        <f t="shared" si="1"/>
        <v>3.4381796595005896</v>
      </c>
      <c r="Y19" s="77"/>
      <c r="Z19" s="72"/>
      <c r="AA19" s="183"/>
      <c r="AB19" s="183"/>
      <c r="AC19" s="183"/>
      <c r="AD19" s="183"/>
      <c r="AE19" s="183"/>
      <c r="AF19" s="184"/>
      <c r="AG19" s="183"/>
      <c r="AH19" s="183"/>
      <c r="AI19" s="183"/>
      <c r="AJ19" s="183"/>
      <c r="AK19" s="185"/>
      <c r="AL19" s="186"/>
      <c r="AM19" s="194">
        <f>(AM11-O24-O25-O21-(AM16+AM17+AM20))*'Nøgletal sekundær energi'!M19</f>
        <v>3.4381796595005896</v>
      </c>
      <c r="AN19" s="194"/>
      <c r="AO19" s="194"/>
      <c r="AP19" s="194"/>
      <c r="AQ19" s="188">
        <f>S19*-1-X19</f>
        <v>8.4809759986859135E-3</v>
      </c>
      <c r="AR19" s="207">
        <f>((E19*Emissionsfaktorer!$B$2+F19*Emissionsfaktorer!$B$3+G19*Emissionsfaktorer!$B$4+N19*Emissionsfaktorer!$B$5)*(1-'Nøgletal sekundær energi'!$M61)-'Nøgletal sekundær energi'!$M61*(H19+M19)*Emissionsfaktorer!$B$6)*-1</f>
        <v>0</v>
      </c>
    </row>
    <row r="20" spans="2:47" x14ac:dyDescent="0.25">
      <c r="B20" s="72"/>
      <c r="C20" s="207">
        <v>0</v>
      </c>
      <c r="D20" s="207">
        <v>0</v>
      </c>
      <c r="E20" s="207">
        <f>($X20/'Nøgletal sekundær energi'!$L$115*'Nøgletal sekundær energi'!$M71*-1)</f>
        <v>-2.8149319515473494</v>
      </c>
      <c r="F20" s="207">
        <f>($X20/'Nøgletal sekundær energi'!$L$115*'Nøgletal sekundær energi'!$M72*-1)</f>
        <v>0</v>
      </c>
      <c r="G20" s="207">
        <f>($X20/'Nøgletal sekundær energi'!$L$115*'Nøgletal sekundær energi'!$M73*-1)</f>
        <v>-12.652312939185597</v>
      </c>
      <c r="H20" s="207">
        <f>($X20/'Nøgletal sekundær energi'!$L$115*'Nøgletal sekundær energi'!$M74*-1)</f>
        <v>-19.103755215325005</v>
      </c>
      <c r="I20" s="207">
        <v>0</v>
      </c>
      <c r="J20" s="207">
        <v>0</v>
      </c>
      <c r="K20" s="207">
        <v>0</v>
      </c>
      <c r="L20" s="207">
        <v>0</v>
      </c>
      <c r="M20" s="207">
        <f>($X20/'Nøgletal sekundær energi'!$L$115*'Nøgletal sekundær energi'!$M75*-1)</f>
        <v>-1.3407244717957945E-2</v>
      </c>
      <c r="N20" s="207">
        <f>($X20/'Nøgletal sekundær energi'!$L$115*'Nøgletal sekundær energi'!$M76*-1)</f>
        <v>-2.1417823674554848</v>
      </c>
      <c r="O20" s="207">
        <v>0</v>
      </c>
      <c r="P20" s="207">
        <v>0</v>
      </c>
      <c r="Q20" s="207">
        <v>0</v>
      </c>
      <c r="R20" s="167"/>
      <c r="S20" s="168">
        <f t="shared" si="0"/>
        <v>-36.726189718231396</v>
      </c>
      <c r="T20" s="105" t="s">
        <v>101</v>
      </c>
      <c r="U20" s="14" t="s">
        <v>102</v>
      </c>
      <c r="V20" s="64" t="s">
        <v>98</v>
      </c>
      <c r="W20" s="64"/>
      <c r="X20" s="78">
        <f t="shared" si="1"/>
        <v>31.306975408935607</v>
      </c>
      <c r="Y20" s="77"/>
      <c r="Z20" s="72"/>
      <c r="AA20" s="183"/>
      <c r="AB20" s="183"/>
      <c r="AC20" s="183"/>
      <c r="AD20" s="183"/>
      <c r="AE20" s="183"/>
      <c r="AF20" s="184"/>
      <c r="AG20" s="183"/>
      <c r="AH20" s="183"/>
      <c r="AI20" s="183"/>
      <c r="AJ20" s="183"/>
      <c r="AK20" s="185"/>
      <c r="AL20" s="186"/>
      <c r="AM20" s="194">
        <f>AN20*'Nøgletal sekundær energi'!L110</f>
        <v>7.7197656283591662</v>
      </c>
      <c r="AN20" s="194">
        <f>(AN11-P25)*'Nøgletal sekundær energi'!M10</f>
        <v>23.58720978057644</v>
      </c>
      <c r="AO20" s="194"/>
      <c r="AP20" s="194"/>
      <c r="AQ20" s="188">
        <f>S20*-1-X20</f>
        <v>5.4192143092957892</v>
      </c>
      <c r="AR20" s="207">
        <f>((E20*Emissionsfaktorer!$B$2+F20*Emissionsfaktorer!$B$3+G20*Emissionsfaktorer!$B$4+N20*Emissionsfaktorer!$B$5)*(1-'Nøgletal sekundær energi'!$M69)-'Nøgletal sekundær energi'!$M69*(H20+M20)*Emissionsfaktorer!$B$6)*-1</f>
        <v>1.2848023645429212</v>
      </c>
    </row>
    <row r="21" spans="2:47" x14ac:dyDescent="0.25">
      <c r="B21" s="72"/>
      <c r="C21" s="207">
        <v>0</v>
      </c>
      <c r="D21" s="207">
        <v>0</v>
      </c>
      <c r="E21" s="207">
        <f>(X21*'Nøgletal sekundær energi'!M82*'Nøgletal sekundær energi'!M83*-1/'Nøgletal sekundær energi'!L116)</f>
        <v>-0.18061816487031421</v>
      </c>
      <c r="F21" s="207">
        <f>(X21*'Nøgletal sekundær energi'!M82*'Nøgletal sekundær energi'!M84*-1/'Nøgletal sekundær energi'!L116)</f>
        <v>0</v>
      </c>
      <c r="G21" s="207">
        <f>(X21*'Nøgletal sekundær energi'!M82*'Nøgletal sekundær energi'!M85*-1/'Nøgletal sekundær energi'!L116)</f>
        <v>-0.98784069566652855</v>
      </c>
      <c r="H21" s="207">
        <f>(X21*'Nøgletal sekundær energi'!M82*'Nøgletal sekundær energi'!M86*-1/'Nøgletal sekundær energi'!L116)</f>
        <v>-1.5880886363668842</v>
      </c>
      <c r="I21" s="207">
        <f>(X21*'Nøgletal sekundær energi'!M79*-1)</f>
        <v>0</v>
      </c>
      <c r="J21" s="207">
        <v>0</v>
      </c>
      <c r="K21" s="207">
        <f>(X21*'Nøgletal sekundær energi'!M80*(1-1/'Nøgletal sekundær energi'!L118)*-1)</f>
        <v>0</v>
      </c>
      <c r="L21" s="207">
        <v>0</v>
      </c>
      <c r="M21" s="207">
        <f>(X21*'Nøgletal sekundær energi'!M82*'Nøgletal sekundær energi'!M87*-1/'Nøgletal sekundær energi'!L116)</f>
        <v>0</v>
      </c>
      <c r="N21" s="207">
        <f>(X21*'Nøgletal sekundær energi'!M82*'Nøgletal sekundær energi'!M88*-1/'Nøgletal sekundær energi'!L116)</f>
        <v>-4.0561410994716272E-3</v>
      </c>
      <c r="O21" s="207">
        <f>(X21*('Nøgletal sekundær energi'!M80/'Nøgletal sekundær energi'!L118+'Nøgletal sekundær energi'!M81)*-1)</f>
        <v>-5.4328313544154475E-2</v>
      </c>
      <c r="P21" s="207">
        <v>0</v>
      </c>
      <c r="Q21" s="207">
        <v>0</v>
      </c>
      <c r="R21" s="167"/>
      <c r="S21" s="168">
        <f t="shared" si="0"/>
        <v>-2.814931951547353</v>
      </c>
      <c r="T21" s="105" t="s">
        <v>103</v>
      </c>
      <c r="U21" s="64" t="s">
        <v>104</v>
      </c>
      <c r="V21" s="64" t="s">
        <v>98</v>
      </c>
      <c r="W21" s="64"/>
      <c r="X21" s="78">
        <f t="shared" si="1"/>
        <v>6.6236184724652558</v>
      </c>
      <c r="Y21" s="77"/>
      <c r="Z21" s="72"/>
      <c r="AA21" s="183"/>
      <c r="AB21" s="183"/>
      <c r="AC21" s="183"/>
      <c r="AD21" s="183"/>
      <c r="AE21" s="183"/>
      <c r="AF21" s="184"/>
      <c r="AG21" s="183"/>
      <c r="AH21" s="183"/>
      <c r="AI21" s="183"/>
      <c r="AJ21" s="183"/>
      <c r="AK21" s="185"/>
      <c r="AL21" s="186"/>
      <c r="AM21" s="194"/>
      <c r="AN21" s="194">
        <f>(AN11-P25)*'Nøgletal sekundær energi'!M11</f>
        <v>6.6236184724652558</v>
      </c>
      <c r="AO21" s="194"/>
      <c r="AP21" s="194"/>
      <c r="AQ21" s="188"/>
      <c r="AR21" s="207">
        <f>((E21*Emissionsfaktorer!$B$2+F21*Emissionsfaktorer!$B$3+G21*Emissionsfaktorer!$B$4+N21*Emissionsfaktorer!$B$5)*(1-'Nøgletal sekundær energi'!$M77)-'Nøgletal sekundær energi'!$M77*(H21+M21)*Emissionsfaktorer!$B$6)*-1</f>
        <v>8.5679394991823907E-2</v>
      </c>
    </row>
    <row r="22" spans="2:47" x14ac:dyDescent="0.25">
      <c r="B22" s="72"/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f>(AM22*-1)</f>
        <v>-50.100529630191389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167"/>
      <c r="S22" s="168">
        <f t="shared" si="0"/>
        <v>-50.100529630191389</v>
      </c>
      <c r="T22" s="106" t="s">
        <v>105</v>
      </c>
      <c r="U22" s="64" t="s">
        <v>106</v>
      </c>
      <c r="V22" s="64" t="s">
        <v>88</v>
      </c>
      <c r="W22" s="64"/>
      <c r="X22" s="78">
        <f t="shared" si="1"/>
        <v>50.100529630191389</v>
      </c>
      <c r="Y22" s="77"/>
      <c r="Z22" s="72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90"/>
      <c r="AL22" s="191"/>
      <c r="AM22" s="192">
        <f>(AM11-O24-O25-O21-(AM16+AM17+AM20))*'Nøgletal sekundær energi'!M17</f>
        <v>50.100529630191389</v>
      </c>
      <c r="AN22" s="192"/>
      <c r="AO22" s="192"/>
      <c r="AP22" s="192"/>
      <c r="AQ22" s="193">
        <f>S22*-1-X22</f>
        <v>0</v>
      </c>
      <c r="AR22" s="208">
        <f>((E22*Emissionsfaktorer!$B$2+F22*Emissionsfaktorer!$B$3+G22*Emissionsfaktorer!$B$4+N22*Emissionsfaktorer!$B$5)*(1-'Nøgletal sekundær energi'!$M58)-'Nøgletal sekundær energi'!$M58*(H22+M22)*Emissionsfaktorer!$B$6)*-1</f>
        <v>0</v>
      </c>
    </row>
    <row r="23" spans="2:47" x14ac:dyDescent="0.25">
      <c r="B23" s="72"/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f>(AM23*-1)</f>
        <v>-5.3569328917323598E-2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167"/>
      <c r="S23" s="168"/>
      <c r="T23" s="106" t="s">
        <v>107</v>
      </c>
      <c r="U23" s="11" t="s">
        <v>108</v>
      </c>
      <c r="V23" s="64" t="s">
        <v>88</v>
      </c>
      <c r="W23" s="64"/>
      <c r="X23" s="78"/>
      <c r="Y23" s="77"/>
      <c r="Z23" s="72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90"/>
      <c r="AL23" s="191"/>
      <c r="AM23" s="192">
        <f>(AM11-O24-O25-O21-(AM16+AM17+AM20))*'Nøgletal sekundær energi'!M18</f>
        <v>5.3569328917323598E-2</v>
      </c>
      <c r="AN23" s="192"/>
      <c r="AO23" s="192"/>
      <c r="AP23" s="192"/>
      <c r="AQ23" s="193">
        <f>S23*-1-X23</f>
        <v>0</v>
      </c>
      <c r="AR23" s="208">
        <f>((E23*Emissionsfaktorer!$B$2+F23*Emissionsfaktorer!$B$3+G23*Emissionsfaktorer!$B$4+N23*Emissionsfaktorer!$B$5)*(1-'Nøgletal sekundær energi'!$M59)-'Nøgletal sekundær energi'!$M59*(H23+M23)*Emissionsfaktorer!$B$6)*-1</f>
        <v>0</v>
      </c>
    </row>
    <row r="24" spans="2:47" x14ac:dyDescent="0.25">
      <c r="B24" s="72"/>
      <c r="C24" s="206">
        <v>0</v>
      </c>
      <c r="D24" s="206">
        <v>0</v>
      </c>
      <c r="E24" s="206">
        <f>(AN24*'Nøgletal sekundær energi'!M94*'Nøgletal sekundær energi'!M95/'Nøgletal sekundær energi'!L117*-1)</f>
        <v>-12.663302484036382</v>
      </c>
      <c r="F24" s="206">
        <f>(AN24*'Nøgletal sekundær energi'!M94*'Nøgletal sekundær energi'!M96/'Nøgletal sekundær energi'!L117*-1)</f>
        <v>-0.10997537247040316</v>
      </c>
      <c r="G24" s="206">
        <f>(AN24*'Nøgletal sekundær energi'!M94*'Nøgletal sekundær energi'!M97/'Nøgletal sekundær energi'!L117*-1)</f>
        <v>-0.23580066576423428</v>
      </c>
      <c r="H24" s="206">
        <f>(AN24*'Nøgletal sekundær energi'!M94*'Nøgletal sekundær energi'!M98/'Nøgletal sekundær energi'!L117*-1)</f>
        <v>-22.056950626838212</v>
      </c>
      <c r="I24" s="206">
        <f>(AN24*'Nøgletal sekundær energi'!M91*-1)</f>
        <v>-2.1586563140490993</v>
      </c>
      <c r="J24" s="206">
        <v>0</v>
      </c>
      <c r="K24" s="206">
        <f>(AN24*'Nøgletal sekundær energi'!M92*(1-1/'Nøgletal sekundær energi'!L118)*-1)</f>
        <v>-0.11000534395635986</v>
      </c>
      <c r="L24" s="206">
        <v>0</v>
      </c>
      <c r="M24" s="206">
        <f>(AN24*'Nøgletal sekundær energi'!M94*'Nøgletal sekundær energi'!M99/'Nøgletal sekundær energi'!L117*-1)</f>
        <v>-0.2204902316880267</v>
      </c>
      <c r="N24" s="206">
        <f>(AN24*'Nøgletal sekundær energi'!M94*'Nøgletal sekundær energi'!M100/'Nøgletal sekundær energi'!L117*-1)</f>
        <v>-0.78915921573488534</v>
      </c>
      <c r="O24" s="206">
        <f>((AN24*'Nøgletal sekundær energi'!M92/'Nøgletal sekundær energi'!L118+AN24*'Nøgletal sekundær energi'!M93)*-1)</f>
        <v>-1.0579534922897724</v>
      </c>
      <c r="P24" s="206">
        <v>0</v>
      </c>
      <c r="Q24" s="206">
        <v>0</v>
      </c>
      <c r="R24" s="167"/>
      <c r="S24" s="168">
        <f>SUM(C24:Q24)</f>
        <v>-39.402293746827368</v>
      </c>
      <c r="T24" s="93" t="s">
        <v>14</v>
      </c>
      <c r="U24" s="11" t="s">
        <v>109</v>
      </c>
      <c r="V24" s="64" t="s">
        <v>85</v>
      </c>
      <c r="W24" s="64"/>
      <c r="X24" s="78">
        <f t="shared" ref="X24:X50" si="16">SUM(AA24:AO24)</f>
        <v>38.648820580371584</v>
      </c>
      <c r="Y24" s="77"/>
      <c r="Z24" s="72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2"/>
      <c r="AL24" s="180"/>
      <c r="AM24" s="181"/>
      <c r="AN24" s="181">
        <f>(AN11-P25)*'Nøgletal sekundær energi'!M12</f>
        <v>38.648820580371584</v>
      </c>
      <c r="AO24" s="181"/>
      <c r="AP24" s="181"/>
      <c r="AQ24" s="182">
        <f>S24*-1-X24</f>
        <v>0.75347316645578388</v>
      </c>
      <c r="AR24" s="206">
        <f>((E24*Emissionsfaktorer!$B$2+F24*Emissionsfaktorer!$B$3+G24*Emissionsfaktorer!$B$4+N24*Emissionsfaktorer!$B$5)*(1-'Nøgletal sekundær energi'!$M89)-'Nøgletal sekundær energi'!$M89*(H24+M24)*Emissionsfaktorer!$B$6)*-1</f>
        <v>0.81015285296869521</v>
      </c>
    </row>
    <row r="25" spans="2:47" x14ac:dyDescent="0.25">
      <c r="B25" s="72"/>
      <c r="C25" s="206">
        <f>(X25/'Nøgletal sekundær energi'!L120*-1)</f>
        <v>-324.63360864090816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f>(N28*'Nøgletal sekundær energi'!L106)</f>
        <v>-1.1387062466214688</v>
      </c>
      <c r="P25" s="206">
        <f>(N26*'Nøgletal sekundær energi'!L5)</f>
        <v>-0.63713474491294153</v>
      </c>
      <c r="Q25" s="206">
        <v>0</v>
      </c>
      <c r="R25" s="167"/>
      <c r="S25" s="168">
        <f>SUM(C25:Q25)</f>
        <v>-326.4094496324426</v>
      </c>
      <c r="T25" s="93" t="s">
        <v>110</v>
      </c>
      <c r="U25" s="11" t="s">
        <v>111</v>
      </c>
      <c r="V25" s="64" t="s">
        <v>85</v>
      </c>
      <c r="W25" s="64"/>
      <c r="X25" s="78">
        <f t="shared" si="16"/>
        <v>284.35068511923652</v>
      </c>
      <c r="Y25" s="77"/>
      <c r="Z25" s="72"/>
      <c r="AA25" s="179"/>
      <c r="AB25" s="195"/>
      <c r="AC25" s="179"/>
      <c r="AD25" s="179"/>
      <c r="AE25" s="179"/>
      <c r="AF25" s="179"/>
      <c r="AG25" s="179"/>
      <c r="AH25" s="179"/>
      <c r="AI25" s="179"/>
      <c r="AJ25" s="179"/>
      <c r="AK25" s="181"/>
      <c r="AL25" s="180">
        <f>AL11-AL12-N13-N24</f>
        <v>284.35068511923652</v>
      </c>
      <c r="AM25" s="181"/>
      <c r="AN25" s="181"/>
      <c r="AO25" s="181"/>
      <c r="AP25" s="181"/>
      <c r="AQ25" s="182">
        <f>S25*-1-X25</f>
        <v>42.058764513206086</v>
      </c>
      <c r="AR25" s="206">
        <f>((AL25*'Nøgletal sekundær energi'!L107*Emissionsfaktorer!B5)*1000)/1000</f>
        <v>1.039200051091163</v>
      </c>
    </row>
    <row r="26" spans="2:47" ht="15.75" thickBot="1" x14ac:dyDescent="0.3">
      <c r="B26" s="72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>
        <f>AL26*-1</f>
        <v>-280.56803511191708</v>
      </c>
      <c r="O26" s="169">
        <f>AM26*-1*(1+'Nøgletal trans+distri'!G5)</f>
        <v>-122.15612441418439</v>
      </c>
      <c r="P26" s="169">
        <f>AN26*-1*(1+'Nøgletal trans+distri'!G4)</f>
        <v>-133.42718017147695</v>
      </c>
      <c r="Q26" s="169"/>
      <c r="R26" s="167"/>
      <c r="S26" s="168">
        <f>SUM(C26:Q26)</f>
        <v>-536.15133969757835</v>
      </c>
      <c r="T26" s="97" t="s">
        <v>112</v>
      </c>
      <c r="U26" s="70" t="s">
        <v>113</v>
      </c>
      <c r="V26" s="66"/>
      <c r="W26" s="66"/>
      <c r="X26" s="78">
        <f t="shared" si="16"/>
        <v>499.21334245350084</v>
      </c>
      <c r="Y26" s="77"/>
      <c r="Z26" s="72"/>
      <c r="AA26" s="196"/>
      <c r="AB26" s="196"/>
      <c r="AC26" s="196"/>
      <c r="AD26" s="196"/>
      <c r="AE26" s="196"/>
      <c r="AF26" s="197"/>
      <c r="AG26" s="196"/>
      <c r="AH26" s="196"/>
      <c r="AI26" s="196"/>
      <c r="AJ26" s="196"/>
      <c r="AK26" s="196"/>
      <c r="AL26" s="166">
        <f>N28*-1</f>
        <v>280.56803511191708</v>
      </c>
      <c r="AM26" s="166">
        <f>O28*-1</f>
        <v>111.90356320440216</v>
      </c>
      <c r="AN26" s="166">
        <f>P28*-1</f>
        <v>106.74174413718157</v>
      </c>
      <c r="AO26" s="166"/>
      <c r="AP26" s="196"/>
      <c r="AQ26" s="178">
        <f>S26*-1-X26</f>
        <v>36.937997244077508</v>
      </c>
      <c r="AR26" s="151"/>
    </row>
    <row r="27" spans="2:47" x14ac:dyDescent="0.25">
      <c r="B27" s="72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7"/>
      <c r="S27" s="168"/>
      <c r="T27" s="96" t="s">
        <v>114</v>
      </c>
      <c r="U27" s="58" t="s">
        <v>115</v>
      </c>
      <c r="V27" s="24"/>
      <c r="W27" s="24"/>
      <c r="X27" s="78">
        <f t="shared" si="16"/>
        <v>10.838101595802014</v>
      </c>
      <c r="Y27" s="77"/>
      <c r="Z27" s="72"/>
      <c r="AA27" s="177"/>
      <c r="AB27" s="177"/>
      <c r="AC27" s="177"/>
      <c r="AD27" s="177"/>
      <c r="AE27" s="177"/>
      <c r="AF27" s="177"/>
      <c r="AG27" s="177">
        <f>-I28</f>
        <v>0.6034200265174321</v>
      </c>
      <c r="AH27" s="177">
        <f>-J28</f>
        <v>0</v>
      </c>
      <c r="AI27" s="177">
        <f>K28*-1</f>
        <v>10.234681569284582</v>
      </c>
      <c r="AJ27" s="177">
        <f>-L28</f>
        <v>0</v>
      </c>
      <c r="AK27" s="177"/>
      <c r="AL27" s="177"/>
      <c r="AM27" s="177"/>
      <c r="AN27" s="177"/>
      <c r="AO27" s="177"/>
      <c r="AP27" s="177"/>
      <c r="AQ27" s="178">
        <v>0</v>
      </c>
      <c r="AR27" s="147"/>
      <c r="AS27" s="4"/>
      <c r="AT27" s="4"/>
      <c r="AU27" s="4"/>
    </row>
    <row r="28" spans="2:47" ht="15.75" thickBot="1" x14ac:dyDescent="0.3">
      <c r="B28" s="72"/>
      <c r="C28" s="166">
        <f>C29+C30+C37+C40+C45+C50</f>
        <v>0</v>
      </c>
      <c r="D28" s="166">
        <f t="shared" ref="D28:Q28" si="17">D29+D30+D37+D40+D45+D50</f>
        <v>-25.94192</v>
      </c>
      <c r="E28" s="166">
        <f t="shared" si="17"/>
        <v>-110.39800091272505</v>
      </c>
      <c r="F28" s="166">
        <f t="shared" si="17"/>
        <v>-5.5923209112784127</v>
      </c>
      <c r="G28" s="166">
        <f t="shared" si="17"/>
        <v>-2.1926303023945914</v>
      </c>
      <c r="H28" s="166">
        <f t="shared" si="17"/>
        <v>-60.825156484514807</v>
      </c>
      <c r="I28" s="166">
        <f t="shared" si="17"/>
        <v>-0.6034200265174321</v>
      </c>
      <c r="J28" s="166">
        <f t="shared" si="17"/>
        <v>0</v>
      </c>
      <c r="K28" s="166">
        <f t="shared" si="17"/>
        <v>-10.234681569284582</v>
      </c>
      <c r="L28" s="166">
        <f t="shared" si="17"/>
        <v>0</v>
      </c>
      <c r="M28" s="166">
        <f t="shared" si="17"/>
        <v>-9.0888595768713873</v>
      </c>
      <c r="N28" s="166">
        <f t="shared" si="17"/>
        <v>-280.56803511191708</v>
      </c>
      <c r="O28" s="166">
        <f t="shared" si="17"/>
        <v>-111.90356320440216</v>
      </c>
      <c r="P28" s="166">
        <f t="shared" si="17"/>
        <v>-106.74174413718157</v>
      </c>
      <c r="Q28" s="166">
        <f t="shared" si="17"/>
        <v>0</v>
      </c>
      <c r="R28" s="167"/>
      <c r="S28" s="168">
        <f>SUM(C28:Q28)</f>
        <v>-724.09033223708707</v>
      </c>
      <c r="T28" s="98" t="s">
        <v>116</v>
      </c>
      <c r="U28" s="59" t="s">
        <v>117</v>
      </c>
      <c r="V28" s="35"/>
      <c r="W28" s="35">
        <f>'Størrelse på strømme'!E46</f>
        <v>27.849628162964887</v>
      </c>
      <c r="X28" s="78">
        <f t="shared" si="16"/>
        <v>0</v>
      </c>
      <c r="Y28" s="77"/>
      <c r="Z28" s="72"/>
      <c r="AA28" s="166">
        <f t="shared" ref="AA28:AR28" si="18">AA29+AA30+AA37+AA40+AA45+AA50</f>
        <v>0</v>
      </c>
      <c r="AB28" s="166">
        <f t="shared" si="18"/>
        <v>0</v>
      </c>
      <c r="AC28" s="166">
        <f t="shared" si="18"/>
        <v>0</v>
      </c>
      <c r="AD28" s="166">
        <f t="shared" si="18"/>
        <v>0</v>
      </c>
      <c r="AE28" s="166">
        <f t="shared" si="18"/>
        <v>0</v>
      </c>
      <c r="AF28" s="166">
        <f t="shared" si="18"/>
        <v>0</v>
      </c>
      <c r="AG28" s="166">
        <f t="shared" si="18"/>
        <v>0</v>
      </c>
      <c r="AH28" s="166">
        <f t="shared" si="18"/>
        <v>0</v>
      </c>
      <c r="AI28" s="166">
        <f t="shared" si="18"/>
        <v>0</v>
      </c>
      <c r="AJ28" s="166">
        <f t="shared" si="18"/>
        <v>0</v>
      </c>
      <c r="AK28" s="166">
        <f t="shared" si="18"/>
        <v>0</v>
      </c>
      <c r="AL28" s="166">
        <f t="shared" si="18"/>
        <v>0</v>
      </c>
      <c r="AM28" s="166">
        <f t="shared" si="18"/>
        <v>0</v>
      </c>
      <c r="AN28" s="166">
        <f t="shared" si="18"/>
        <v>0</v>
      </c>
      <c r="AO28" s="166">
        <f t="shared" si="18"/>
        <v>0</v>
      </c>
      <c r="AP28" s="166">
        <f t="shared" si="18"/>
        <v>0</v>
      </c>
      <c r="AQ28" s="166">
        <f t="shared" si="18"/>
        <v>627.27613891425449</v>
      </c>
      <c r="AR28" s="147">
        <f t="shared" si="18"/>
        <v>23.866474187103719</v>
      </c>
    </row>
    <row r="29" spans="2:47" x14ac:dyDescent="0.25">
      <c r="B29" s="72"/>
      <c r="C29" s="206">
        <f t="shared" ref="C29:H29" si="19">(IF(AA6+AA7+C6+C7+C11+C37+C40+C45+C50+C30&gt;0,AA6+AA7+C6+C7+C11+C37+C40+C45+C50+C30,0)*-1)</f>
        <v>0</v>
      </c>
      <c r="D29" s="206">
        <f t="shared" si="19"/>
        <v>-25.94192</v>
      </c>
      <c r="E29" s="206">
        <f t="shared" si="19"/>
        <v>-49.421044713396611</v>
      </c>
      <c r="F29" s="206">
        <f t="shared" si="19"/>
        <v>0</v>
      </c>
      <c r="G29" s="206">
        <f t="shared" si="19"/>
        <v>0</v>
      </c>
      <c r="H29" s="206">
        <f t="shared" si="19"/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f>(IF(AK6+AK7+M6+M7+M11+M37+M40+M45+M50+M30&gt;0,AK6+AK7+M6+M7+M11+M37+M40+M45+M50+M30,0)*-1)</f>
        <v>0</v>
      </c>
      <c r="N29" s="206">
        <f>((N30+N37+N40+N45+N50)*IF('Nøgletal sekundær energi'!M24&lt;0,'Nøgletal sekundær energi'!M24,0)*-1)</f>
        <v>-11.182838609436022</v>
      </c>
      <c r="O29" s="206">
        <f>(((O30+O37+O40+O45)*-'Nøgletal trans+distri'!G5-O24-O25-(AM16+AM17+AM20))*IF('Nøgletal sekundær energi'!M15&lt;0,'Nøgletal sekundær energi'!M15,0)*-1)</f>
        <v>0</v>
      </c>
      <c r="P29" s="206">
        <f>((P37+P40+P45+P25)*IF('Nøgletal sekundær energi'!M7&lt;0,'Nøgletal sekundær energi'!M7,0)*(1+'Nøgletal trans+distri'!G4)*-1)</f>
        <v>0</v>
      </c>
      <c r="Q29" s="206">
        <v>0</v>
      </c>
      <c r="R29" s="167"/>
      <c r="S29" s="168"/>
      <c r="T29" s="101" t="s">
        <v>118</v>
      </c>
      <c r="U29" s="34" t="s">
        <v>119</v>
      </c>
      <c r="V29" s="65" t="s">
        <v>117</v>
      </c>
      <c r="W29" s="65"/>
      <c r="X29" s="78">
        <f t="shared" si="16"/>
        <v>0</v>
      </c>
      <c r="Y29" s="77"/>
      <c r="Z29" s="72"/>
      <c r="AA29" s="179"/>
      <c r="AB29" s="179"/>
      <c r="AC29" s="179"/>
      <c r="AD29" s="179"/>
      <c r="AE29" s="179"/>
      <c r="AF29" s="170"/>
      <c r="AG29" s="179"/>
      <c r="AH29" s="179"/>
      <c r="AI29" s="179"/>
      <c r="AJ29" s="179"/>
      <c r="AK29" s="172"/>
      <c r="AL29" s="198"/>
      <c r="AM29" s="172"/>
      <c r="AN29" s="172"/>
      <c r="AO29" s="199"/>
      <c r="AP29" s="199"/>
      <c r="AQ29" s="182">
        <v>0</v>
      </c>
      <c r="AR29" s="149">
        <v>0</v>
      </c>
    </row>
    <row r="30" spans="2:47" x14ac:dyDescent="0.25">
      <c r="B30" s="72"/>
      <c r="C30" s="170">
        <f>SUM(C31:C36)</f>
        <v>0</v>
      </c>
      <c r="D30" s="170">
        <f t="shared" ref="D30:Q30" si="20">SUM(D31:D36)</f>
        <v>0</v>
      </c>
      <c r="E30" s="170">
        <f t="shared" si="20"/>
        <v>-0.30553998160723861</v>
      </c>
      <c r="F30" s="170">
        <f t="shared" si="20"/>
        <v>0</v>
      </c>
      <c r="G30" s="170">
        <f t="shared" si="20"/>
        <v>0</v>
      </c>
      <c r="H30" s="170">
        <f t="shared" si="20"/>
        <v>0</v>
      </c>
      <c r="I30" s="170">
        <f t="shared" si="20"/>
        <v>0</v>
      </c>
      <c r="J30" s="170">
        <f t="shared" si="20"/>
        <v>0</v>
      </c>
      <c r="K30" s="170">
        <f t="shared" si="20"/>
        <v>0</v>
      </c>
      <c r="L30" s="170">
        <f t="shared" si="20"/>
        <v>0</v>
      </c>
      <c r="M30" s="170">
        <f t="shared" si="20"/>
        <v>-8.9796294594482156</v>
      </c>
      <c r="N30" s="170">
        <f t="shared" si="20"/>
        <v>-212.00484658706776</v>
      </c>
      <c r="O30" s="170">
        <f t="shared" si="20"/>
        <v>-1.4510580963821389</v>
      </c>
      <c r="P30" s="170">
        <f t="shared" si="20"/>
        <v>0</v>
      </c>
      <c r="Q30" s="170">
        <f t="shared" si="20"/>
        <v>0</v>
      </c>
      <c r="R30" s="167"/>
      <c r="S30" s="168">
        <f>SUM(C30:Q30)</f>
        <v>-222.74107412450533</v>
      </c>
      <c r="T30" s="92" t="s">
        <v>120</v>
      </c>
      <c r="U30" s="10" t="s">
        <v>121</v>
      </c>
      <c r="V30" s="65" t="s">
        <v>117</v>
      </c>
      <c r="W30" s="65">
        <f>'Størrelse på strømme'!E26</f>
        <v>6.1872520590140372</v>
      </c>
      <c r="X30" s="78">
        <f t="shared" si="16"/>
        <v>0</v>
      </c>
      <c r="Y30" s="77"/>
      <c r="Z30" s="72"/>
      <c r="AA30" s="170">
        <f t="shared" ref="AA30:AR30" si="21">SUM(AA31:AA36)</f>
        <v>0</v>
      </c>
      <c r="AB30" s="170">
        <f t="shared" si="21"/>
        <v>0</v>
      </c>
      <c r="AC30" s="170">
        <f t="shared" si="21"/>
        <v>0</v>
      </c>
      <c r="AD30" s="170">
        <f t="shared" si="21"/>
        <v>0</v>
      </c>
      <c r="AE30" s="170">
        <f t="shared" si="21"/>
        <v>0</v>
      </c>
      <c r="AF30" s="170">
        <f t="shared" si="21"/>
        <v>0</v>
      </c>
      <c r="AG30" s="170">
        <f t="shared" si="21"/>
        <v>0</v>
      </c>
      <c r="AH30" s="170">
        <f t="shared" si="21"/>
        <v>0</v>
      </c>
      <c r="AI30" s="170">
        <f t="shared" si="21"/>
        <v>0</v>
      </c>
      <c r="AJ30" s="170">
        <f t="shared" si="21"/>
        <v>0</v>
      </c>
      <c r="AK30" s="170">
        <f t="shared" si="21"/>
        <v>0</v>
      </c>
      <c r="AL30" s="170">
        <f t="shared" si="21"/>
        <v>0</v>
      </c>
      <c r="AM30" s="170">
        <f t="shared" si="21"/>
        <v>0</v>
      </c>
      <c r="AN30" s="170">
        <f t="shared" si="21"/>
        <v>0</v>
      </c>
      <c r="AO30" s="170">
        <f t="shared" si="21"/>
        <v>0</v>
      </c>
      <c r="AP30" s="170">
        <f t="shared" si="21"/>
        <v>0</v>
      </c>
      <c r="AQ30" s="170">
        <f t="shared" si="21"/>
        <v>222.74107412450536</v>
      </c>
      <c r="AR30" s="144">
        <f t="shared" si="21"/>
        <v>16.129784119568765</v>
      </c>
    </row>
    <row r="31" spans="2:47" x14ac:dyDescent="0.25">
      <c r="B31" s="72"/>
      <c r="C31" s="208">
        <v>0</v>
      </c>
      <c r="D31" s="208">
        <v>0</v>
      </c>
      <c r="E31" s="208">
        <f>(S31*'Nøgletal slutforbrug'!M8)</f>
        <v>-0.30553998160723861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f>(S31*'Nøgletal slutforbrug'!M9)</f>
        <v>-8.9796294594482156</v>
      </c>
      <c r="N31" s="208">
        <f>(S31*'Nøgletal slutforbrug'!M10)</f>
        <v>-156.83452055894455</v>
      </c>
      <c r="O31" s="208">
        <f>(S31*'Nøgletal slutforbrug'!M11)</f>
        <v>0</v>
      </c>
      <c r="P31" s="208">
        <v>0</v>
      </c>
      <c r="Q31" s="208">
        <v>0</v>
      </c>
      <c r="R31" s="167"/>
      <c r="S31" s="168">
        <f>'Nøgletal slutforbrug'!L7/1000</f>
        <v>-166.11968999999999</v>
      </c>
      <c r="T31" s="26" t="s">
        <v>122</v>
      </c>
      <c r="U31" s="12" t="s">
        <v>123</v>
      </c>
      <c r="V31" s="64" t="s">
        <v>121</v>
      </c>
      <c r="W31" s="64"/>
      <c r="X31" s="78">
        <f t="shared" si="16"/>
        <v>0</v>
      </c>
      <c r="Y31" s="77"/>
      <c r="Z31" s="72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90"/>
      <c r="AL31" s="200"/>
      <c r="AM31" s="190"/>
      <c r="AN31" s="190"/>
      <c r="AO31" s="193"/>
      <c r="AP31" s="201"/>
      <c r="AQ31" s="193">
        <f t="shared" ref="AQ31:AQ36" si="22">S31*-1-X31</f>
        <v>166.11968999999999</v>
      </c>
      <c r="AR31" s="208">
        <f>(((E31*Emissionsfaktorer!$B$2+F31*Emissionsfaktorer!$B$3+G31*Emissionsfaktorer!$B$5+N31*Emissionsfaktorer!$B$5)*-1)*1000)/1000</f>
        <v>11.936839341431398</v>
      </c>
    </row>
    <row r="32" spans="2:47" x14ac:dyDescent="0.25">
      <c r="B32" s="72"/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f>(S32*'Nøgletal slutforbrug'!M13)</f>
        <v>0</v>
      </c>
      <c r="N32" s="208">
        <f>(S32*'Nøgletal slutforbrug'!M14)</f>
        <v>-3.0276160281232287</v>
      </c>
      <c r="O32" s="208">
        <f>(S32*'Nøgletal slutforbrug'!M15)</f>
        <v>-1.4510580963821389</v>
      </c>
      <c r="P32" s="208">
        <v>0</v>
      </c>
      <c r="Q32" s="208">
        <v>0</v>
      </c>
      <c r="R32" s="167"/>
      <c r="S32" s="168">
        <f>'Nøgletal slutforbrug'!L12/1000</f>
        <v>-4.4786741245053676</v>
      </c>
      <c r="T32" s="27" t="s">
        <v>124</v>
      </c>
      <c r="U32" s="15" t="s">
        <v>125</v>
      </c>
      <c r="V32" s="32" t="s">
        <v>121</v>
      </c>
      <c r="W32" s="32"/>
      <c r="X32" s="78">
        <f t="shared" si="16"/>
        <v>0</v>
      </c>
      <c r="Y32" s="77"/>
      <c r="Z32" s="72"/>
      <c r="AA32" s="189"/>
      <c r="AB32" s="189"/>
      <c r="AC32" s="190"/>
      <c r="AD32" s="190"/>
      <c r="AE32" s="190"/>
      <c r="AF32" s="171"/>
      <c r="AG32" s="190"/>
      <c r="AH32" s="189"/>
      <c r="AI32" s="189"/>
      <c r="AJ32" s="190"/>
      <c r="AK32" s="190"/>
      <c r="AL32" s="200"/>
      <c r="AM32" s="190"/>
      <c r="AN32" s="190"/>
      <c r="AO32" s="193"/>
      <c r="AP32" s="201"/>
      <c r="AQ32" s="193">
        <f t="shared" si="22"/>
        <v>4.4786741245053676</v>
      </c>
      <c r="AR32" s="208">
        <f>(((E32*Emissionsfaktorer!$B$2+F32*Emissionsfaktorer!$B$3+G32*Emissionsfaktorer!$B$5+N32*Emissionsfaktorer!$B$5)*-1)*1000)/1000</f>
        <v>0.23009881813736538</v>
      </c>
    </row>
    <row r="33" spans="2:45" x14ac:dyDescent="0.25">
      <c r="B33" s="72"/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f>(S33*'Nøgletal slutforbrug'!M17)</f>
        <v>0</v>
      </c>
      <c r="N33" s="208">
        <f>(S33*'Nøgletal slutforbrug'!M18)</f>
        <v>-6.39093</v>
      </c>
      <c r="O33" s="208">
        <f>(S33*'Nøgletal slutforbrug'!M19)</f>
        <v>0</v>
      </c>
      <c r="P33" s="208">
        <v>0</v>
      </c>
      <c r="Q33" s="208">
        <v>0</v>
      </c>
      <c r="R33" s="167"/>
      <c r="S33" s="168">
        <f>'Nøgletal slutforbrug'!L16/1000</f>
        <v>-6.39093</v>
      </c>
      <c r="T33" s="27" t="s">
        <v>126</v>
      </c>
      <c r="U33" s="15" t="s">
        <v>127</v>
      </c>
      <c r="V33" s="32" t="s">
        <v>121</v>
      </c>
      <c r="W33" s="32"/>
      <c r="X33" s="78">
        <f t="shared" si="16"/>
        <v>0</v>
      </c>
      <c r="Y33" s="77"/>
      <c r="Z33" s="72"/>
      <c r="AA33" s="190"/>
      <c r="AB33" s="190"/>
      <c r="AC33" s="190"/>
      <c r="AD33" s="190"/>
      <c r="AE33" s="190"/>
      <c r="AF33" s="171"/>
      <c r="AG33" s="190"/>
      <c r="AH33" s="189"/>
      <c r="AI33" s="189"/>
      <c r="AJ33" s="190"/>
      <c r="AK33" s="190"/>
      <c r="AL33" s="200"/>
      <c r="AM33" s="190"/>
      <c r="AN33" s="190"/>
      <c r="AO33" s="193"/>
      <c r="AP33" s="201"/>
      <c r="AQ33" s="193">
        <f t="shared" si="22"/>
        <v>6.39093</v>
      </c>
      <c r="AR33" s="208">
        <f>(((E33*Emissionsfaktorer!$B$2+F33*Emissionsfaktorer!$B$3+G33*Emissionsfaktorer!$B$5+N33*Emissionsfaktorer!$B$5)*-1)*1000)/1000</f>
        <v>0.48571068000000001</v>
      </c>
    </row>
    <row r="34" spans="2:45" x14ac:dyDescent="0.25">
      <c r="B34" s="72"/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f>(S34*'Nøgletal slutforbrug'!M21)/'Nøgletal sekundær energi'!L127*-1</f>
        <v>0</v>
      </c>
      <c r="N34" s="208">
        <f>(S34*'Nøgletal slutforbrug'!M22)</f>
        <v>-42.94388</v>
      </c>
      <c r="O34" s="208">
        <f>(S34*'Nøgletal slutforbrug'!M23)/'Nøgletal sekundær energi'!L129*-1</f>
        <v>0</v>
      </c>
      <c r="P34" s="208">
        <v>0</v>
      </c>
      <c r="Q34" s="208">
        <v>0</v>
      </c>
      <c r="R34" s="167"/>
      <c r="S34" s="168">
        <f>'Nøgletal slutforbrug'!L20/1000</f>
        <v>-42.94388</v>
      </c>
      <c r="T34" s="27" t="s">
        <v>128</v>
      </c>
      <c r="U34" s="15" t="s">
        <v>129</v>
      </c>
      <c r="V34" s="32" t="s">
        <v>121</v>
      </c>
      <c r="W34" s="32"/>
      <c r="X34" s="78">
        <f t="shared" si="16"/>
        <v>0</v>
      </c>
      <c r="Y34" s="77"/>
      <c r="Z34" s="72"/>
      <c r="AA34" s="190"/>
      <c r="AB34" s="190"/>
      <c r="AC34" s="190"/>
      <c r="AD34" s="190"/>
      <c r="AE34" s="190"/>
      <c r="AF34" s="171"/>
      <c r="AG34" s="190"/>
      <c r="AH34" s="189"/>
      <c r="AI34" s="189"/>
      <c r="AJ34" s="190"/>
      <c r="AK34" s="190"/>
      <c r="AL34" s="200"/>
      <c r="AM34" s="190"/>
      <c r="AN34" s="190"/>
      <c r="AO34" s="193"/>
      <c r="AP34" s="201"/>
      <c r="AQ34" s="193">
        <f t="shared" si="22"/>
        <v>42.94388</v>
      </c>
      <c r="AR34" s="208">
        <f>(((E34*Emissionsfaktorer!$B$2+F34*Emissionsfaktorer!$B$3+G34*Emissionsfaktorer!$B$5+N34*Emissionsfaktorer!$B$5)*-1)*1000)/1000</f>
        <v>3.2637348799999999</v>
      </c>
    </row>
    <row r="35" spans="2:45" x14ac:dyDescent="0.25">
      <c r="B35" s="72"/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f>(S35*'Nøgletal slutforbrug'!M25)/'Nøgletal sekundær energi'!L127*-1</f>
        <v>0</v>
      </c>
      <c r="N35" s="208">
        <f>(S35*'Nøgletal slutforbrug'!M26)</f>
        <v>-1.2019900000000001</v>
      </c>
      <c r="O35" s="208">
        <f>(S35*'Nøgletal slutforbrug'!M27)</f>
        <v>0</v>
      </c>
      <c r="P35" s="208">
        <v>0</v>
      </c>
      <c r="Q35" s="208">
        <v>0</v>
      </c>
      <c r="R35" s="167"/>
      <c r="S35" s="168">
        <f>'Nøgletal slutforbrug'!L24/1000</f>
        <v>-1.2019900000000001</v>
      </c>
      <c r="T35" s="27" t="s">
        <v>130</v>
      </c>
      <c r="U35" s="15" t="s">
        <v>131</v>
      </c>
      <c r="V35" s="32" t="s">
        <v>121</v>
      </c>
      <c r="W35" s="32"/>
      <c r="X35" s="78">
        <f t="shared" si="16"/>
        <v>0</v>
      </c>
      <c r="Y35" s="77"/>
      <c r="Z35" s="72"/>
      <c r="AA35" s="190"/>
      <c r="AB35" s="190"/>
      <c r="AC35" s="190"/>
      <c r="AD35" s="190"/>
      <c r="AE35" s="190"/>
      <c r="AF35" s="171"/>
      <c r="AG35" s="190"/>
      <c r="AH35" s="189"/>
      <c r="AI35" s="189"/>
      <c r="AJ35" s="190"/>
      <c r="AK35" s="190"/>
      <c r="AL35" s="200"/>
      <c r="AM35" s="190"/>
      <c r="AN35" s="190"/>
      <c r="AO35" s="193"/>
      <c r="AP35" s="201"/>
      <c r="AQ35" s="193">
        <f t="shared" si="22"/>
        <v>1.2019900000000001</v>
      </c>
      <c r="AR35" s="208">
        <f>(((E35*Emissionsfaktorer!$B$2+F35*Emissionsfaktorer!$B$3+G35*Emissionsfaktorer!$B$5+N35*Emissionsfaktorer!$B$5)*-1)*1000)/1000</f>
        <v>9.135124E-2</v>
      </c>
    </row>
    <row r="36" spans="2:45" x14ac:dyDescent="0.25">
      <c r="B36" s="72"/>
      <c r="C36" s="208">
        <v>0</v>
      </c>
      <c r="D36" s="208">
        <v>0</v>
      </c>
      <c r="E36" s="208">
        <f>(S36*'Nøgletal slutforbrug'!M29)</f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f>(S36*'Nøgletal slutforbrug'!M30)</f>
        <v>0</v>
      </c>
      <c r="N36" s="208">
        <f>(S36*'Nøgletal slutforbrug'!M31)</f>
        <v>-1.6059099999999999</v>
      </c>
      <c r="O36" s="208">
        <f>(S36*'Nøgletal slutforbrug'!M32)</f>
        <v>0</v>
      </c>
      <c r="P36" s="208">
        <v>0</v>
      </c>
      <c r="Q36" s="208">
        <v>0</v>
      </c>
      <c r="R36" s="167"/>
      <c r="S36" s="168">
        <f>'Nøgletal slutforbrug'!L28/1000</f>
        <v>-1.6059099999999999</v>
      </c>
      <c r="T36" s="28" t="s">
        <v>132</v>
      </c>
      <c r="U36" s="22" t="s">
        <v>133</v>
      </c>
      <c r="V36" s="32" t="s">
        <v>121</v>
      </c>
      <c r="W36" s="32"/>
      <c r="X36" s="78">
        <f t="shared" si="16"/>
        <v>0</v>
      </c>
      <c r="Y36" s="77"/>
      <c r="Z36" s="72"/>
      <c r="AA36" s="190"/>
      <c r="AB36" s="190"/>
      <c r="AC36" s="190"/>
      <c r="AD36" s="190"/>
      <c r="AE36" s="190"/>
      <c r="AF36" s="171"/>
      <c r="AG36" s="190"/>
      <c r="AH36" s="189"/>
      <c r="AI36" s="189"/>
      <c r="AJ36" s="190"/>
      <c r="AK36" s="190"/>
      <c r="AL36" s="200"/>
      <c r="AM36" s="190"/>
      <c r="AN36" s="190"/>
      <c r="AO36" s="193"/>
      <c r="AP36" s="201"/>
      <c r="AQ36" s="193">
        <f t="shared" si="22"/>
        <v>1.6059099999999999</v>
      </c>
      <c r="AR36" s="208">
        <f>(((E36*Emissionsfaktorer!$B$2+F36*Emissionsfaktorer!$B$3+G36*Emissionsfaktorer!$B$5+N36*Emissionsfaktorer!$B$5)*-1)*1000)/1000</f>
        <v>0.12204915999999999</v>
      </c>
    </row>
    <row r="37" spans="2:45" x14ac:dyDescent="0.25">
      <c r="B37" s="72"/>
      <c r="C37" s="172">
        <f>C38+C39</f>
        <v>0</v>
      </c>
      <c r="D37" s="172">
        <f t="shared" ref="D37:Q37" si="23">D38+D39</f>
        <v>0</v>
      </c>
      <c r="E37" s="172">
        <f t="shared" si="23"/>
        <v>-23.938561256510692</v>
      </c>
      <c r="F37" s="172">
        <f t="shared" si="23"/>
        <v>0</v>
      </c>
      <c r="G37" s="172">
        <f t="shared" si="23"/>
        <v>0</v>
      </c>
      <c r="H37" s="172">
        <f t="shared" si="23"/>
        <v>-45.828032858862947</v>
      </c>
      <c r="I37" s="172">
        <f t="shared" si="23"/>
        <v>-0.51291002651743212</v>
      </c>
      <c r="J37" s="172">
        <f t="shared" si="23"/>
        <v>0</v>
      </c>
      <c r="K37" s="172">
        <f t="shared" si="23"/>
        <v>-7.2597904557551818</v>
      </c>
      <c r="L37" s="172">
        <f t="shared" si="23"/>
        <v>0</v>
      </c>
      <c r="M37" s="172">
        <f t="shared" si="23"/>
        <v>0</v>
      </c>
      <c r="N37" s="172">
        <f t="shared" si="23"/>
        <v>-9.9310705256245626</v>
      </c>
      <c r="O37" s="172">
        <f t="shared" si="23"/>
        <v>-35.182561672457709</v>
      </c>
      <c r="P37" s="172">
        <f t="shared" si="23"/>
        <v>-69.599122132471138</v>
      </c>
      <c r="Q37" s="172">
        <f t="shared" si="23"/>
        <v>0</v>
      </c>
      <c r="R37" s="167"/>
      <c r="S37" s="168">
        <f>SUM(C37:Q37)</f>
        <v>-192.25204892819966</v>
      </c>
      <c r="T37" s="92" t="s">
        <v>134</v>
      </c>
      <c r="U37" s="10" t="s">
        <v>135</v>
      </c>
      <c r="V37" s="67" t="s">
        <v>117</v>
      </c>
      <c r="W37" s="67">
        <f>'Størrelse på strømme'!E28</f>
        <v>3.6971547870807626</v>
      </c>
      <c r="X37" s="78">
        <f t="shared" si="16"/>
        <v>0</v>
      </c>
      <c r="Y37" s="77"/>
      <c r="Z37" s="72"/>
      <c r="AA37" s="172">
        <f t="shared" ref="AA37:AR37" si="24">AA38+AA39</f>
        <v>0</v>
      </c>
      <c r="AB37" s="172">
        <f t="shared" si="24"/>
        <v>0</v>
      </c>
      <c r="AC37" s="172">
        <f t="shared" si="24"/>
        <v>0</v>
      </c>
      <c r="AD37" s="172">
        <f t="shared" si="24"/>
        <v>0</v>
      </c>
      <c r="AE37" s="172">
        <f t="shared" si="24"/>
        <v>0</v>
      </c>
      <c r="AF37" s="172">
        <f t="shared" si="24"/>
        <v>0</v>
      </c>
      <c r="AG37" s="172">
        <f t="shared" si="24"/>
        <v>0</v>
      </c>
      <c r="AH37" s="172">
        <f t="shared" si="24"/>
        <v>0</v>
      </c>
      <c r="AI37" s="172">
        <f t="shared" si="24"/>
        <v>0</v>
      </c>
      <c r="AJ37" s="172">
        <f t="shared" si="24"/>
        <v>0</v>
      </c>
      <c r="AK37" s="172">
        <f t="shared" si="24"/>
        <v>0</v>
      </c>
      <c r="AL37" s="172">
        <f t="shared" si="24"/>
        <v>0</v>
      </c>
      <c r="AM37" s="172">
        <f t="shared" si="24"/>
        <v>0</v>
      </c>
      <c r="AN37" s="172">
        <f t="shared" si="24"/>
        <v>0</v>
      </c>
      <c r="AO37" s="172">
        <f t="shared" si="24"/>
        <v>0</v>
      </c>
      <c r="AP37" s="172">
        <f t="shared" si="24"/>
        <v>0</v>
      </c>
      <c r="AQ37" s="172">
        <f t="shared" si="24"/>
        <v>192.25204892819966</v>
      </c>
      <c r="AR37" s="148">
        <f t="shared" si="24"/>
        <v>2.1192593515685765</v>
      </c>
    </row>
    <row r="38" spans="2:45" x14ac:dyDescent="0.25">
      <c r="B38" s="72"/>
      <c r="C38" s="208">
        <v>0</v>
      </c>
      <c r="D38" s="208">
        <v>0</v>
      </c>
      <c r="E38" s="208">
        <f>(S38*'Nøgletal slutforbrug'!M133)</f>
        <v>-20.015141256510692</v>
      </c>
      <c r="F38" s="208">
        <f>(S38*'Nøgletal slutforbrug'!M134)</f>
        <v>0</v>
      </c>
      <c r="G38" s="208">
        <f>($S38*'Nøgletal slutforbrug'!$M135)</f>
        <v>0</v>
      </c>
      <c r="H38" s="208">
        <f>($S38*'Nøgletal slutforbrug'!$M136)</f>
        <v>-45.539242858862949</v>
      </c>
      <c r="I38" s="208">
        <f>($S38*'Nøgletal slutforbrug'!$M137)</f>
        <v>-0.42240002651743214</v>
      </c>
      <c r="J38" s="208">
        <f>($S38*'Nøgletal slutforbrug'!$M138)</f>
        <v>0</v>
      </c>
      <c r="K38" s="208">
        <f>($S38*'Nøgletal slutforbrug'!$M139)</f>
        <v>-7.2597904557551818</v>
      </c>
      <c r="L38" s="208">
        <f>($S38*'Nøgletal slutforbrug'!$M140)</f>
        <v>0</v>
      </c>
      <c r="M38" s="208">
        <f>($S38*'Nøgletal slutforbrug'!$M141)</f>
        <v>0</v>
      </c>
      <c r="N38" s="208">
        <f>($S38*'Nøgletal slutforbrug'!$M142)</f>
        <v>-8.3727505256245678</v>
      </c>
      <c r="O38" s="208">
        <f>(S38*'Nøgletal slutforbrug'!$M143)</f>
        <v>-26.640821672457708</v>
      </c>
      <c r="P38" s="208">
        <f>($S38*'Nøgletal slutforbrug'!$M144)</f>
        <v>-33.968442132471125</v>
      </c>
      <c r="Q38" s="208">
        <f>($S38*'Nøgletal slutforbrug'!$M145)</f>
        <v>0</v>
      </c>
      <c r="R38" s="167"/>
      <c r="S38" s="168">
        <f>'Nøgletal slutforbrug'!L132/1000</f>
        <v>-142.21858892819967</v>
      </c>
      <c r="T38" s="29" t="s">
        <v>136</v>
      </c>
      <c r="U38" s="11" t="s">
        <v>137</v>
      </c>
      <c r="V38" s="64" t="s">
        <v>135</v>
      </c>
      <c r="W38" s="64"/>
      <c r="X38" s="78">
        <f t="shared" si="16"/>
        <v>0</v>
      </c>
      <c r="Y38" s="77"/>
      <c r="Z38" s="72"/>
      <c r="AA38" s="190"/>
      <c r="AB38" s="190"/>
      <c r="AC38" s="190"/>
      <c r="AD38" s="190"/>
      <c r="AE38" s="190"/>
      <c r="AF38" s="189"/>
      <c r="AG38" s="190"/>
      <c r="AH38" s="190"/>
      <c r="AI38" s="190"/>
      <c r="AJ38" s="190"/>
      <c r="AK38" s="190"/>
      <c r="AL38" s="200"/>
      <c r="AM38" s="190"/>
      <c r="AN38" s="190"/>
      <c r="AO38" s="202"/>
      <c r="AP38" s="201"/>
      <c r="AQ38" s="193">
        <f>S38*-1-X38</f>
        <v>142.21858892819967</v>
      </c>
      <c r="AR38" s="208">
        <f>(((E38*Emissionsfaktorer!$B$2+F38*Emissionsfaktorer!$B$3+G38*Emissionsfaktorer!$B$5+N38*Emissionsfaktorer!$B$5)*-1)*1000)/1000</f>
        <v>1.7771920915685766</v>
      </c>
    </row>
    <row r="39" spans="2:45" x14ac:dyDescent="0.25">
      <c r="B39" s="72"/>
      <c r="C39" s="208">
        <v>0</v>
      </c>
      <c r="D39" s="208">
        <v>0</v>
      </c>
      <c r="E39" s="208">
        <f>($S39*'Nøgletal slutforbrug'!$M147)</f>
        <v>-3.9234200000000001</v>
      </c>
      <c r="F39" s="208">
        <f>($S39*'Nøgletal slutforbrug'!$M148)</f>
        <v>0</v>
      </c>
      <c r="G39" s="208">
        <f>($S39*'Nøgletal slutforbrug'!$M149)</f>
        <v>0</v>
      </c>
      <c r="H39" s="208">
        <f>($S39*'Nøgletal slutforbrug'!$M150)</f>
        <v>-0.28879000000000005</v>
      </c>
      <c r="I39" s="208">
        <f>($S39*'Nøgletal slutforbrug'!$M151)</f>
        <v>-9.0510000000000007E-2</v>
      </c>
      <c r="J39" s="208">
        <f>($S39*'Nøgletal slutforbrug'!$M152)</f>
        <v>0</v>
      </c>
      <c r="K39" s="208">
        <f>($S39*'Nøgletal slutforbrug'!$M153)</f>
        <v>0</v>
      </c>
      <c r="L39" s="208">
        <f>($S39*'Nøgletal slutforbrug'!$M154)</f>
        <v>0</v>
      </c>
      <c r="M39" s="208">
        <f>($S39*'Nøgletal slutforbrug'!$M155)</f>
        <v>0</v>
      </c>
      <c r="N39" s="208">
        <f>($S39*'Nøgletal slutforbrug'!$M156)</f>
        <v>-1.5583199999999955</v>
      </c>
      <c r="O39" s="208">
        <f>($S39*'Nøgletal slutforbrug'!$M157)</f>
        <v>-8.5417400000000008</v>
      </c>
      <c r="P39" s="208">
        <f>($S39*'Nøgletal slutforbrug'!$M158)</f>
        <v>-35.630680000000005</v>
      </c>
      <c r="Q39" s="208">
        <f>($S39*'Nøgletal slutforbrug'!$M159)</f>
        <v>0</v>
      </c>
      <c r="R39" s="167"/>
      <c r="S39" s="168">
        <f>'Nøgletal slutforbrug'!L146/1000</f>
        <v>-50.033460000000005</v>
      </c>
      <c r="T39" s="28" t="s">
        <v>138</v>
      </c>
      <c r="U39" s="11" t="s">
        <v>139</v>
      </c>
      <c r="V39" s="64" t="s">
        <v>135</v>
      </c>
      <c r="W39" s="64"/>
      <c r="X39" s="78">
        <f t="shared" si="16"/>
        <v>0</v>
      </c>
      <c r="Y39" s="77"/>
      <c r="Z39" s="72"/>
      <c r="AA39" s="190"/>
      <c r="AB39" s="190"/>
      <c r="AC39" s="190"/>
      <c r="AD39" s="190"/>
      <c r="AE39" s="190"/>
      <c r="AF39" s="189"/>
      <c r="AG39" s="190"/>
      <c r="AH39" s="190"/>
      <c r="AI39" s="190"/>
      <c r="AJ39" s="190"/>
      <c r="AK39" s="190"/>
      <c r="AL39" s="200"/>
      <c r="AM39" s="190"/>
      <c r="AN39" s="190"/>
      <c r="AO39" s="193"/>
      <c r="AP39" s="201"/>
      <c r="AQ39" s="193">
        <f>S39*-1-X39</f>
        <v>50.033460000000005</v>
      </c>
      <c r="AR39" s="208">
        <f>(((E39*Emissionsfaktorer!$B$2+F39*Emissionsfaktorer!$B$3+G39*Emissionsfaktorer!$B$5+N39*Emissionsfaktorer!$B$5)*-1)*1000)/1000</f>
        <v>0.34206725999999965</v>
      </c>
    </row>
    <row r="40" spans="2:45" x14ac:dyDescent="0.25">
      <c r="B40" s="72"/>
      <c r="C40" s="172">
        <f>SUM(C41:C44)</f>
        <v>0</v>
      </c>
      <c r="D40" s="172">
        <f t="shared" ref="D40:Q40" si="25">SUM(D41:D44)</f>
        <v>0</v>
      </c>
      <c r="E40" s="172">
        <f t="shared" si="25"/>
        <v>-7.4148399490142864</v>
      </c>
      <c r="F40" s="172">
        <f t="shared" si="25"/>
        <v>0</v>
      </c>
      <c r="G40" s="172">
        <f t="shared" si="25"/>
        <v>-0.70031015312362088</v>
      </c>
      <c r="H40" s="172">
        <f t="shared" si="25"/>
        <v>-2.5398301027320658</v>
      </c>
      <c r="I40" s="172">
        <f t="shared" si="25"/>
        <v>-9.0510000000000007E-2</v>
      </c>
      <c r="J40" s="172">
        <f t="shared" si="25"/>
        <v>0</v>
      </c>
      <c r="K40" s="172">
        <f t="shared" si="25"/>
        <v>0</v>
      </c>
      <c r="L40" s="172">
        <f t="shared" si="25"/>
        <v>0</v>
      </c>
      <c r="M40" s="172">
        <f t="shared" si="25"/>
        <v>0</v>
      </c>
      <c r="N40" s="172">
        <f t="shared" si="25"/>
        <v>-2.5749699411526628</v>
      </c>
      <c r="O40" s="172">
        <f t="shared" si="25"/>
        <v>-37.873519915117292</v>
      </c>
      <c r="P40" s="172">
        <f t="shared" si="25"/>
        <v>-32.173989968064589</v>
      </c>
      <c r="Q40" s="172">
        <f t="shared" si="25"/>
        <v>0</v>
      </c>
      <c r="R40" s="167"/>
      <c r="S40" s="210">
        <f>SUM(C40:Q40)</f>
        <v>-83.367970029204514</v>
      </c>
      <c r="T40" s="92" t="s">
        <v>140</v>
      </c>
      <c r="U40" s="10" t="s">
        <v>141</v>
      </c>
      <c r="V40" s="67" t="s">
        <v>117</v>
      </c>
      <c r="W40" s="67">
        <f>'Størrelse på strømme'!E30</f>
        <v>1.89472659157283</v>
      </c>
      <c r="X40" s="78">
        <f t="shared" si="16"/>
        <v>0</v>
      </c>
      <c r="Y40" s="77"/>
      <c r="Z40" s="72"/>
      <c r="AA40" s="172">
        <f t="shared" ref="AA40:AR40" si="26">SUM(AA41:AA44)</f>
        <v>0</v>
      </c>
      <c r="AB40" s="172">
        <f t="shared" si="26"/>
        <v>0</v>
      </c>
      <c r="AC40" s="172">
        <f t="shared" si="26"/>
        <v>0</v>
      </c>
      <c r="AD40" s="172">
        <f t="shared" si="26"/>
        <v>0</v>
      </c>
      <c r="AE40" s="172">
        <f t="shared" si="26"/>
        <v>0</v>
      </c>
      <c r="AF40" s="172">
        <f t="shared" si="26"/>
        <v>0</v>
      </c>
      <c r="AG40" s="172">
        <f t="shared" si="26"/>
        <v>0</v>
      </c>
      <c r="AH40" s="172">
        <f t="shared" si="26"/>
        <v>0</v>
      </c>
      <c r="AI40" s="172">
        <f t="shared" si="26"/>
        <v>0</v>
      </c>
      <c r="AJ40" s="172">
        <f t="shared" si="26"/>
        <v>0</v>
      </c>
      <c r="AK40" s="172">
        <f t="shared" si="26"/>
        <v>0</v>
      </c>
      <c r="AL40" s="172">
        <f t="shared" si="26"/>
        <v>0</v>
      </c>
      <c r="AM40" s="172">
        <f t="shared" si="26"/>
        <v>0</v>
      </c>
      <c r="AN40" s="172">
        <f t="shared" si="26"/>
        <v>0</v>
      </c>
      <c r="AO40" s="172">
        <f t="shared" si="26"/>
        <v>0</v>
      </c>
      <c r="AP40" s="172">
        <f t="shared" si="26"/>
        <v>0</v>
      </c>
      <c r="AQ40" s="172">
        <f t="shared" si="26"/>
        <v>83.367970029204514</v>
      </c>
      <c r="AR40" s="148">
        <f t="shared" si="26"/>
        <v>0.67156716425881191</v>
      </c>
    </row>
    <row r="41" spans="2:45" x14ac:dyDescent="0.25">
      <c r="B41" s="72"/>
      <c r="C41" s="208">
        <v>0</v>
      </c>
      <c r="D41" s="208">
        <v>0</v>
      </c>
      <c r="E41" s="208">
        <f>($S41*'Nøgletal slutforbrug'!$M77)</f>
        <v>-0.99649925975792641</v>
      </c>
      <c r="F41" s="208">
        <f>($S41*'Nøgletal slutforbrug'!$M78)</f>
        <v>0</v>
      </c>
      <c r="G41" s="208">
        <f>($S41*'Nøgletal slutforbrug'!$M79)</f>
        <v>0</v>
      </c>
      <c r="H41" s="208">
        <f>($S41*'Nøgletal slutforbrug'!$M80)</f>
        <v>-7.663994306858754E-2</v>
      </c>
      <c r="I41" s="208">
        <f>($S41*'Nøgletal slutforbrug'!$M81)</f>
        <v>0</v>
      </c>
      <c r="J41" s="208">
        <f>($S41*'Nøgletal slutforbrug'!$M82)</f>
        <v>0</v>
      </c>
      <c r="K41" s="208">
        <f>($S41*'Nøgletal slutforbrug'!$M83)</f>
        <v>0</v>
      </c>
      <c r="L41" s="208">
        <f>($S41*'Nøgletal slutforbrug'!$M84)</f>
        <v>0</v>
      </c>
      <c r="M41" s="208">
        <f>($S41*'Nøgletal slutforbrug'!$M85)</f>
        <v>0</v>
      </c>
      <c r="N41" s="208">
        <f>($S41*'Nøgletal slutforbrug'!$M86)</f>
        <v>-0.31190976830014422</v>
      </c>
      <c r="O41" s="208">
        <f>($S41*'Nøgletal slutforbrug'!$M87)</f>
        <v>-5.4479559530263852</v>
      </c>
      <c r="P41" s="208">
        <f>($S41*'Nøgletal slutforbrug'!$M88)</f>
        <v>-4.2134468700722882</v>
      </c>
      <c r="Q41" s="208">
        <f>($S41*'Nøgletal slutforbrug'!$M89)</f>
        <v>0</v>
      </c>
      <c r="R41" s="167"/>
      <c r="S41" s="211">
        <f>'Nøgletal slutforbrug'!L76/1000</f>
        <v>-11.046451794225332</v>
      </c>
      <c r="T41" s="27" t="s">
        <v>142</v>
      </c>
      <c r="U41" s="12" t="s">
        <v>143</v>
      </c>
      <c r="V41" s="64" t="s">
        <v>141</v>
      </c>
      <c r="W41" s="64"/>
      <c r="X41" s="78">
        <f t="shared" si="16"/>
        <v>0</v>
      </c>
      <c r="Y41" s="77"/>
      <c r="Z41" s="72"/>
      <c r="AA41" s="190"/>
      <c r="AB41" s="190"/>
      <c r="AC41" s="190"/>
      <c r="AD41" s="190"/>
      <c r="AE41" s="190"/>
      <c r="AF41" s="189"/>
      <c r="AG41" s="190"/>
      <c r="AH41" s="190"/>
      <c r="AI41" s="190"/>
      <c r="AJ41" s="190"/>
      <c r="AK41" s="190"/>
      <c r="AL41" s="200"/>
      <c r="AM41" s="190"/>
      <c r="AN41" s="190"/>
      <c r="AO41" s="193"/>
      <c r="AP41" s="201"/>
      <c r="AQ41" s="193">
        <f>S41*-1-X41</f>
        <v>11.046451794225332</v>
      </c>
      <c r="AR41" s="208">
        <f>(((E41*Emissionsfaktorer!$B$2+F41*Emissionsfaktorer!$B$3+G41*Emissionsfaktorer!$B$5+N41*Emissionsfaktorer!$B$5)*-1)*1000)/1000</f>
        <v>8.0505600197012764E-2</v>
      </c>
    </row>
    <row r="42" spans="2:45" x14ac:dyDescent="0.25">
      <c r="B42" s="72"/>
      <c r="C42" s="208">
        <v>0</v>
      </c>
      <c r="D42" s="208">
        <v>0</v>
      </c>
      <c r="E42" s="208">
        <f>($S42*'Nøgletal slutforbrug'!$M91)</f>
        <v>-0.76922999999999986</v>
      </c>
      <c r="F42" s="208">
        <f>($S42*'Nøgletal slutforbrug'!$M92)</f>
        <v>0</v>
      </c>
      <c r="G42" s="208">
        <f>($S42*'Nøgletal slutforbrug'!$M93)</f>
        <v>0</v>
      </c>
      <c r="H42" s="208">
        <f>($S42*'Nøgletal slutforbrug'!$M94)</f>
        <v>-5.9159999999999983E-2</v>
      </c>
      <c r="I42" s="208">
        <f>($S42*'Nøgletal slutforbrug'!$M95)</f>
        <v>0</v>
      </c>
      <c r="J42" s="208">
        <f>($S42*'Nøgletal slutforbrug'!$M96)</f>
        <v>0</v>
      </c>
      <c r="K42" s="208">
        <f>($S42*'Nøgletal slutforbrug'!$M97)</f>
        <v>0</v>
      </c>
      <c r="L42" s="208">
        <f>($S42*'Nøgletal slutforbrug'!$M98)</f>
        <v>0</v>
      </c>
      <c r="M42" s="208">
        <f>($S42*'Nøgletal slutforbrug'!$M99)</f>
        <v>0</v>
      </c>
      <c r="N42" s="208">
        <f>($S42*'Nøgletal slutforbrug'!$M100)</f>
        <v>-0.15048000000000014</v>
      </c>
      <c r="O42" s="208">
        <f>($S42*'Nøgletal slutforbrug'!$M101)</f>
        <v>-5.6546899999999978</v>
      </c>
      <c r="P42" s="208">
        <f>($S42*'Nøgletal slutforbrug'!$M102)</f>
        <v>-3.2524999999999995</v>
      </c>
      <c r="Q42" s="208">
        <f>($S42*'Nøgletal slutforbrug'!$M103)</f>
        <v>0</v>
      </c>
      <c r="R42" s="167"/>
      <c r="S42" s="211">
        <f>'Nøgletal slutforbrug'!L90/1000</f>
        <v>-9.886059999999997</v>
      </c>
      <c r="T42" s="27" t="s">
        <v>144</v>
      </c>
      <c r="U42" s="12" t="s">
        <v>145</v>
      </c>
      <c r="V42" s="64" t="s">
        <v>141</v>
      </c>
      <c r="W42" s="64"/>
      <c r="X42" s="78">
        <f t="shared" si="16"/>
        <v>0</v>
      </c>
      <c r="Y42" s="77"/>
      <c r="Z42" s="72"/>
      <c r="AA42" s="190"/>
      <c r="AB42" s="190"/>
      <c r="AC42" s="190"/>
      <c r="AD42" s="190"/>
      <c r="AE42" s="190"/>
      <c r="AF42" s="189"/>
      <c r="AG42" s="190"/>
      <c r="AH42" s="190"/>
      <c r="AI42" s="190"/>
      <c r="AJ42" s="190"/>
      <c r="AK42" s="190"/>
      <c r="AL42" s="200"/>
      <c r="AM42" s="190"/>
      <c r="AN42" s="190"/>
      <c r="AO42" s="193"/>
      <c r="AP42" s="201"/>
      <c r="AQ42" s="193">
        <f>S42*-1-X42</f>
        <v>9.886059999999997</v>
      </c>
      <c r="AR42" s="208">
        <f>(((E42*Emissionsfaktorer!$B$2+F42*Emissionsfaktorer!$B$3+G42*Emissionsfaktorer!$B$5+N42*Emissionsfaktorer!$B$5)*-1)*1000)/1000</f>
        <v>5.5282590000000006E-2</v>
      </c>
    </row>
    <row r="43" spans="2:45" x14ac:dyDescent="0.25">
      <c r="B43" s="72"/>
      <c r="C43" s="208">
        <v>0</v>
      </c>
      <c r="D43" s="208">
        <v>0</v>
      </c>
      <c r="E43" s="208">
        <f>($S43*'Nøgletal slutforbrug'!$M105)</f>
        <v>-3.1523106892563599</v>
      </c>
      <c r="F43" s="208">
        <f>($S43*'Nøgletal slutforbrug'!$M106)/'Nøgletal sekundær energi'!L142*-1</f>
        <v>0</v>
      </c>
      <c r="G43" s="208">
        <f>($S43*'Nøgletal slutforbrug'!$M107)</f>
        <v>-0.70031015312362088</v>
      </c>
      <c r="H43" s="208">
        <f>($S43*'Nøgletal slutforbrug'!$M108)</f>
        <v>-0.73022015966347831</v>
      </c>
      <c r="I43" s="208">
        <f>($S43*'Nøgletal slutforbrug'!$M109)</f>
        <v>0</v>
      </c>
      <c r="J43" s="208">
        <f>($S43*'Nøgletal slutforbrug'!$M110)</f>
        <v>0</v>
      </c>
      <c r="K43" s="208">
        <f>($S43*'Nøgletal slutforbrug'!$M111)</f>
        <v>0</v>
      </c>
      <c r="L43" s="208">
        <f>($S43*'Nøgletal slutforbrug'!$M112)</f>
        <v>0</v>
      </c>
      <c r="M43" s="208">
        <f>($S43*'Nøgletal slutforbrug'!$M113)</f>
        <v>0</v>
      </c>
      <c r="N43" s="208">
        <f>($S43*'Nøgletal slutforbrug'!$M114)</f>
        <v>-0.79054017285251832</v>
      </c>
      <c r="O43" s="208">
        <f>($S43*'Nøgletal slutforbrug'!$M115)</f>
        <v>-18.120603962090911</v>
      </c>
      <c r="P43" s="208">
        <f>($S43*'Nøgletal slutforbrug'!$M116)</f>
        <v>-14.168653097992305</v>
      </c>
      <c r="Q43" s="208">
        <f>($S43*'Nøgletal slutforbrug'!$M117)</f>
        <v>0</v>
      </c>
      <c r="R43" s="167"/>
      <c r="S43" s="211">
        <f>'Nøgletal slutforbrug'!L104/1000</f>
        <v>-37.662638234979191</v>
      </c>
      <c r="T43" s="27" t="s">
        <v>146</v>
      </c>
      <c r="U43" s="12" t="s">
        <v>147</v>
      </c>
      <c r="V43" s="64" t="s">
        <v>141</v>
      </c>
      <c r="W43" s="64"/>
      <c r="X43" s="78">
        <f t="shared" si="16"/>
        <v>0</v>
      </c>
      <c r="Y43" s="77"/>
      <c r="Z43" s="72"/>
      <c r="AA43" s="190"/>
      <c r="AB43" s="190"/>
      <c r="AC43" s="190"/>
      <c r="AD43" s="190"/>
      <c r="AE43" s="190"/>
      <c r="AF43" s="189"/>
      <c r="AG43" s="190"/>
      <c r="AH43" s="190"/>
      <c r="AI43" s="190"/>
      <c r="AJ43" s="190"/>
      <c r="AK43" s="190"/>
      <c r="AL43" s="200"/>
      <c r="AM43" s="190"/>
      <c r="AN43" s="190"/>
      <c r="AO43" s="193"/>
      <c r="AP43" s="201"/>
      <c r="AQ43" s="193">
        <f>S43*-1-X43</f>
        <v>37.662638234979191</v>
      </c>
      <c r="AR43" s="208">
        <f>(((E43*Emissionsfaktorer!$B$2+F43*Emissionsfaktorer!$B$3+G43*Emissionsfaktorer!$B$5+N43*Emissionsfaktorer!$B$5)*-1)*1000)/1000</f>
        <v>0.29298633406179908</v>
      </c>
    </row>
    <row r="44" spans="2:45" x14ac:dyDescent="0.25">
      <c r="B44" s="72"/>
      <c r="C44" s="208">
        <v>0</v>
      </c>
      <c r="D44" s="208">
        <v>0</v>
      </c>
      <c r="E44" s="208">
        <f>($S44*'Nøgletal slutforbrug'!$M119)</f>
        <v>-2.4968000000000004</v>
      </c>
      <c r="F44" s="208">
        <f>($S44*'Nøgletal slutforbrug'!$M120)</f>
        <v>0</v>
      </c>
      <c r="G44" s="208">
        <f>($S44*'Nøgletal slutforbrug'!$M121)</f>
        <v>0</v>
      </c>
      <c r="H44" s="208">
        <f>($S44*'Nøgletal slutforbrug'!$M122)</f>
        <v>-1.6738099999999998</v>
      </c>
      <c r="I44" s="208">
        <f>($S44*'Nøgletal slutforbrug'!$M123)</f>
        <v>-9.0510000000000007E-2</v>
      </c>
      <c r="J44" s="208">
        <f>($S44*'Nøgletal slutforbrug'!$M124)</f>
        <v>0</v>
      </c>
      <c r="K44" s="208">
        <f>($S44*'Nøgletal slutforbrug'!$M1125)</f>
        <v>0</v>
      </c>
      <c r="L44" s="208">
        <f>($S44*'Nøgletal slutforbrug'!$M126)</f>
        <v>0</v>
      </c>
      <c r="M44" s="208">
        <f>($S44*'Nøgletal slutforbrug'!$M127)</f>
        <v>0</v>
      </c>
      <c r="N44" s="208">
        <f>($S44*'Nøgletal slutforbrug'!$M128)</f>
        <v>-1.3220400000000003</v>
      </c>
      <c r="O44" s="208">
        <f>($S44*'Nøgletal slutforbrug'!$M129)</f>
        <v>-8.6502700000000008</v>
      </c>
      <c r="P44" s="208">
        <f>($S44*'Nøgletal slutforbrug'!$M130)</f>
        <v>-10.539389999999999</v>
      </c>
      <c r="Q44" s="208">
        <f>($S44*'Nøgletal slutforbrug'!$M131)</f>
        <v>0</v>
      </c>
      <c r="R44" s="167"/>
      <c r="S44" s="211">
        <f>'Nøgletal slutforbrug'!L118/1000</f>
        <v>-24.772819999999999</v>
      </c>
      <c r="T44" s="29" t="s">
        <v>148</v>
      </c>
      <c r="U44" s="12" t="s">
        <v>149</v>
      </c>
      <c r="V44" s="64" t="s">
        <v>141</v>
      </c>
      <c r="W44" s="64"/>
      <c r="X44" s="78">
        <f t="shared" si="16"/>
        <v>0</v>
      </c>
      <c r="Y44" s="77"/>
      <c r="Z44" s="72"/>
      <c r="AA44" s="190"/>
      <c r="AB44" s="190"/>
      <c r="AC44" s="190"/>
      <c r="AD44" s="190"/>
      <c r="AE44" s="190"/>
      <c r="AF44" s="189"/>
      <c r="AG44" s="190"/>
      <c r="AH44" s="190"/>
      <c r="AI44" s="190"/>
      <c r="AJ44" s="190"/>
      <c r="AK44" s="190"/>
      <c r="AL44" s="200"/>
      <c r="AM44" s="190"/>
      <c r="AN44" s="190"/>
      <c r="AO44" s="202"/>
      <c r="AP44" s="201"/>
      <c r="AQ44" s="193">
        <f>S44*-1-X44</f>
        <v>24.772819999999999</v>
      </c>
      <c r="AR44" s="208">
        <f>(((E44*Emissionsfaktorer!$B$2+F44*Emissionsfaktorer!$B$3+G44*Emissionsfaktorer!$B$5+N44*Emissionsfaktorer!$B$5)*-1)*1000)/1000</f>
        <v>0.24279264000000003</v>
      </c>
    </row>
    <row r="45" spans="2:45" x14ac:dyDescent="0.25">
      <c r="B45" s="72"/>
      <c r="C45" s="172">
        <f>SUM(C46:C49)</f>
        <v>0</v>
      </c>
      <c r="D45" s="172">
        <f t="shared" ref="D45:Q45" si="27">SUM(D46:D49)</f>
        <v>0</v>
      </c>
      <c r="E45" s="172">
        <f t="shared" si="27"/>
        <v>-29.318015012196213</v>
      </c>
      <c r="F45" s="172">
        <f t="shared" si="27"/>
        <v>-5.5923209112784127</v>
      </c>
      <c r="G45" s="172">
        <f t="shared" si="27"/>
        <v>-1.4923201492709708</v>
      </c>
      <c r="H45" s="172">
        <f t="shared" si="27"/>
        <v>-12.457293522919791</v>
      </c>
      <c r="I45" s="172">
        <f t="shared" si="27"/>
        <v>0</v>
      </c>
      <c r="J45" s="172">
        <f t="shared" si="27"/>
        <v>0</v>
      </c>
      <c r="K45" s="172">
        <f t="shared" si="27"/>
        <v>-2.9748911135294001</v>
      </c>
      <c r="L45" s="172">
        <f t="shared" si="27"/>
        <v>0</v>
      </c>
      <c r="M45" s="172">
        <f t="shared" si="27"/>
        <v>-0.1092301174231725</v>
      </c>
      <c r="N45" s="172">
        <f t="shared" si="27"/>
        <v>-34.605919448636079</v>
      </c>
      <c r="O45" s="172">
        <f t="shared" si="27"/>
        <v>-37.396423520445019</v>
      </c>
      <c r="P45" s="172">
        <f t="shared" si="27"/>
        <v>-4.9686320366458503</v>
      </c>
      <c r="Q45" s="172">
        <f t="shared" si="27"/>
        <v>0</v>
      </c>
      <c r="R45" s="167"/>
      <c r="S45" s="210">
        <f>SUM(C45:Q45)</f>
        <v>-128.91504583234493</v>
      </c>
      <c r="T45" s="92" t="s">
        <v>150</v>
      </c>
      <c r="U45" s="10" t="s">
        <v>151</v>
      </c>
      <c r="V45" s="67" t="s">
        <v>117</v>
      </c>
      <c r="W45" s="67">
        <f>'Størrelse på strømme'!E32</f>
        <v>2.9298874052805668</v>
      </c>
      <c r="X45" s="78">
        <f t="shared" si="16"/>
        <v>0</v>
      </c>
      <c r="Y45" s="77"/>
      <c r="Z45" s="72"/>
      <c r="AA45" s="172">
        <f t="shared" ref="AA45:AR45" si="28">SUM(AA46:AA49)</f>
        <v>0</v>
      </c>
      <c r="AB45" s="172">
        <f t="shared" si="28"/>
        <v>0</v>
      </c>
      <c r="AC45" s="172">
        <f t="shared" si="28"/>
        <v>0</v>
      </c>
      <c r="AD45" s="172">
        <f t="shared" si="28"/>
        <v>0</v>
      </c>
      <c r="AE45" s="172">
        <f t="shared" si="28"/>
        <v>0</v>
      </c>
      <c r="AF45" s="172">
        <f t="shared" si="28"/>
        <v>0</v>
      </c>
      <c r="AG45" s="172">
        <f t="shared" si="28"/>
        <v>0</v>
      </c>
      <c r="AH45" s="172">
        <f t="shared" si="28"/>
        <v>0</v>
      </c>
      <c r="AI45" s="172">
        <f t="shared" si="28"/>
        <v>0</v>
      </c>
      <c r="AJ45" s="172">
        <f t="shared" si="28"/>
        <v>0</v>
      </c>
      <c r="AK45" s="172">
        <f t="shared" si="28"/>
        <v>0</v>
      </c>
      <c r="AL45" s="172">
        <f t="shared" si="28"/>
        <v>0</v>
      </c>
      <c r="AM45" s="172">
        <f t="shared" si="28"/>
        <v>0</v>
      </c>
      <c r="AN45" s="172">
        <f t="shared" si="28"/>
        <v>0</v>
      </c>
      <c r="AO45" s="172">
        <f t="shared" si="28"/>
        <v>0</v>
      </c>
      <c r="AP45" s="172">
        <f t="shared" si="28"/>
        <v>0</v>
      </c>
      <c r="AQ45" s="172">
        <f t="shared" si="28"/>
        <v>128.91504583234493</v>
      </c>
      <c r="AR45" s="148">
        <f t="shared" si="28"/>
        <v>4.9458635517075686</v>
      </c>
    </row>
    <row r="46" spans="2:45" x14ac:dyDescent="0.25">
      <c r="B46" s="72"/>
      <c r="C46" s="208">
        <v>0</v>
      </c>
      <c r="D46" s="208">
        <v>0</v>
      </c>
      <c r="E46" s="208">
        <f>($S46*'Nøgletal slutforbrug'!$M35)</f>
        <v>-1.4201915267162444</v>
      </c>
      <c r="F46" s="208">
        <f>($S46*'Nøgletal slutforbrug'!$M34)</f>
        <v>-0.36093038800279825</v>
      </c>
      <c r="G46" s="208">
        <v>0</v>
      </c>
      <c r="H46" s="208">
        <f>($S46*'Nøgletal slutforbrug'!$M36)</f>
        <v>-2.2804624515137601</v>
      </c>
      <c r="I46" s="208">
        <v>0</v>
      </c>
      <c r="J46" s="208">
        <v>0</v>
      </c>
      <c r="K46" s="208">
        <f>($S46*'Nøgletal slutforbrug'!$M37)</f>
        <v>-0.83690089967456816</v>
      </c>
      <c r="L46" s="208">
        <f>($S46*'Nøgletal slutforbrug'!$M38)</f>
        <v>0</v>
      </c>
      <c r="M46" s="208">
        <f>($S46*'Nøgletal slutforbrug'!$M39)</f>
        <v>-0.1092301174231725</v>
      </c>
      <c r="N46" s="208">
        <f>($S46*'Nøgletal slutforbrug'!$M40)</f>
        <v>-12.883773850150806</v>
      </c>
      <c r="O46" s="208">
        <f>($S46*'Nøgletal slutforbrug'!$M41)</f>
        <v>-6.2656967356696667</v>
      </c>
      <c r="P46" s="208">
        <f>($S46*'Nøgletal slutforbrug'!$M42)</f>
        <v>-1.5791616976103371</v>
      </c>
      <c r="Q46" s="208">
        <v>0</v>
      </c>
      <c r="R46" s="167"/>
      <c r="S46" s="210">
        <f>'Nøgletal slutforbrug'!L33/1000</f>
        <v>-25.736347666761358</v>
      </c>
      <c r="T46" s="26" t="s">
        <v>152</v>
      </c>
      <c r="U46" s="12" t="s">
        <v>153</v>
      </c>
      <c r="V46" s="64" t="s">
        <v>151</v>
      </c>
      <c r="W46" s="64"/>
      <c r="X46" s="78">
        <f t="shared" si="16"/>
        <v>0</v>
      </c>
      <c r="Y46" s="77"/>
      <c r="Z46" s="72"/>
      <c r="AA46" s="190"/>
      <c r="AB46" s="190"/>
      <c r="AC46" s="190"/>
      <c r="AD46" s="190"/>
      <c r="AE46" s="190"/>
      <c r="AF46" s="189"/>
      <c r="AG46" s="190"/>
      <c r="AH46" s="190"/>
      <c r="AI46" s="190"/>
      <c r="AJ46" s="190"/>
      <c r="AK46" s="190"/>
      <c r="AL46" s="200"/>
      <c r="AM46" s="190"/>
      <c r="AN46" s="190"/>
      <c r="AO46" s="193"/>
      <c r="AP46" s="201"/>
      <c r="AQ46" s="193">
        <f>S46*-1-X46</f>
        <v>25.736347666761358</v>
      </c>
      <c r="AR46" s="208">
        <f>(((E46*Emissionsfaktorer!$B$2+F46*Emissionsfaktorer!$B$3+G46*Emissionsfaktorer!$B$5+N46*Emissionsfaktorer!$B$5)*-1)*1000)/1000</f>
        <v>1.0944061164945529</v>
      </c>
    </row>
    <row r="47" spans="2:45" x14ac:dyDescent="0.25">
      <c r="B47" s="72"/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f>(S47*'Nøgletal slutforbrug'!M44)</f>
        <v>0</v>
      </c>
      <c r="M47" s="208">
        <f>($S47*'Nøgletal slutforbrug'!$M45)</f>
        <v>0</v>
      </c>
      <c r="N47" s="208">
        <f>($S47*'Nøgletal slutforbrug'!$M46)</f>
        <v>-4.6504300000000001</v>
      </c>
      <c r="O47" s="208">
        <f>($S47*'Nøgletal slutforbrug'!$M47)</f>
        <v>0</v>
      </c>
      <c r="P47" s="208">
        <v>0</v>
      </c>
      <c r="Q47" s="208">
        <v>0</v>
      </c>
      <c r="R47" s="167"/>
      <c r="S47" s="210">
        <f>'Nøgletal slutforbrug'!L43/1000</f>
        <v>-4.6504300000000001</v>
      </c>
      <c r="T47" s="26" t="s">
        <v>154</v>
      </c>
      <c r="U47" s="12" t="s">
        <v>155</v>
      </c>
      <c r="V47" s="64" t="s">
        <v>151</v>
      </c>
      <c r="W47" s="64"/>
      <c r="X47" s="78">
        <f t="shared" si="16"/>
        <v>0</v>
      </c>
      <c r="Y47" s="77"/>
      <c r="Z47" s="72"/>
      <c r="AA47" s="190"/>
      <c r="AB47" s="190"/>
      <c r="AC47" s="190"/>
      <c r="AD47" s="190"/>
      <c r="AE47" s="190"/>
      <c r="AF47" s="189"/>
      <c r="AG47" s="190"/>
      <c r="AH47" s="190"/>
      <c r="AI47" s="190"/>
      <c r="AJ47" s="190"/>
      <c r="AK47" s="190"/>
      <c r="AL47" s="200"/>
      <c r="AM47" s="190"/>
      <c r="AN47" s="190"/>
      <c r="AO47" s="193"/>
      <c r="AP47" s="201"/>
      <c r="AQ47" s="193">
        <f>S47*-1-X47</f>
        <v>4.6504300000000001</v>
      </c>
      <c r="AR47" s="208">
        <f>(((E47*Emissionsfaktorer!$B$2+F47*Emissionsfaktorer!$B$3+G47*Emissionsfaktorer!$B$5+N47*Emissionsfaktorer!$B$5)*-1)*1000)/1000</f>
        <v>0.35343268</v>
      </c>
      <c r="AS47" s="80"/>
    </row>
    <row r="48" spans="2:45" x14ac:dyDescent="0.25">
      <c r="B48" s="72"/>
      <c r="C48" s="208">
        <v>0</v>
      </c>
      <c r="D48" s="208">
        <v>0</v>
      </c>
      <c r="E48" s="208">
        <f>($S48*'Nøgletal slutforbrug'!$M49)</f>
        <v>-27.618832762604246</v>
      </c>
      <c r="F48" s="208">
        <f>($S48*'Nøgletal slutforbrug'!$M50)</f>
        <v>-5.2313905232756142</v>
      </c>
      <c r="G48" s="208">
        <f>($S48*'Nøgletal slutforbrug'!$M51)</f>
        <v>-1.4923201492709708</v>
      </c>
      <c r="H48" s="208">
        <f>($S48*'Nøgletal slutforbrug'!$M52)</f>
        <v>-10.155371015802199</v>
      </c>
      <c r="I48" s="208">
        <f>($S48*'Nøgletal slutforbrug'!$M53)</f>
        <v>0</v>
      </c>
      <c r="J48" s="208">
        <f>($S48*'Nøgletal slutforbrug'!$M54)</f>
        <v>0</v>
      </c>
      <c r="K48" s="208">
        <f>($S48*'Nøgletal slutforbrug'!$M55)</f>
        <v>-2.1379902138548319</v>
      </c>
      <c r="L48" s="208">
        <f>($S48*'Nøgletal slutforbrug'!$M56)</f>
        <v>0</v>
      </c>
      <c r="M48" s="208">
        <f>($S48*'Nøgletal slutforbrug'!$M57)</f>
        <v>0</v>
      </c>
      <c r="N48" s="208">
        <f>($S48*'Nøgletal slutforbrug'!$M58)</f>
        <v>-11.495321149832183</v>
      </c>
      <c r="O48" s="208">
        <f>($S48*'Nøgletal slutforbrug'!$M59)</f>
        <v>-29.657072966481472</v>
      </c>
      <c r="P48" s="208">
        <f>($S48*'Nøgletal slutforbrug'!$M60)</f>
        <v>-3.3894703390355132</v>
      </c>
      <c r="Q48" s="208">
        <v>0</v>
      </c>
      <c r="R48" s="167"/>
      <c r="S48" s="210">
        <f>'Nøgletal slutforbrug'!L48/1000</f>
        <v>-91.177769120157038</v>
      </c>
      <c r="T48" s="27" t="s">
        <v>156</v>
      </c>
      <c r="U48" s="15" t="s">
        <v>157</v>
      </c>
      <c r="V48" s="64" t="s">
        <v>151</v>
      </c>
      <c r="W48" s="64"/>
      <c r="X48" s="78">
        <f t="shared" si="16"/>
        <v>0</v>
      </c>
      <c r="Y48" s="77"/>
      <c r="Z48" s="72"/>
      <c r="AA48" s="190"/>
      <c r="AB48" s="190"/>
      <c r="AC48" s="190"/>
      <c r="AD48" s="190"/>
      <c r="AE48" s="190"/>
      <c r="AF48" s="189"/>
      <c r="AG48" s="190"/>
      <c r="AH48" s="190"/>
      <c r="AI48" s="190"/>
      <c r="AJ48" s="190"/>
      <c r="AK48" s="190"/>
      <c r="AL48" s="200"/>
      <c r="AM48" s="190"/>
      <c r="AN48" s="190"/>
      <c r="AO48" s="193"/>
      <c r="AP48" s="201"/>
      <c r="AQ48" s="193">
        <f>S48*-1-X48</f>
        <v>91.177769120157038</v>
      </c>
      <c r="AR48" s="208">
        <f>(((E48*Emissionsfaktorer!$B$2+F48*Emissionsfaktorer!$B$3+G48*Emissionsfaktorer!$B$5+N48*Emissionsfaktorer!$B$5)*-1)*1000)/1000</f>
        <v>3.0583163059114651</v>
      </c>
    </row>
    <row r="49" spans="2:46" ht="15.75" thickBot="1" x14ac:dyDescent="0.3">
      <c r="B49" s="72"/>
      <c r="C49" s="208">
        <v>0</v>
      </c>
      <c r="D49" s="208">
        <v>0</v>
      </c>
      <c r="E49" s="208">
        <f>($S49*'Nøgletal slutforbrug'!$M63)</f>
        <v>-0.27899072287572346</v>
      </c>
      <c r="F49" s="208">
        <f>($S49*'Nøgletal slutforbrug'!$M64)</f>
        <v>0</v>
      </c>
      <c r="G49" s="208">
        <f>($S49*'Nøgletal slutforbrug'!$M65)</f>
        <v>0</v>
      </c>
      <c r="H49" s="208">
        <f>($S49*'Nøgletal slutforbrug'!$M66)</f>
        <v>-2.1460055603831768E-2</v>
      </c>
      <c r="I49" s="208">
        <f>($S49*'Nøgletal slutforbrug'!$M67)</f>
        <v>0</v>
      </c>
      <c r="J49" s="208">
        <f>($S49*'Nøgletal slutforbrug'!$M68)</f>
        <v>0</v>
      </c>
      <c r="K49" s="208">
        <f>($S49*'Nøgletal slutforbrug'!$M69)</f>
        <v>0</v>
      </c>
      <c r="L49" s="208">
        <f>($S49*'Nøgletal slutforbrug'!$M70)</f>
        <v>0</v>
      </c>
      <c r="M49" s="208">
        <f>($S49*'Nøgletal slutforbrug'!$M71)</f>
        <v>0</v>
      </c>
      <c r="N49" s="208">
        <f>($S49*'Nøgletal slutforbrug'!$M72)</f>
        <v>-5.576394448653093</v>
      </c>
      <c r="O49" s="208">
        <f>($S49*'Nøgletal slutforbrug'!$M73)</f>
        <v>-1.473653818293881</v>
      </c>
      <c r="P49" s="208">
        <f>($S49*'Nøgletal slutforbrug'!$M74)</f>
        <v>0</v>
      </c>
      <c r="Q49" s="208">
        <v>0</v>
      </c>
      <c r="R49" s="167"/>
      <c r="S49" s="210">
        <f>'Nøgletal slutforbrug'!L62/1000</f>
        <v>-7.3504990454265293</v>
      </c>
      <c r="T49" s="31" t="s">
        <v>158</v>
      </c>
      <c r="U49" s="60" t="s">
        <v>159</v>
      </c>
      <c r="V49" s="64" t="s">
        <v>151</v>
      </c>
      <c r="W49" s="64"/>
      <c r="X49" s="78">
        <f t="shared" si="16"/>
        <v>0</v>
      </c>
      <c r="Y49" s="77"/>
      <c r="Z49" s="72"/>
      <c r="AA49" s="190"/>
      <c r="AB49" s="190"/>
      <c r="AC49" s="190"/>
      <c r="AD49" s="190"/>
      <c r="AE49" s="190"/>
      <c r="AF49" s="189"/>
      <c r="AG49" s="190"/>
      <c r="AH49" s="190"/>
      <c r="AI49" s="190"/>
      <c r="AJ49" s="190"/>
      <c r="AK49" s="190"/>
      <c r="AL49" s="200"/>
      <c r="AM49" s="190"/>
      <c r="AN49" s="190"/>
      <c r="AO49" s="193"/>
      <c r="AP49" s="201"/>
      <c r="AQ49" s="193">
        <f>S49*-1-X49</f>
        <v>7.3504990454265293</v>
      </c>
      <c r="AR49" s="208">
        <f>(((E49*Emissionsfaktorer!$B$2+F49*Emissionsfaktorer!$B$3+G49*Emissionsfaktorer!$B$5+N49*Emissionsfaktorer!$B$5)*-1)*1000)/1000</f>
        <v>0.43970844930155129</v>
      </c>
    </row>
    <row r="50" spans="2:46" x14ac:dyDescent="0.25">
      <c r="B50" s="72"/>
      <c r="C50" s="206">
        <v>0</v>
      </c>
      <c r="D50" s="206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f>(S50*'Nøgletal slutforbrug'!M6)</f>
        <v>-10.26839</v>
      </c>
      <c r="O50" s="206">
        <v>0</v>
      </c>
      <c r="P50" s="206">
        <v>0</v>
      </c>
      <c r="Q50" s="206">
        <v>0</v>
      </c>
      <c r="R50" s="167"/>
      <c r="S50" s="168">
        <f>'Nøgletal slutforbrug'!L5/1000</f>
        <v>-10.26839</v>
      </c>
      <c r="T50" s="99" t="s">
        <v>160</v>
      </c>
      <c r="U50" s="61" t="s">
        <v>161</v>
      </c>
      <c r="V50" s="33" t="s">
        <v>117</v>
      </c>
      <c r="W50" s="33"/>
      <c r="X50" s="78">
        <f t="shared" si="16"/>
        <v>0</v>
      </c>
      <c r="Y50" s="77"/>
      <c r="Z50" s="72"/>
      <c r="AA50" s="172"/>
      <c r="AB50" s="172"/>
      <c r="AC50" s="172"/>
      <c r="AD50" s="172"/>
      <c r="AE50" s="172"/>
      <c r="AF50" s="179"/>
      <c r="AG50" s="172"/>
      <c r="AH50" s="172"/>
      <c r="AI50" s="172"/>
      <c r="AJ50" s="172"/>
      <c r="AK50" s="172"/>
      <c r="AL50" s="198"/>
      <c r="AM50" s="172"/>
      <c r="AN50" s="172"/>
      <c r="AO50" s="203"/>
      <c r="AP50" s="203"/>
      <c r="AQ50" s="182"/>
      <c r="AR50" s="152"/>
      <c r="AT50" s="80"/>
    </row>
    <row r="51" spans="2:46" x14ac:dyDescent="0.25">
      <c r="B51" s="72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73"/>
      <c r="S51" s="174"/>
      <c r="T51" s="100" t="s">
        <v>16</v>
      </c>
      <c r="U51" s="81" t="s">
        <v>162</v>
      </c>
      <c r="V51" s="82"/>
      <c r="W51" s="103"/>
      <c r="Y51" s="2"/>
      <c r="AA51" s="139"/>
      <c r="AB51" s="139"/>
      <c r="AC51" s="139"/>
      <c r="AD51" s="139"/>
      <c r="AE51" s="139"/>
      <c r="AF51" s="204"/>
      <c r="AG51" s="139"/>
      <c r="AH51" s="139"/>
      <c r="AI51" s="139"/>
      <c r="AJ51" s="139"/>
      <c r="AK51" s="139"/>
      <c r="AL51" s="139"/>
      <c r="AM51" s="139"/>
      <c r="AN51" s="139"/>
      <c r="AO51" s="139"/>
      <c r="AP51" s="213"/>
      <c r="AQ51" s="213"/>
      <c r="AR51" s="214"/>
    </row>
    <row r="52" spans="2:46" x14ac:dyDescent="0.25">
      <c r="Y52" s="2"/>
      <c r="AA52" s="139"/>
      <c r="AB52" s="139"/>
      <c r="AC52" s="139"/>
      <c r="AD52" s="139"/>
      <c r="AE52" s="139"/>
      <c r="AF52" s="204"/>
      <c r="AG52" s="139"/>
      <c r="AH52" s="139"/>
      <c r="AI52" s="139"/>
      <c r="AJ52" s="139"/>
      <c r="AK52" s="139"/>
      <c r="AL52" s="139"/>
      <c r="AM52" s="139"/>
      <c r="AN52" s="139"/>
      <c r="AO52" s="139"/>
      <c r="AP52" s="205"/>
      <c r="AQ52" s="139"/>
    </row>
    <row r="53" spans="2:46" x14ac:dyDescent="0.25">
      <c r="Y53" s="2"/>
      <c r="AP53" s="2"/>
    </row>
    <row r="54" spans="2:46" x14ac:dyDescent="0.25">
      <c r="Y54" s="2"/>
      <c r="AP54" s="2"/>
    </row>
    <row r="55" spans="2:46" x14ac:dyDescent="0.25">
      <c r="Y55" s="2"/>
      <c r="AP55" s="2"/>
    </row>
    <row r="56" spans="2:46" x14ac:dyDescent="0.25">
      <c r="Y56" s="2"/>
      <c r="AP56" s="2"/>
    </row>
    <row r="57" spans="2:46" x14ac:dyDescent="0.25">
      <c r="Y57" s="2"/>
      <c r="AP57" s="2"/>
    </row>
    <row r="58" spans="2:46" x14ac:dyDescent="0.25">
      <c r="Y58" s="2"/>
      <c r="AP58" s="2"/>
    </row>
    <row r="59" spans="2:46" x14ac:dyDescent="0.25">
      <c r="Y59" s="2"/>
      <c r="AP59" s="2"/>
    </row>
    <row r="60" spans="2:46" x14ac:dyDescent="0.25">
      <c r="Y60" s="2"/>
      <c r="AP60" s="2"/>
    </row>
    <row r="61" spans="2:46" x14ac:dyDescent="0.25">
      <c r="Y61" s="2"/>
      <c r="AP61" s="2"/>
    </row>
    <row r="62" spans="2:46" x14ac:dyDescent="0.25">
      <c r="Y62" s="2"/>
      <c r="AP62" s="2"/>
    </row>
    <row r="63" spans="2:46" x14ac:dyDescent="0.25">
      <c r="Y63" s="2"/>
      <c r="AP63" s="2"/>
    </row>
    <row r="64" spans="2:46" x14ac:dyDescent="0.25">
      <c r="Y64" s="2"/>
      <c r="AP64" s="2"/>
    </row>
    <row r="65" spans="25:42" x14ac:dyDescent="0.25">
      <c r="Y65" s="2"/>
      <c r="AP65" s="2"/>
    </row>
    <row r="66" spans="25:42" x14ac:dyDescent="0.25">
      <c r="Y66" s="2"/>
      <c r="AP66" s="2"/>
    </row>
    <row r="67" spans="25:42" x14ac:dyDescent="0.25">
      <c r="Y67" s="2"/>
      <c r="AP67" s="2"/>
    </row>
    <row r="68" spans="25:42" x14ac:dyDescent="0.25">
      <c r="Y68" s="2"/>
      <c r="AP68" s="2"/>
    </row>
    <row r="69" spans="25:42" x14ac:dyDescent="0.25">
      <c r="Y69" s="2"/>
      <c r="AP69" s="2"/>
    </row>
    <row r="70" spans="25:42" x14ac:dyDescent="0.25">
      <c r="Y70" s="2"/>
      <c r="AP70" s="2"/>
    </row>
    <row r="71" spans="25:42" x14ac:dyDescent="0.25">
      <c r="Y71" s="2"/>
      <c r="AP71" s="2"/>
    </row>
    <row r="72" spans="25:42" x14ac:dyDescent="0.25">
      <c r="Y72" s="2"/>
      <c r="AP72" s="2"/>
    </row>
    <row r="73" spans="25:42" x14ac:dyDescent="0.25">
      <c r="Y73" s="2"/>
      <c r="AP73" s="2"/>
    </row>
    <row r="74" spans="25:42" x14ac:dyDescent="0.25">
      <c r="Y74" s="2"/>
      <c r="AP74" s="2"/>
    </row>
    <row r="75" spans="25:42" x14ac:dyDescent="0.25">
      <c r="Y75" s="2"/>
      <c r="AP75" s="2"/>
    </row>
    <row r="76" spans="25:42" x14ac:dyDescent="0.25">
      <c r="Y76" s="2"/>
      <c r="AP76" s="2"/>
    </row>
    <row r="77" spans="25:42" x14ac:dyDescent="0.25">
      <c r="Y77" s="2"/>
      <c r="AP77" s="2"/>
    </row>
    <row r="78" spans="25:42" x14ac:dyDescent="0.25">
      <c r="Y78" s="2"/>
      <c r="AP78" s="2"/>
    </row>
    <row r="79" spans="25:42" x14ac:dyDescent="0.25">
      <c r="Y79" s="2"/>
      <c r="AP79" s="2"/>
    </row>
    <row r="80" spans="25:42" x14ac:dyDescent="0.25">
      <c r="Y80" s="2"/>
      <c r="AP80" s="2"/>
    </row>
    <row r="81" spans="25:42" x14ac:dyDescent="0.25">
      <c r="Y81" s="2"/>
      <c r="AP81" s="2"/>
    </row>
    <row r="82" spans="25:42" x14ac:dyDescent="0.25">
      <c r="Y82" s="2"/>
      <c r="AP82" s="2"/>
    </row>
    <row r="83" spans="25:42" x14ac:dyDescent="0.25">
      <c r="Y83" s="2"/>
      <c r="AP83" s="2"/>
    </row>
    <row r="84" spans="25:42" x14ac:dyDescent="0.25">
      <c r="Y84" s="2"/>
      <c r="AP84" s="2"/>
    </row>
    <row r="85" spans="25:42" x14ac:dyDescent="0.25">
      <c r="Y85" s="2"/>
      <c r="AP85" s="2"/>
    </row>
    <row r="86" spans="25:42" x14ac:dyDescent="0.25">
      <c r="Y86" s="2"/>
      <c r="AP86" s="2"/>
    </row>
    <row r="87" spans="25:42" x14ac:dyDescent="0.25">
      <c r="Y87" s="2"/>
      <c r="AP87" s="2"/>
    </row>
    <row r="88" spans="25:42" x14ac:dyDescent="0.25">
      <c r="Y88" s="2"/>
      <c r="AP88" s="2"/>
    </row>
    <row r="89" spans="25:42" x14ac:dyDescent="0.25">
      <c r="Y89" s="2"/>
      <c r="AP89" s="2"/>
    </row>
    <row r="90" spans="25:42" x14ac:dyDescent="0.25">
      <c r="Y90" s="2"/>
      <c r="AP90" s="2"/>
    </row>
    <row r="91" spans="25:42" x14ac:dyDescent="0.25">
      <c r="Y91" s="2"/>
      <c r="AP91" s="2"/>
    </row>
    <row r="92" spans="25:42" x14ac:dyDescent="0.25">
      <c r="Y92" s="2"/>
      <c r="AP92" s="2"/>
    </row>
    <row r="93" spans="25:42" x14ac:dyDescent="0.25">
      <c r="Y93" s="2"/>
      <c r="AP93" s="2"/>
    </row>
    <row r="94" spans="25:42" x14ac:dyDescent="0.25">
      <c r="Y94" s="2"/>
      <c r="AP94" s="2"/>
    </row>
    <row r="95" spans="25:42" x14ac:dyDescent="0.25">
      <c r="Y95" s="2"/>
      <c r="AP95" s="2"/>
    </row>
    <row r="96" spans="25:42" x14ac:dyDescent="0.25">
      <c r="Y96" s="2"/>
      <c r="AP96" s="2"/>
    </row>
    <row r="97" spans="25:42" x14ac:dyDescent="0.25">
      <c r="Y97" s="2"/>
      <c r="AP97" s="2"/>
    </row>
    <row r="98" spans="25:42" x14ac:dyDescent="0.25">
      <c r="Y98" s="2"/>
      <c r="AP98" s="2"/>
    </row>
    <row r="99" spans="25:42" x14ac:dyDescent="0.25">
      <c r="Y99" s="2"/>
      <c r="AP99" s="2"/>
    </row>
    <row r="100" spans="25:42" x14ac:dyDescent="0.25">
      <c r="Y100" s="2"/>
      <c r="AP100" s="2"/>
    </row>
    <row r="101" spans="25:42" x14ac:dyDescent="0.25">
      <c r="Y101" s="2"/>
      <c r="AP101" s="2"/>
    </row>
    <row r="102" spans="25:42" x14ac:dyDescent="0.25">
      <c r="Y102" s="2"/>
      <c r="AP102" s="2"/>
    </row>
    <row r="103" spans="25:42" x14ac:dyDescent="0.25">
      <c r="Y103" s="2"/>
      <c r="AP103" s="2"/>
    </row>
    <row r="104" spans="25:42" x14ac:dyDescent="0.25">
      <c r="Y104" s="2"/>
      <c r="AP104" s="2"/>
    </row>
    <row r="105" spans="25:42" x14ac:dyDescent="0.25">
      <c r="Y105" s="2"/>
      <c r="AP105" s="2"/>
    </row>
    <row r="106" spans="25:42" x14ac:dyDescent="0.25">
      <c r="Y106" s="2"/>
      <c r="AP106" s="2"/>
    </row>
    <row r="107" spans="25:42" x14ac:dyDescent="0.25">
      <c r="Y107" s="2"/>
      <c r="AP107" s="2"/>
    </row>
    <row r="108" spans="25:42" x14ac:dyDescent="0.25">
      <c r="Y108" s="2"/>
      <c r="AP108" s="2"/>
    </row>
    <row r="109" spans="25:42" x14ac:dyDescent="0.25">
      <c r="Y109" s="2"/>
      <c r="AP109" s="2"/>
    </row>
    <row r="110" spans="25:42" x14ac:dyDescent="0.25">
      <c r="Y110" s="2"/>
      <c r="AP110" s="2"/>
    </row>
    <row r="111" spans="25:42" x14ac:dyDescent="0.25">
      <c r="Y111" s="2"/>
      <c r="AP111" s="2"/>
    </row>
    <row r="112" spans="25:42" x14ac:dyDescent="0.25">
      <c r="Y112" s="2"/>
      <c r="AP112" s="2"/>
    </row>
    <row r="113" spans="25:42" x14ac:dyDescent="0.25">
      <c r="Y113" s="2"/>
      <c r="AP113" s="2"/>
    </row>
    <row r="114" spans="25:42" x14ac:dyDescent="0.25">
      <c r="Y114" s="2"/>
      <c r="AP114" s="2"/>
    </row>
    <row r="115" spans="25:42" x14ac:dyDescent="0.25">
      <c r="Y115" s="2"/>
      <c r="AP115" s="2"/>
    </row>
    <row r="116" spans="25:42" x14ac:dyDescent="0.25">
      <c r="Y116" s="2"/>
      <c r="AP116" s="2"/>
    </row>
    <row r="117" spans="25:42" x14ac:dyDescent="0.25">
      <c r="Y117" s="2"/>
      <c r="AP117" s="2"/>
    </row>
    <row r="118" spans="25:42" x14ac:dyDescent="0.25">
      <c r="Y118" s="2"/>
      <c r="AP118" s="2"/>
    </row>
    <row r="119" spans="25:42" x14ac:dyDescent="0.25">
      <c r="Y119" s="2"/>
      <c r="AP119" s="2"/>
    </row>
    <row r="120" spans="25:42" x14ac:dyDescent="0.25">
      <c r="Y120" s="2"/>
      <c r="AP120" s="2"/>
    </row>
    <row r="121" spans="25:42" x14ac:dyDescent="0.25">
      <c r="Y121" s="2"/>
      <c r="AP121" s="2"/>
    </row>
    <row r="122" spans="25:42" x14ac:dyDescent="0.25">
      <c r="Y122" s="2"/>
      <c r="AP122" s="2"/>
    </row>
    <row r="123" spans="25:42" x14ac:dyDescent="0.25">
      <c r="Y123" s="2"/>
      <c r="AP123" s="2"/>
    </row>
    <row r="124" spans="25:42" x14ac:dyDescent="0.25">
      <c r="Y124" s="2"/>
      <c r="AP124" s="2"/>
    </row>
    <row r="125" spans="25:42" x14ac:dyDescent="0.25">
      <c r="Y125" s="2"/>
      <c r="AP125" s="2"/>
    </row>
    <row r="126" spans="25:42" x14ac:dyDescent="0.25">
      <c r="Y126" s="2"/>
      <c r="AP126" s="2"/>
    </row>
    <row r="127" spans="25:42" x14ac:dyDescent="0.25">
      <c r="Y127" s="2"/>
      <c r="AP127" s="2"/>
    </row>
    <row r="128" spans="25:42" x14ac:dyDescent="0.25">
      <c r="Y128" s="2"/>
      <c r="AP128" s="2"/>
    </row>
    <row r="129" spans="25:42" x14ac:dyDescent="0.25">
      <c r="Y129" s="2"/>
      <c r="AP129" s="2"/>
    </row>
    <row r="130" spans="25:42" x14ac:dyDescent="0.25">
      <c r="Y130" s="2"/>
      <c r="AP130" s="2"/>
    </row>
    <row r="131" spans="25:42" x14ac:dyDescent="0.25">
      <c r="Y131" s="2"/>
      <c r="AP131" s="2"/>
    </row>
    <row r="132" spans="25:42" x14ac:dyDescent="0.25">
      <c r="Y132" s="2"/>
      <c r="AP132" s="2"/>
    </row>
    <row r="133" spans="25:42" x14ac:dyDescent="0.25">
      <c r="Y133" s="2"/>
      <c r="AP133" s="2"/>
    </row>
    <row r="134" spans="25:42" x14ac:dyDescent="0.25">
      <c r="Y134" s="2"/>
      <c r="AP134" s="2"/>
    </row>
    <row r="135" spans="25:42" x14ac:dyDescent="0.25">
      <c r="Y135" s="2"/>
      <c r="AP135" s="2"/>
    </row>
    <row r="136" spans="25:42" x14ac:dyDescent="0.25">
      <c r="Y136" s="2"/>
      <c r="AP136" s="2"/>
    </row>
    <row r="137" spans="25:42" x14ac:dyDescent="0.25">
      <c r="Y137" s="2"/>
      <c r="AP137" s="2"/>
    </row>
    <row r="138" spans="25:42" x14ac:dyDescent="0.25">
      <c r="Y138" s="2"/>
      <c r="AP138" s="2"/>
    </row>
    <row r="139" spans="25:42" x14ac:dyDescent="0.25">
      <c r="Y139" s="2"/>
      <c r="AP139" s="2"/>
    </row>
    <row r="140" spans="25:42" x14ac:dyDescent="0.25">
      <c r="Y140" s="2"/>
      <c r="AP140" s="2"/>
    </row>
    <row r="141" spans="25:42" x14ac:dyDescent="0.25">
      <c r="Y141" s="2"/>
      <c r="AP141" s="2"/>
    </row>
    <row r="142" spans="25:42" x14ac:dyDescent="0.25">
      <c r="Y142" s="2"/>
      <c r="AP142" s="2"/>
    </row>
    <row r="143" spans="25:42" x14ac:dyDescent="0.25">
      <c r="Y143" s="2"/>
      <c r="AP143" s="2"/>
    </row>
    <row r="144" spans="25:42" x14ac:dyDescent="0.25">
      <c r="Y144" s="2"/>
      <c r="AP144" s="2"/>
    </row>
    <row r="145" spans="25:42" x14ac:dyDescent="0.25">
      <c r="Y145" s="2"/>
      <c r="AP145" s="2"/>
    </row>
    <row r="146" spans="25:42" x14ac:dyDescent="0.25">
      <c r="Y146" s="2"/>
      <c r="AP146" s="2"/>
    </row>
    <row r="147" spans="25:42" x14ac:dyDescent="0.25">
      <c r="Y147" s="2"/>
      <c r="AP147" s="2"/>
    </row>
    <row r="148" spans="25:42" x14ac:dyDescent="0.25">
      <c r="Y148" s="2"/>
      <c r="AP148" s="2"/>
    </row>
    <row r="149" spans="25:42" x14ac:dyDescent="0.25">
      <c r="Y149" s="2"/>
      <c r="AP149" s="2"/>
    </row>
    <row r="150" spans="25:42" x14ac:dyDescent="0.25">
      <c r="Y150" s="2"/>
      <c r="AP150" s="2"/>
    </row>
    <row r="151" spans="25:42" x14ac:dyDescent="0.25">
      <c r="Y151" s="2"/>
      <c r="AP151" s="2"/>
    </row>
    <row r="152" spans="25:42" x14ac:dyDescent="0.25">
      <c r="Y152" s="2"/>
      <c r="AP152" s="2"/>
    </row>
    <row r="153" spans="25:42" x14ac:dyDescent="0.25">
      <c r="Y153" s="2"/>
      <c r="AP153" s="2"/>
    </row>
    <row r="154" spans="25:42" x14ac:dyDescent="0.25">
      <c r="Y154" s="2"/>
      <c r="AP154" s="2"/>
    </row>
    <row r="155" spans="25:42" x14ac:dyDescent="0.25">
      <c r="Y155" s="2"/>
      <c r="AP155" s="2"/>
    </row>
    <row r="156" spans="25:42" x14ac:dyDescent="0.25">
      <c r="Y156" s="2"/>
      <c r="AP156" s="2"/>
    </row>
    <row r="157" spans="25:42" x14ac:dyDescent="0.25">
      <c r="Y157" s="2"/>
      <c r="AP157" s="2"/>
    </row>
    <row r="158" spans="25:42" x14ac:dyDescent="0.25">
      <c r="Y158" s="2"/>
      <c r="AP158" s="2"/>
    </row>
    <row r="159" spans="25:42" x14ac:dyDescent="0.25">
      <c r="Y159" s="2"/>
      <c r="AP159" s="2"/>
    </row>
    <row r="160" spans="25:42" x14ac:dyDescent="0.25">
      <c r="Y160" s="2"/>
      <c r="AP160" s="2"/>
    </row>
    <row r="161" spans="25:42" x14ac:dyDescent="0.25">
      <c r="Y161" s="2"/>
      <c r="AP161" s="2"/>
    </row>
    <row r="162" spans="25:42" x14ac:dyDescent="0.25">
      <c r="Y162" s="2"/>
      <c r="AP162" s="2"/>
    </row>
    <row r="163" spans="25:42" x14ac:dyDescent="0.25">
      <c r="Y163" s="2"/>
      <c r="AP163" s="2"/>
    </row>
    <row r="164" spans="25:42" x14ac:dyDescent="0.25">
      <c r="Y164" s="2"/>
      <c r="AP164" s="2"/>
    </row>
    <row r="165" spans="25:42" x14ac:dyDescent="0.25">
      <c r="Y165" s="2"/>
      <c r="AP165" s="2"/>
    </row>
    <row r="166" spans="25:42" x14ac:dyDescent="0.25">
      <c r="Y166" s="2"/>
      <c r="AP166" s="2"/>
    </row>
    <row r="167" spans="25:42" x14ac:dyDescent="0.25">
      <c r="Y167" s="2"/>
      <c r="AP167" s="2"/>
    </row>
    <row r="168" spans="25:42" x14ac:dyDescent="0.25">
      <c r="Y168" s="2"/>
      <c r="AP168" s="2"/>
    </row>
    <row r="169" spans="25:42" x14ac:dyDescent="0.25">
      <c r="Y169" s="2"/>
      <c r="AP169" s="2"/>
    </row>
    <row r="170" spans="25:42" x14ac:dyDescent="0.25">
      <c r="Y170" s="2"/>
      <c r="AP170" s="2"/>
    </row>
    <row r="171" spans="25:42" x14ac:dyDescent="0.25">
      <c r="Y171" s="2"/>
      <c r="AP171" s="2"/>
    </row>
    <row r="172" spans="25:42" x14ac:dyDescent="0.25">
      <c r="Y172" s="2"/>
      <c r="AP172" s="2"/>
    </row>
    <row r="173" spans="25:42" x14ac:dyDescent="0.25">
      <c r="Y173" s="2"/>
      <c r="AP173" s="2"/>
    </row>
    <row r="174" spans="25:42" x14ac:dyDescent="0.25">
      <c r="Y174" s="2"/>
      <c r="AP174" s="2"/>
    </row>
    <row r="175" spans="25:42" x14ac:dyDescent="0.25">
      <c r="Y175" s="2"/>
      <c r="AP175" s="2"/>
    </row>
    <row r="176" spans="25:42" x14ac:dyDescent="0.25">
      <c r="Y176" s="2"/>
      <c r="AP176" s="2"/>
    </row>
    <row r="177" spans="25:42" x14ac:dyDescent="0.25">
      <c r="Y177" s="2"/>
      <c r="AP177" s="2"/>
    </row>
    <row r="178" spans="25:42" x14ac:dyDescent="0.25">
      <c r="Y178" s="2"/>
      <c r="AP178" s="2"/>
    </row>
    <row r="179" spans="25:42" x14ac:dyDescent="0.25">
      <c r="Y179" s="2"/>
      <c r="AP179" s="2"/>
    </row>
    <row r="180" spans="25:42" x14ac:dyDescent="0.25">
      <c r="Y180" s="2"/>
      <c r="AP180" s="2"/>
    </row>
    <row r="181" spans="25:42" x14ac:dyDescent="0.25">
      <c r="Y181" s="2"/>
      <c r="AP181" s="2"/>
    </row>
    <row r="182" spans="25:42" x14ac:dyDescent="0.25">
      <c r="Y182" s="2"/>
      <c r="AP182" s="2"/>
    </row>
    <row r="183" spans="25:42" x14ac:dyDescent="0.25">
      <c r="Y183" s="2"/>
      <c r="AP183" s="2"/>
    </row>
    <row r="184" spans="25:42" x14ac:dyDescent="0.25">
      <c r="Y184" s="2"/>
      <c r="AP184" s="2"/>
    </row>
    <row r="185" spans="25:42" x14ac:dyDescent="0.25">
      <c r="Y185" s="2"/>
      <c r="AP185" s="2"/>
    </row>
    <row r="186" spans="25:42" x14ac:dyDescent="0.25">
      <c r="Y186" s="2"/>
      <c r="AP186" s="2"/>
    </row>
    <row r="187" spans="25:42" x14ac:dyDescent="0.25">
      <c r="Y187" s="2"/>
      <c r="AP187" s="2"/>
    </row>
    <row r="188" spans="25:42" x14ac:dyDescent="0.25">
      <c r="Y188" s="2"/>
      <c r="AP188" s="2"/>
    </row>
    <row r="189" spans="25:42" x14ac:dyDescent="0.25">
      <c r="Y189" s="2"/>
      <c r="AP189" s="2"/>
    </row>
    <row r="190" spans="25:42" x14ac:dyDescent="0.25">
      <c r="Y190" s="2"/>
      <c r="AP190" s="2"/>
    </row>
    <row r="191" spans="25:42" x14ac:dyDescent="0.25">
      <c r="Y191" s="2"/>
      <c r="AP191" s="2"/>
    </row>
    <row r="192" spans="25:42" x14ac:dyDescent="0.25">
      <c r="Y192" s="2"/>
      <c r="AP192" s="2"/>
    </row>
    <row r="193" spans="25:42" x14ac:dyDescent="0.25">
      <c r="Y193" s="2"/>
      <c r="AP193" s="2"/>
    </row>
    <row r="194" spans="25:42" x14ac:dyDescent="0.25">
      <c r="Y194" s="2"/>
      <c r="AP194" s="2"/>
    </row>
    <row r="195" spans="25:42" x14ac:dyDescent="0.25">
      <c r="Y195" s="2"/>
      <c r="AP195" s="2"/>
    </row>
    <row r="196" spans="25:42" x14ac:dyDescent="0.25">
      <c r="Y196" s="2"/>
      <c r="AP196" s="2"/>
    </row>
    <row r="197" spans="25:42" x14ac:dyDescent="0.25">
      <c r="Y197" s="2"/>
      <c r="AP197" s="2"/>
    </row>
    <row r="198" spans="25:42" x14ac:dyDescent="0.25">
      <c r="Y198" s="2"/>
      <c r="AP198" s="2"/>
    </row>
    <row r="199" spans="25:42" x14ac:dyDescent="0.25">
      <c r="Y199" s="2"/>
      <c r="AP199" s="2"/>
    </row>
    <row r="200" spans="25:42" x14ac:dyDescent="0.25">
      <c r="Y200" s="2"/>
      <c r="AP200" s="2"/>
    </row>
    <row r="201" spans="25:42" x14ac:dyDescent="0.25">
      <c r="Y201" s="2"/>
      <c r="AP201" s="2"/>
    </row>
    <row r="202" spans="25:42" x14ac:dyDescent="0.25">
      <c r="Y202" s="2"/>
      <c r="AP202" s="2"/>
    </row>
    <row r="203" spans="25:42" x14ac:dyDescent="0.25">
      <c r="Y203" s="2"/>
      <c r="AP203" s="2"/>
    </row>
    <row r="204" spans="25:42" x14ac:dyDescent="0.25">
      <c r="Y204" s="2"/>
      <c r="AP204" s="2"/>
    </row>
    <row r="205" spans="25:42" x14ac:dyDescent="0.25">
      <c r="Y205" s="2"/>
      <c r="AP205" s="2"/>
    </row>
    <row r="206" spans="25:42" x14ac:dyDescent="0.25">
      <c r="Y206" s="2"/>
      <c r="AP206" s="2"/>
    </row>
    <row r="207" spans="25:42" x14ac:dyDescent="0.25">
      <c r="Y207" s="2"/>
      <c r="AP207" s="2"/>
    </row>
    <row r="208" spans="25:42" x14ac:dyDescent="0.25">
      <c r="Y208" s="2"/>
      <c r="AP208" s="2"/>
    </row>
    <row r="209" spans="25:42" x14ac:dyDescent="0.25">
      <c r="Y209" s="2"/>
      <c r="AP209" s="2"/>
    </row>
    <row r="210" spans="25:42" x14ac:dyDescent="0.25">
      <c r="Y210" s="2"/>
      <c r="AP210" s="2"/>
    </row>
    <row r="211" spans="25:42" x14ac:dyDescent="0.25">
      <c r="Y211" s="2"/>
      <c r="AP211" s="2"/>
    </row>
    <row r="212" spans="25:42" x14ac:dyDescent="0.25">
      <c r="Y212" s="2"/>
      <c r="AP212" s="2"/>
    </row>
    <row r="213" spans="25:42" x14ac:dyDescent="0.25">
      <c r="Y213" s="2"/>
      <c r="AP213" s="2"/>
    </row>
    <row r="214" spans="25:42" x14ac:dyDescent="0.25">
      <c r="Y214" s="2"/>
      <c r="AP214" s="2"/>
    </row>
    <row r="215" spans="25:42" x14ac:dyDescent="0.25">
      <c r="Y215" s="2"/>
      <c r="AP215" s="2"/>
    </row>
    <row r="216" spans="25:42" x14ac:dyDescent="0.25">
      <c r="Y216" s="2"/>
      <c r="AP216" s="2"/>
    </row>
    <row r="217" spans="25:42" x14ac:dyDescent="0.25">
      <c r="Y217" s="2"/>
      <c r="AP217" s="2"/>
    </row>
    <row r="218" spans="25:42" x14ac:dyDescent="0.25">
      <c r="Y218" s="2"/>
      <c r="AP218" s="2"/>
    </row>
    <row r="219" spans="25:42" x14ac:dyDescent="0.25">
      <c r="Y219" s="2"/>
      <c r="AP219" s="2"/>
    </row>
    <row r="220" spans="25:42" x14ac:dyDescent="0.25">
      <c r="Y220" s="2"/>
      <c r="AP220" s="2"/>
    </row>
    <row r="221" spans="25:42" x14ac:dyDescent="0.25">
      <c r="Y221" s="2"/>
      <c r="AP221" s="2"/>
    </row>
    <row r="222" spans="25:42" x14ac:dyDescent="0.25">
      <c r="Y222" s="2"/>
      <c r="AP222" s="2"/>
    </row>
    <row r="223" spans="25:42" x14ac:dyDescent="0.25">
      <c r="Y223" s="2"/>
      <c r="AP223" s="2"/>
    </row>
    <row r="224" spans="25:42" x14ac:dyDescent="0.25">
      <c r="Y224" s="2"/>
      <c r="AP224" s="2"/>
    </row>
    <row r="225" spans="25:42" x14ac:dyDescent="0.25">
      <c r="Y225" s="2"/>
      <c r="AP225" s="2"/>
    </row>
    <row r="226" spans="25:42" x14ac:dyDescent="0.25">
      <c r="Y226" s="2"/>
      <c r="AP226" s="2"/>
    </row>
    <row r="227" spans="25:42" x14ac:dyDescent="0.25">
      <c r="Y227" s="2"/>
      <c r="AP227" s="2"/>
    </row>
    <row r="228" spans="25:42" x14ac:dyDescent="0.25">
      <c r="Y228" s="2"/>
      <c r="AP228" s="2"/>
    </row>
    <row r="229" spans="25:42" x14ac:dyDescent="0.25">
      <c r="Y229" s="2"/>
      <c r="AP229" s="2"/>
    </row>
    <row r="230" spans="25:42" x14ac:dyDescent="0.25">
      <c r="Y230" s="2"/>
      <c r="AP230" s="2"/>
    </row>
    <row r="231" spans="25:42" x14ac:dyDescent="0.25">
      <c r="Y231" s="2"/>
      <c r="AP231" s="2"/>
    </row>
    <row r="232" spans="25:42" x14ac:dyDescent="0.25">
      <c r="Y232" s="2"/>
      <c r="AP232" s="2"/>
    </row>
    <row r="233" spans="25:42" x14ac:dyDescent="0.25">
      <c r="Y233" s="2"/>
      <c r="AP233" s="2"/>
    </row>
    <row r="234" spans="25:42" x14ac:dyDescent="0.25">
      <c r="Y234" s="2"/>
      <c r="AP234" s="2"/>
    </row>
    <row r="235" spans="25:42" x14ac:dyDescent="0.25">
      <c r="Y235" s="2"/>
      <c r="AP235" s="2"/>
    </row>
    <row r="236" spans="25:42" x14ac:dyDescent="0.25">
      <c r="Y236" s="2"/>
      <c r="AP236" s="2"/>
    </row>
    <row r="237" spans="25:42" x14ac:dyDescent="0.25">
      <c r="Y237" s="2"/>
      <c r="AP237" s="2"/>
    </row>
    <row r="238" spans="25:42" x14ac:dyDescent="0.25">
      <c r="Y238" s="2"/>
      <c r="AP238" s="2"/>
    </row>
    <row r="239" spans="25:42" x14ac:dyDescent="0.25">
      <c r="Y239" s="2"/>
      <c r="AP239" s="2"/>
    </row>
    <row r="240" spans="25:42" x14ac:dyDescent="0.25">
      <c r="Y240" s="2"/>
      <c r="AP240" s="2"/>
    </row>
    <row r="241" spans="25:42" x14ac:dyDescent="0.25">
      <c r="Y241" s="2"/>
      <c r="AP241" s="2"/>
    </row>
    <row r="242" spans="25:42" x14ac:dyDescent="0.25">
      <c r="Y242" s="2"/>
      <c r="AP242" s="2"/>
    </row>
    <row r="243" spans="25:42" x14ac:dyDescent="0.25">
      <c r="Y243" s="2"/>
      <c r="AP243" s="2"/>
    </row>
    <row r="244" spans="25:42" x14ac:dyDescent="0.25">
      <c r="Y244" s="2"/>
      <c r="AP244" s="2"/>
    </row>
    <row r="245" spans="25:42" x14ac:dyDescent="0.25">
      <c r="Y245" s="2"/>
      <c r="AP245" s="2"/>
    </row>
    <row r="246" spans="25:42" x14ac:dyDescent="0.25">
      <c r="Y246" s="2"/>
      <c r="AP246" s="2"/>
    </row>
    <row r="247" spans="25:42" x14ac:dyDescent="0.25">
      <c r="Y247" s="2"/>
      <c r="AP247" s="2"/>
    </row>
    <row r="248" spans="25:42" x14ac:dyDescent="0.25">
      <c r="Y248" s="2"/>
      <c r="AP248" s="2"/>
    </row>
    <row r="249" spans="25:42" x14ac:dyDescent="0.25">
      <c r="Y249" s="2"/>
      <c r="AP249" s="2"/>
    </row>
    <row r="250" spans="25:42" x14ac:dyDescent="0.25">
      <c r="Y250" s="2"/>
      <c r="AP250" s="2"/>
    </row>
    <row r="251" spans="25:42" x14ac:dyDescent="0.25">
      <c r="Y251" s="2"/>
      <c r="AP251" s="2"/>
    </row>
    <row r="252" spans="25:42" x14ac:dyDescent="0.25">
      <c r="Y252" s="2"/>
      <c r="AP252" s="2"/>
    </row>
    <row r="253" spans="25:42" x14ac:dyDescent="0.25">
      <c r="Y253" s="2"/>
      <c r="AP253" s="2"/>
    </row>
    <row r="254" spans="25:42" x14ac:dyDescent="0.25">
      <c r="Y254" s="2"/>
      <c r="AP254" s="2"/>
    </row>
    <row r="255" spans="25:42" x14ac:dyDescent="0.25">
      <c r="Y255" s="2"/>
      <c r="AP255" s="2"/>
    </row>
    <row r="256" spans="25:42" x14ac:dyDescent="0.25">
      <c r="Y256" s="2"/>
      <c r="AP256" s="2"/>
    </row>
    <row r="257" spans="25:42" x14ac:dyDescent="0.25">
      <c r="Y257" s="2"/>
      <c r="AP257" s="2"/>
    </row>
    <row r="258" spans="25:42" x14ac:dyDescent="0.25">
      <c r="Y258" s="2"/>
      <c r="AP258" s="2"/>
    </row>
    <row r="259" spans="25:42" x14ac:dyDescent="0.25">
      <c r="Y259" s="2"/>
      <c r="AP259" s="2"/>
    </row>
    <row r="260" spans="25:42" x14ac:dyDescent="0.25">
      <c r="Y260" s="2"/>
      <c r="AP260" s="2"/>
    </row>
    <row r="261" spans="25:42" x14ac:dyDescent="0.25">
      <c r="Y261" s="2"/>
      <c r="AP261" s="2"/>
    </row>
    <row r="262" spans="25:42" x14ac:dyDescent="0.25">
      <c r="Y262" s="2"/>
      <c r="AP262" s="2"/>
    </row>
    <row r="263" spans="25:42" x14ac:dyDescent="0.25">
      <c r="Y263" s="2"/>
      <c r="AP263" s="2"/>
    </row>
    <row r="264" spans="25:42" x14ac:dyDescent="0.25">
      <c r="Y264" s="2"/>
      <c r="AP264" s="2"/>
    </row>
    <row r="265" spans="25:42" x14ac:dyDescent="0.25">
      <c r="Y265" s="2"/>
      <c r="AP265" s="2"/>
    </row>
    <row r="266" spans="25:42" x14ac:dyDescent="0.25">
      <c r="Y266" s="2"/>
      <c r="AP266" s="2"/>
    </row>
    <row r="267" spans="25:42" x14ac:dyDescent="0.25">
      <c r="Y267" s="2"/>
      <c r="AP267" s="2"/>
    </row>
    <row r="268" spans="25:42" x14ac:dyDescent="0.25">
      <c r="Y268" s="2"/>
      <c r="AP268" s="2"/>
    </row>
    <row r="269" spans="25:42" x14ac:dyDescent="0.25">
      <c r="Y269" s="2"/>
      <c r="AP269" s="2"/>
    </row>
    <row r="270" spans="25:42" x14ac:dyDescent="0.25">
      <c r="Y270" s="2"/>
      <c r="AP270" s="2"/>
    </row>
    <row r="271" spans="25:42" x14ac:dyDescent="0.25">
      <c r="Y271" s="2"/>
      <c r="AP271" s="2"/>
    </row>
    <row r="272" spans="25:42" x14ac:dyDescent="0.25">
      <c r="Y272" s="2"/>
      <c r="AP272" s="2"/>
    </row>
    <row r="273" spans="25:42" x14ac:dyDescent="0.25">
      <c r="Y273" s="2"/>
      <c r="AP273" s="2"/>
    </row>
    <row r="274" spans="25:42" x14ac:dyDescent="0.25">
      <c r="Y274" s="2"/>
      <c r="AP274" s="2"/>
    </row>
    <row r="275" spans="25:42" x14ac:dyDescent="0.25">
      <c r="Y275" s="2"/>
      <c r="AP275" s="2"/>
    </row>
    <row r="276" spans="25:42" x14ac:dyDescent="0.25">
      <c r="Y276" s="2"/>
      <c r="AP276" s="2"/>
    </row>
    <row r="277" spans="25:42" x14ac:dyDescent="0.25">
      <c r="Y277" s="2"/>
      <c r="AP277" s="2"/>
    </row>
    <row r="278" spans="25:42" x14ac:dyDescent="0.25">
      <c r="Y278" s="2"/>
      <c r="AP278" s="2"/>
    </row>
    <row r="279" spans="25:42" x14ac:dyDescent="0.25">
      <c r="Y279" s="2"/>
      <c r="AP279" s="2"/>
    </row>
    <row r="280" spans="25:42" x14ac:dyDescent="0.25">
      <c r="Y280" s="2"/>
      <c r="AP280" s="2"/>
    </row>
    <row r="281" spans="25:42" x14ac:dyDescent="0.25">
      <c r="Y281" s="2"/>
      <c r="AP281" s="2"/>
    </row>
    <row r="282" spans="25:42" x14ac:dyDescent="0.25">
      <c r="Y282" s="2"/>
      <c r="AP282" s="2"/>
    </row>
    <row r="283" spans="25:42" x14ac:dyDescent="0.25">
      <c r="Y283" s="2"/>
      <c r="AP283" s="2"/>
    </row>
    <row r="284" spans="25:42" x14ac:dyDescent="0.25">
      <c r="Y284" s="2"/>
      <c r="AP284" s="2"/>
    </row>
    <row r="285" spans="25:42" x14ac:dyDescent="0.25">
      <c r="Y285" s="2"/>
      <c r="AP285" s="2"/>
    </row>
    <row r="286" spans="25:42" x14ac:dyDescent="0.25">
      <c r="Y286" s="2"/>
      <c r="AP286" s="2"/>
    </row>
    <row r="287" spans="25:42" x14ac:dyDescent="0.25">
      <c r="Y287" s="2"/>
      <c r="AP287" s="2"/>
    </row>
    <row r="288" spans="25:42" x14ac:dyDescent="0.25">
      <c r="Y288" s="2"/>
      <c r="AP288" s="2"/>
    </row>
    <row r="289" spans="25:42" x14ac:dyDescent="0.25">
      <c r="Y289" s="2"/>
      <c r="AP289" s="2"/>
    </row>
    <row r="290" spans="25:42" x14ac:dyDescent="0.25">
      <c r="Y290" s="2"/>
      <c r="AP290" s="2"/>
    </row>
    <row r="291" spans="25:42" x14ac:dyDescent="0.25">
      <c r="Y291" s="2"/>
      <c r="AP291" s="2"/>
    </row>
    <row r="292" spans="25:42" x14ac:dyDescent="0.25">
      <c r="Y292" s="2"/>
      <c r="AP292" s="2"/>
    </row>
    <row r="293" spans="25:42" x14ac:dyDescent="0.25">
      <c r="Y293" s="2"/>
      <c r="AP293" s="2"/>
    </row>
    <row r="294" spans="25:42" x14ac:dyDescent="0.25">
      <c r="Y294" s="2"/>
      <c r="AP294" s="2"/>
    </row>
    <row r="295" spans="25:42" x14ac:dyDescent="0.25">
      <c r="Y295" s="2"/>
      <c r="AP295" s="2"/>
    </row>
    <row r="296" spans="25:42" x14ac:dyDescent="0.25">
      <c r="Y296" s="2"/>
      <c r="AP296" s="2"/>
    </row>
    <row r="297" spans="25:42" x14ac:dyDescent="0.25">
      <c r="Y297" s="2"/>
      <c r="AP297" s="2"/>
    </row>
    <row r="298" spans="25:42" x14ac:dyDescent="0.25">
      <c r="Y298" s="2"/>
      <c r="AP298" s="2"/>
    </row>
    <row r="299" spans="25:42" x14ac:dyDescent="0.25">
      <c r="Y299" s="2"/>
      <c r="AP299" s="2"/>
    </row>
    <row r="300" spans="25:42" x14ac:dyDescent="0.25">
      <c r="Y300" s="2"/>
      <c r="AP300" s="2"/>
    </row>
    <row r="301" spans="25:42" x14ac:dyDescent="0.25">
      <c r="Y301" s="2"/>
      <c r="AP301" s="2"/>
    </row>
    <row r="302" spans="25:42" x14ac:dyDescent="0.25">
      <c r="Y302" s="2"/>
      <c r="AP302" s="2"/>
    </row>
    <row r="303" spans="25:42" x14ac:dyDescent="0.25">
      <c r="Y303" s="2"/>
      <c r="AP303" s="2"/>
    </row>
    <row r="304" spans="25:42" x14ac:dyDescent="0.25">
      <c r="Y304" s="2"/>
      <c r="AP304" s="2"/>
    </row>
    <row r="305" spans="25:42" x14ac:dyDescent="0.25">
      <c r="Y305" s="2"/>
      <c r="AP305" s="2"/>
    </row>
    <row r="306" spans="25:42" x14ac:dyDescent="0.25">
      <c r="Y306" s="2"/>
      <c r="AP306" s="2"/>
    </row>
    <row r="307" spans="25:42" x14ac:dyDescent="0.25">
      <c r="Y307" s="2"/>
      <c r="AP307" s="2"/>
    </row>
    <row r="308" spans="25:42" x14ac:dyDescent="0.25">
      <c r="Y308" s="2"/>
      <c r="AP308" s="2"/>
    </row>
    <row r="309" spans="25:42" x14ac:dyDescent="0.25">
      <c r="Y309" s="2"/>
      <c r="AP309" s="2"/>
    </row>
    <row r="310" spans="25:42" x14ac:dyDescent="0.25">
      <c r="Y310" s="2"/>
      <c r="AP310" s="2"/>
    </row>
    <row r="311" spans="25:42" x14ac:dyDescent="0.25">
      <c r="Y311" s="2"/>
    </row>
    <row r="312" spans="25:42" x14ac:dyDescent="0.25">
      <c r="Y312" s="2"/>
    </row>
    <row r="313" spans="25:42" x14ac:dyDescent="0.25">
      <c r="Y313" s="2"/>
    </row>
    <row r="314" spans="25:42" x14ac:dyDescent="0.25">
      <c r="Y314" s="2"/>
    </row>
    <row r="315" spans="25:42" x14ac:dyDescent="0.25">
      <c r="Y315" s="2"/>
    </row>
    <row r="316" spans="25:42" x14ac:dyDescent="0.25">
      <c r="Y316" s="2"/>
    </row>
    <row r="317" spans="25:42" x14ac:dyDescent="0.25">
      <c r="Y317" s="2"/>
    </row>
    <row r="318" spans="25:42" x14ac:dyDescent="0.25">
      <c r="Y318" s="2"/>
    </row>
    <row r="319" spans="25:42" x14ac:dyDescent="0.25">
      <c r="Y319" s="2"/>
    </row>
    <row r="320" spans="25:42" x14ac:dyDescent="0.25">
      <c r="Y320" s="2"/>
    </row>
    <row r="321" spans="25:25" x14ac:dyDescent="0.25">
      <c r="Y321" s="2"/>
    </row>
    <row r="322" spans="25:25" x14ac:dyDescent="0.25">
      <c r="Y322" s="2"/>
    </row>
    <row r="323" spans="25:25" x14ac:dyDescent="0.25">
      <c r="Y323" s="2"/>
    </row>
    <row r="324" spans="25:25" x14ac:dyDescent="0.25">
      <c r="Y324" s="2"/>
    </row>
    <row r="325" spans="25:25" x14ac:dyDescent="0.25">
      <c r="Y325" s="2"/>
    </row>
    <row r="326" spans="25:25" x14ac:dyDescent="0.25">
      <c r="Y326" s="2"/>
    </row>
    <row r="327" spans="25:25" x14ac:dyDescent="0.25">
      <c r="Y327" s="2"/>
    </row>
    <row r="328" spans="25:25" x14ac:dyDescent="0.25">
      <c r="Y328" s="2"/>
    </row>
    <row r="329" spans="25:25" x14ac:dyDescent="0.25">
      <c r="Y329" s="2"/>
    </row>
    <row r="330" spans="25:25" x14ac:dyDescent="0.25">
      <c r="Y330" s="2"/>
    </row>
    <row r="331" spans="25:25" x14ac:dyDescent="0.25">
      <c r="Y331" s="2"/>
    </row>
    <row r="332" spans="25:25" x14ac:dyDescent="0.25">
      <c r="Y332" s="2"/>
    </row>
    <row r="333" spans="25:25" x14ac:dyDescent="0.25">
      <c r="Y333" s="2"/>
    </row>
    <row r="334" spans="25:25" x14ac:dyDescent="0.25">
      <c r="Y334" s="2"/>
    </row>
    <row r="335" spans="25:25" x14ac:dyDescent="0.25">
      <c r="Y335" s="2"/>
    </row>
    <row r="336" spans="25:25" x14ac:dyDescent="0.25">
      <c r="Y336" s="2"/>
    </row>
    <row r="337" spans="25:25" x14ac:dyDescent="0.25">
      <c r="Y337" s="2"/>
    </row>
    <row r="338" spans="25:25" x14ac:dyDescent="0.25">
      <c r="Y338" s="2"/>
    </row>
    <row r="339" spans="25:25" x14ac:dyDescent="0.25">
      <c r="Y339" s="2"/>
    </row>
    <row r="340" spans="25:25" x14ac:dyDescent="0.25">
      <c r="Y340" s="2"/>
    </row>
    <row r="341" spans="25:25" x14ac:dyDescent="0.25">
      <c r="Y341" s="2"/>
    </row>
    <row r="342" spans="25:25" x14ac:dyDescent="0.25">
      <c r="Y342" s="2"/>
    </row>
    <row r="343" spans="25:25" x14ac:dyDescent="0.25">
      <c r="Y343" s="2"/>
    </row>
    <row r="344" spans="25:25" x14ac:dyDescent="0.25">
      <c r="Y344" s="2"/>
    </row>
    <row r="345" spans="25:25" x14ac:dyDescent="0.25">
      <c r="Y345" s="2"/>
    </row>
    <row r="346" spans="25:25" x14ac:dyDescent="0.25">
      <c r="Y346" s="2"/>
    </row>
    <row r="347" spans="25:25" x14ac:dyDescent="0.25">
      <c r="Y347" s="2"/>
    </row>
    <row r="348" spans="25:25" x14ac:dyDescent="0.25">
      <c r="Y348" s="2"/>
    </row>
    <row r="349" spans="25:25" x14ac:dyDescent="0.25">
      <c r="Y349" s="2"/>
    </row>
    <row r="350" spans="25:25" x14ac:dyDescent="0.25">
      <c r="Y350" s="2"/>
    </row>
    <row r="351" spans="25:25" x14ac:dyDescent="0.25">
      <c r="Y351" s="2"/>
    </row>
    <row r="352" spans="25:25" x14ac:dyDescent="0.25">
      <c r="Y352" s="2"/>
    </row>
    <row r="353" spans="25:25" x14ac:dyDescent="0.25">
      <c r="Y353" s="2"/>
    </row>
    <row r="354" spans="25:25" x14ac:dyDescent="0.25">
      <c r="Y354" s="2"/>
    </row>
    <row r="355" spans="25:25" x14ac:dyDescent="0.25">
      <c r="Y355" s="2"/>
    </row>
    <row r="356" spans="25:25" x14ac:dyDescent="0.25">
      <c r="Y356" s="2"/>
    </row>
    <row r="357" spans="25:25" x14ac:dyDescent="0.25">
      <c r="Y357" s="2"/>
    </row>
    <row r="358" spans="25:25" x14ac:dyDescent="0.25">
      <c r="Y358" s="2"/>
    </row>
    <row r="359" spans="25:25" x14ac:dyDescent="0.25">
      <c r="Y359" s="2"/>
    </row>
    <row r="360" spans="25:25" x14ac:dyDescent="0.25">
      <c r="Y360" s="2"/>
    </row>
    <row r="361" spans="25:25" x14ac:dyDescent="0.25">
      <c r="Y361" s="2"/>
    </row>
    <row r="362" spans="25:25" x14ac:dyDescent="0.25">
      <c r="Y362" s="2"/>
    </row>
    <row r="363" spans="25:25" x14ac:dyDescent="0.25">
      <c r="Y363" s="2"/>
    </row>
    <row r="364" spans="25:25" x14ac:dyDescent="0.25">
      <c r="Y364" s="2"/>
    </row>
    <row r="365" spans="25:25" x14ac:dyDescent="0.25">
      <c r="Y365" s="2"/>
    </row>
    <row r="366" spans="25:25" x14ac:dyDescent="0.25">
      <c r="Y366" s="2"/>
    </row>
    <row r="367" spans="25:25" x14ac:dyDescent="0.25">
      <c r="Y367" s="2"/>
    </row>
    <row r="368" spans="25:25" x14ac:dyDescent="0.25">
      <c r="Y368" s="2"/>
    </row>
    <row r="369" spans="25:25" x14ac:dyDescent="0.25">
      <c r="Y369" s="2"/>
    </row>
    <row r="370" spans="25:25" x14ac:dyDescent="0.25">
      <c r="Y370" s="2"/>
    </row>
    <row r="371" spans="25:25" x14ac:dyDescent="0.25">
      <c r="Y371" s="2"/>
    </row>
    <row r="372" spans="25:25" x14ac:dyDescent="0.25">
      <c r="Y372" s="2"/>
    </row>
    <row r="373" spans="25:25" x14ac:dyDescent="0.25">
      <c r="Y373" s="2"/>
    </row>
    <row r="374" spans="25:25" x14ac:dyDescent="0.25">
      <c r="Y374" s="2"/>
    </row>
    <row r="375" spans="25:25" x14ac:dyDescent="0.25">
      <c r="Y375" s="2"/>
    </row>
    <row r="376" spans="25:25" x14ac:dyDescent="0.25">
      <c r="Y376" s="2"/>
    </row>
    <row r="377" spans="25:25" x14ac:dyDescent="0.25">
      <c r="Y377" s="2"/>
    </row>
    <row r="378" spans="25:25" x14ac:dyDescent="0.25">
      <c r="Y378" s="2"/>
    </row>
    <row r="379" spans="25:25" x14ac:dyDescent="0.25">
      <c r="Y379" s="2"/>
    </row>
    <row r="380" spans="25:25" x14ac:dyDescent="0.25">
      <c r="Y380" s="2"/>
    </row>
    <row r="381" spans="25:25" x14ac:dyDescent="0.25">
      <c r="Y381" s="2"/>
    </row>
    <row r="382" spans="25:25" x14ac:dyDescent="0.25">
      <c r="Y382" s="2"/>
    </row>
    <row r="383" spans="25:25" x14ac:dyDescent="0.25">
      <c r="Y383" s="2"/>
    </row>
    <row r="384" spans="25:25" x14ac:dyDescent="0.25">
      <c r="Y384" s="2"/>
    </row>
    <row r="385" spans="25:25" x14ac:dyDescent="0.25">
      <c r="Y385" s="2"/>
    </row>
    <row r="386" spans="25:25" x14ac:dyDescent="0.25">
      <c r="Y386" s="2"/>
    </row>
    <row r="387" spans="25:25" x14ac:dyDescent="0.25">
      <c r="Y387" s="2"/>
    </row>
    <row r="388" spans="25:25" x14ac:dyDescent="0.25">
      <c r="Y388" s="2"/>
    </row>
    <row r="389" spans="25:25" x14ac:dyDescent="0.25">
      <c r="Y389" s="2"/>
    </row>
    <row r="390" spans="25:25" x14ac:dyDescent="0.25">
      <c r="Y390" s="2"/>
    </row>
    <row r="391" spans="25:25" x14ac:dyDescent="0.25">
      <c r="Y391" s="2"/>
    </row>
    <row r="392" spans="25:25" x14ac:dyDescent="0.25">
      <c r="Y392" s="2"/>
    </row>
    <row r="393" spans="25:25" x14ac:dyDescent="0.25">
      <c r="Y393" s="2"/>
    </row>
    <row r="394" spans="25:25" x14ac:dyDescent="0.25">
      <c r="Y394" s="2"/>
    </row>
    <row r="395" spans="25:25" x14ac:dyDescent="0.25">
      <c r="Y395" s="2"/>
    </row>
    <row r="396" spans="25:25" x14ac:dyDescent="0.25">
      <c r="Y396" s="2"/>
    </row>
    <row r="397" spans="25:25" x14ac:dyDescent="0.25">
      <c r="Y397" s="2"/>
    </row>
    <row r="398" spans="25:25" x14ac:dyDescent="0.25">
      <c r="Y398" s="2"/>
    </row>
    <row r="399" spans="25:25" x14ac:dyDescent="0.25">
      <c r="Y399" s="2"/>
    </row>
    <row r="400" spans="25:25" x14ac:dyDescent="0.25">
      <c r="Y400" s="2"/>
    </row>
    <row r="401" spans="25:25" x14ac:dyDescent="0.25">
      <c r="Y401" s="2"/>
    </row>
    <row r="402" spans="25:25" x14ac:dyDescent="0.25">
      <c r="Y402" s="2"/>
    </row>
    <row r="403" spans="25:25" x14ac:dyDescent="0.25">
      <c r="Y403" s="2"/>
    </row>
    <row r="404" spans="25:25" x14ac:dyDescent="0.25">
      <c r="Y404" s="2"/>
    </row>
    <row r="405" spans="25:25" x14ac:dyDescent="0.25">
      <c r="Y405" s="2"/>
    </row>
    <row r="406" spans="25:25" x14ac:dyDescent="0.25">
      <c r="Y406" s="2"/>
    </row>
    <row r="407" spans="25:25" x14ac:dyDescent="0.25">
      <c r="Y407" s="2"/>
    </row>
    <row r="408" spans="25:25" x14ac:dyDescent="0.25">
      <c r="Y408" s="2"/>
    </row>
    <row r="409" spans="25:25" x14ac:dyDescent="0.25">
      <c r="Y409" s="2"/>
    </row>
    <row r="410" spans="25:25" x14ac:dyDescent="0.25">
      <c r="Y410" s="2"/>
    </row>
    <row r="411" spans="25:25" x14ac:dyDescent="0.25">
      <c r="Y411" s="2"/>
    </row>
    <row r="412" spans="25:25" x14ac:dyDescent="0.25">
      <c r="Y412" s="2"/>
    </row>
    <row r="413" spans="25:25" x14ac:dyDescent="0.25">
      <c r="Y413" s="2"/>
    </row>
    <row r="414" spans="25:25" x14ac:dyDescent="0.25">
      <c r="Y414" s="2"/>
    </row>
    <row r="415" spans="25:25" x14ac:dyDescent="0.25">
      <c r="Y415" s="2"/>
    </row>
    <row r="416" spans="25:25" x14ac:dyDescent="0.25">
      <c r="Y416" s="2"/>
    </row>
    <row r="417" spans="25:25" x14ac:dyDescent="0.25">
      <c r="Y417" s="2"/>
    </row>
    <row r="418" spans="25:25" x14ac:dyDescent="0.25">
      <c r="Y418" s="2"/>
    </row>
    <row r="419" spans="25:25" x14ac:dyDescent="0.25">
      <c r="Y419" s="2"/>
    </row>
    <row r="420" spans="25:25" x14ac:dyDescent="0.25">
      <c r="Y420" s="2"/>
    </row>
    <row r="421" spans="25:25" x14ac:dyDescent="0.25">
      <c r="Y421" s="2"/>
    </row>
    <row r="422" spans="25:25" x14ac:dyDescent="0.25">
      <c r="Y422" s="2"/>
    </row>
    <row r="423" spans="25:25" x14ac:dyDescent="0.25">
      <c r="Y423" s="2"/>
    </row>
    <row r="424" spans="25:25" x14ac:dyDescent="0.25">
      <c r="Y424" s="2"/>
    </row>
    <row r="425" spans="25:25" x14ac:dyDescent="0.25">
      <c r="Y425" s="2"/>
    </row>
    <row r="426" spans="25:25" x14ac:dyDescent="0.25">
      <c r="Y426" s="2"/>
    </row>
    <row r="427" spans="25:25" x14ac:dyDescent="0.25">
      <c r="Y427" s="2"/>
    </row>
    <row r="428" spans="25:25" x14ac:dyDescent="0.25">
      <c r="Y428" s="2"/>
    </row>
    <row r="429" spans="25:25" x14ac:dyDescent="0.25">
      <c r="Y429" s="2"/>
    </row>
    <row r="430" spans="25:25" x14ac:dyDescent="0.25">
      <c r="Y430" s="2"/>
    </row>
    <row r="431" spans="25:25" x14ac:dyDescent="0.25">
      <c r="Y431" s="2"/>
    </row>
    <row r="432" spans="25:25" x14ac:dyDescent="0.25">
      <c r="Y432" s="2"/>
    </row>
    <row r="433" spans="25:25" x14ac:dyDescent="0.25">
      <c r="Y433" s="2"/>
    </row>
    <row r="434" spans="25:25" x14ac:dyDescent="0.25">
      <c r="Y434" s="2"/>
    </row>
    <row r="435" spans="25:25" x14ac:dyDescent="0.25">
      <c r="Y435" s="2"/>
    </row>
    <row r="436" spans="25:25" x14ac:dyDescent="0.25">
      <c r="Y436" s="2"/>
    </row>
    <row r="437" spans="25:25" x14ac:dyDescent="0.25">
      <c r="Y437" s="2"/>
    </row>
    <row r="438" spans="25:25" x14ac:dyDescent="0.25">
      <c r="Y438" s="2"/>
    </row>
    <row r="439" spans="25:25" x14ac:dyDescent="0.25">
      <c r="Y439" s="2"/>
    </row>
    <row r="440" spans="25:25" x14ac:dyDescent="0.25">
      <c r="Y440" s="2"/>
    </row>
    <row r="441" spans="25:25" x14ac:dyDescent="0.25">
      <c r="Y441" s="2"/>
    </row>
    <row r="442" spans="25:25" x14ac:dyDescent="0.25">
      <c r="Y442" s="2"/>
    </row>
    <row r="443" spans="25:25" x14ac:dyDescent="0.25">
      <c r="Y443" s="2"/>
    </row>
    <row r="444" spans="25:25" x14ac:dyDescent="0.25">
      <c r="Y444" s="2"/>
    </row>
    <row r="445" spans="25:25" x14ac:dyDescent="0.25">
      <c r="Y445" s="2"/>
    </row>
    <row r="446" spans="25:25" x14ac:dyDescent="0.25">
      <c r="Y446" s="2"/>
    </row>
    <row r="447" spans="25:25" x14ac:dyDescent="0.25">
      <c r="Y447" s="2"/>
    </row>
    <row r="448" spans="25:25" x14ac:dyDescent="0.25">
      <c r="Y448" s="2"/>
    </row>
    <row r="449" spans="25:25" x14ac:dyDescent="0.25">
      <c r="Y449" s="2"/>
    </row>
    <row r="450" spans="25:25" x14ac:dyDescent="0.25">
      <c r="Y450" s="2"/>
    </row>
    <row r="451" spans="25:25" x14ac:dyDescent="0.25">
      <c r="Y451" s="2"/>
    </row>
    <row r="452" spans="25:25" x14ac:dyDescent="0.25">
      <c r="Y452" s="2"/>
    </row>
    <row r="453" spans="25:25" x14ac:dyDescent="0.25">
      <c r="Y453" s="2"/>
    </row>
    <row r="454" spans="25:25" x14ac:dyDescent="0.25">
      <c r="Y454" s="2"/>
    </row>
    <row r="455" spans="25:25" x14ac:dyDescent="0.25">
      <c r="Y455" s="2"/>
    </row>
    <row r="456" spans="25:25" x14ac:dyDescent="0.25">
      <c r="Y456" s="2"/>
    </row>
    <row r="457" spans="25:25" x14ac:dyDescent="0.25">
      <c r="Y457" s="2"/>
    </row>
    <row r="458" spans="25:25" x14ac:dyDescent="0.25">
      <c r="Y458" s="2"/>
    </row>
    <row r="459" spans="25:25" x14ac:dyDescent="0.25">
      <c r="Y459" s="2"/>
    </row>
    <row r="460" spans="25:25" x14ac:dyDescent="0.25">
      <c r="Y460" s="2"/>
    </row>
    <row r="461" spans="25:25" x14ac:dyDescent="0.25">
      <c r="Y461" s="2"/>
    </row>
    <row r="462" spans="25:25" x14ac:dyDescent="0.25">
      <c r="Y462" s="2"/>
    </row>
    <row r="463" spans="25:25" x14ac:dyDescent="0.25">
      <c r="Y463" s="2"/>
    </row>
    <row r="464" spans="25:25" x14ac:dyDescent="0.25">
      <c r="Y464" s="2"/>
    </row>
    <row r="465" spans="25:25" x14ac:dyDescent="0.25">
      <c r="Y465" s="2"/>
    </row>
    <row r="466" spans="25:25" x14ac:dyDescent="0.25">
      <c r="Y466" s="2"/>
    </row>
    <row r="467" spans="25:25" x14ac:dyDescent="0.25">
      <c r="Y467" s="2"/>
    </row>
    <row r="468" spans="25:25" x14ac:dyDescent="0.25">
      <c r="Y468" s="2"/>
    </row>
    <row r="469" spans="25:25" x14ac:dyDescent="0.25">
      <c r="Y469" s="2"/>
    </row>
    <row r="470" spans="25:25" x14ac:dyDescent="0.25">
      <c r="Y470" s="2"/>
    </row>
    <row r="471" spans="25:25" x14ac:dyDescent="0.25">
      <c r="Y471" s="2"/>
    </row>
    <row r="472" spans="25:25" x14ac:dyDescent="0.25">
      <c r="Y472" s="2"/>
    </row>
    <row r="473" spans="25:25" x14ac:dyDescent="0.25">
      <c r="Y473" s="2"/>
    </row>
    <row r="474" spans="25:25" x14ac:dyDescent="0.25">
      <c r="Y474" s="2"/>
    </row>
    <row r="475" spans="25:25" x14ac:dyDescent="0.25">
      <c r="Y475" s="2"/>
    </row>
    <row r="476" spans="25:25" x14ac:dyDescent="0.25">
      <c r="Y476" s="2"/>
    </row>
    <row r="477" spans="25:25" x14ac:dyDescent="0.25">
      <c r="Y477" s="2"/>
    </row>
    <row r="478" spans="25:25" x14ac:dyDescent="0.25">
      <c r="Y478" s="2"/>
    </row>
    <row r="479" spans="25:25" x14ac:dyDescent="0.25">
      <c r="Y479" s="2"/>
    </row>
    <row r="480" spans="25:25" x14ac:dyDescent="0.25">
      <c r="Y480" s="2"/>
    </row>
    <row r="481" spans="25:25" x14ac:dyDescent="0.25">
      <c r="Y481" s="2"/>
    </row>
    <row r="482" spans="25:25" x14ac:dyDescent="0.25">
      <c r="Y482" s="2"/>
    </row>
    <row r="483" spans="25:25" x14ac:dyDescent="0.25">
      <c r="Y483" s="2"/>
    </row>
    <row r="484" spans="25:25" x14ac:dyDescent="0.25">
      <c r="Y484" s="2"/>
    </row>
    <row r="485" spans="25:25" x14ac:dyDescent="0.25">
      <c r="Y485" s="2"/>
    </row>
    <row r="486" spans="25:25" x14ac:dyDescent="0.25">
      <c r="Y486" s="2"/>
    </row>
    <row r="487" spans="25:25" x14ac:dyDescent="0.25">
      <c r="Y487" s="2"/>
    </row>
    <row r="488" spans="25:25" x14ac:dyDescent="0.25">
      <c r="Y488" s="2"/>
    </row>
    <row r="489" spans="25:25" x14ac:dyDescent="0.25">
      <c r="Y489" s="2"/>
    </row>
    <row r="490" spans="25:25" x14ac:dyDescent="0.25">
      <c r="Y490" s="2"/>
    </row>
    <row r="491" spans="25:25" x14ac:dyDescent="0.25">
      <c r="Y491" s="2"/>
    </row>
    <row r="492" spans="25:25" x14ac:dyDescent="0.25">
      <c r="Y492" s="2"/>
    </row>
    <row r="493" spans="25:25" x14ac:dyDescent="0.25">
      <c r="Y493" s="2"/>
    </row>
    <row r="494" spans="25:25" x14ac:dyDescent="0.25">
      <c r="Y494" s="2"/>
    </row>
    <row r="495" spans="25:25" x14ac:dyDescent="0.25">
      <c r="Y495" s="2"/>
    </row>
    <row r="496" spans="25:25" x14ac:dyDescent="0.25">
      <c r="Y496" s="2"/>
    </row>
    <row r="497" spans="25:25" x14ac:dyDescent="0.25">
      <c r="Y497" s="2"/>
    </row>
    <row r="498" spans="25:25" x14ac:dyDescent="0.25">
      <c r="Y498" s="2"/>
    </row>
    <row r="499" spans="25:25" x14ac:dyDescent="0.25">
      <c r="Y499" s="2"/>
    </row>
    <row r="500" spans="25:25" x14ac:dyDescent="0.25">
      <c r="Y500" s="2"/>
    </row>
    <row r="501" spans="25:25" x14ac:dyDescent="0.25">
      <c r="Y501" s="2"/>
    </row>
    <row r="502" spans="25:25" x14ac:dyDescent="0.25">
      <c r="Y502" s="2"/>
    </row>
    <row r="503" spans="25:25" x14ac:dyDescent="0.25">
      <c r="Y503" s="2"/>
    </row>
    <row r="504" spans="25:25" x14ac:dyDescent="0.25">
      <c r="Y504" s="2"/>
    </row>
    <row r="505" spans="25:25" x14ac:dyDescent="0.25">
      <c r="Y505" s="2"/>
    </row>
    <row r="506" spans="25:25" x14ac:dyDescent="0.25">
      <c r="Y506" s="2"/>
    </row>
    <row r="507" spans="25:25" x14ac:dyDescent="0.25">
      <c r="Y507" s="2"/>
    </row>
    <row r="508" spans="25:25" x14ac:dyDescent="0.25">
      <c r="Y508" s="2"/>
    </row>
    <row r="509" spans="25:25" x14ac:dyDescent="0.25">
      <c r="Y509" s="2"/>
    </row>
    <row r="510" spans="25:25" x14ac:dyDescent="0.25">
      <c r="Y510" s="2"/>
    </row>
    <row r="511" spans="25:25" x14ac:dyDescent="0.25">
      <c r="Y511" s="2"/>
    </row>
    <row r="512" spans="25:25" x14ac:dyDescent="0.25">
      <c r="Y512" s="2"/>
    </row>
    <row r="513" spans="25:25" x14ac:dyDescent="0.25">
      <c r="Y513" s="2"/>
    </row>
    <row r="514" spans="25:25" x14ac:dyDescent="0.25">
      <c r="Y514" s="2"/>
    </row>
    <row r="515" spans="25:25" x14ac:dyDescent="0.25">
      <c r="Y515" s="2"/>
    </row>
    <row r="516" spans="25:25" x14ac:dyDescent="0.25">
      <c r="Y516" s="2"/>
    </row>
    <row r="517" spans="25:25" x14ac:dyDescent="0.25">
      <c r="Y517" s="2"/>
    </row>
    <row r="518" spans="25:25" x14ac:dyDescent="0.25">
      <c r="Y518" s="2"/>
    </row>
    <row r="519" spans="25:25" x14ac:dyDescent="0.25">
      <c r="Y519" s="2"/>
    </row>
    <row r="520" spans="25:25" x14ac:dyDescent="0.25">
      <c r="Y520" s="2"/>
    </row>
    <row r="521" spans="25:25" x14ac:dyDescent="0.25">
      <c r="Y521" s="2"/>
    </row>
    <row r="522" spans="25:25" x14ac:dyDescent="0.25">
      <c r="Y522" s="2"/>
    </row>
    <row r="523" spans="25:25" x14ac:dyDescent="0.25">
      <c r="Y523" s="2"/>
    </row>
    <row r="524" spans="25:25" x14ac:dyDescent="0.25">
      <c r="Y524" s="2"/>
    </row>
    <row r="525" spans="25:25" x14ac:dyDescent="0.25">
      <c r="Y525" s="2"/>
    </row>
    <row r="526" spans="25:25" x14ac:dyDescent="0.25">
      <c r="Y526" s="2"/>
    </row>
    <row r="527" spans="25:25" x14ac:dyDescent="0.25">
      <c r="Y527" s="2"/>
    </row>
    <row r="528" spans="25:25" x14ac:dyDescent="0.25">
      <c r="Y528" s="2"/>
    </row>
    <row r="529" spans="25:25" x14ac:dyDescent="0.25">
      <c r="Y529" s="2"/>
    </row>
    <row r="530" spans="25:25" x14ac:dyDescent="0.25">
      <c r="Y530" s="2"/>
    </row>
    <row r="531" spans="25:25" x14ac:dyDescent="0.25">
      <c r="Y531" s="2"/>
    </row>
    <row r="532" spans="25:25" x14ac:dyDescent="0.25">
      <c r="Y532" s="2"/>
    </row>
    <row r="533" spans="25:25" x14ac:dyDescent="0.25">
      <c r="Y533" s="2"/>
    </row>
    <row r="534" spans="25:25" x14ac:dyDescent="0.25">
      <c r="Y534" s="2"/>
    </row>
    <row r="535" spans="25:25" x14ac:dyDescent="0.25">
      <c r="Y535" s="2"/>
    </row>
    <row r="536" spans="25:25" x14ac:dyDescent="0.25">
      <c r="Y536" s="2"/>
    </row>
    <row r="537" spans="25:25" x14ac:dyDescent="0.25">
      <c r="Y537" s="2"/>
    </row>
    <row r="538" spans="25:25" x14ac:dyDescent="0.25">
      <c r="Y538" s="2"/>
    </row>
    <row r="539" spans="25:25" x14ac:dyDescent="0.25">
      <c r="Y539" s="2"/>
    </row>
    <row r="540" spans="25:25" x14ac:dyDescent="0.25">
      <c r="Y540" s="2"/>
    </row>
    <row r="541" spans="25:25" x14ac:dyDescent="0.25">
      <c r="Y541" s="2"/>
    </row>
    <row r="542" spans="25:25" x14ac:dyDescent="0.25">
      <c r="Y542" s="2"/>
    </row>
    <row r="543" spans="25:25" x14ac:dyDescent="0.25">
      <c r="Y543" s="2"/>
    </row>
    <row r="544" spans="25:25" x14ac:dyDescent="0.25">
      <c r="Y544" s="2"/>
    </row>
    <row r="545" spans="25:25" x14ac:dyDescent="0.25">
      <c r="Y545" s="2"/>
    </row>
    <row r="546" spans="25:25" x14ac:dyDescent="0.25">
      <c r="Y546" s="2"/>
    </row>
    <row r="547" spans="25:25" x14ac:dyDescent="0.25">
      <c r="Y547" s="2"/>
    </row>
    <row r="548" spans="25:25" x14ac:dyDescent="0.25">
      <c r="Y548" s="2"/>
    </row>
    <row r="549" spans="25:25" x14ac:dyDescent="0.25">
      <c r="Y549" s="2"/>
    </row>
    <row r="550" spans="25:25" x14ac:dyDescent="0.25">
      <c r="Y550" s="2"/>
    </row>
    <row r="551" spans="25:25" x14ac:dyDescent="0.25">
      <c r="Y551" s="2"/>
    </row>
    <row r="552" spans="25:25" x14ac:dyDescent="0.25">
      <c r="Y552" s="2"/>
    </row>
    <row r="553" spans="25:25" x14ac:dyDescent="0.25">
      <c r="Y553" s="2"/>
    </row>
    <row r="554" spans="25:25" x14ac:dyDescent="0.25">
      <c r="Y554" s="2"/>
    </row>
    <row r="555" spans="25:25" x14ac:dyDescent="0.25">
      <c r="Y555" s="2"/>
    </row>
    <row r="556" spans="25:25" x14ac:dyDescent="0.25">
      <c r="Y556" s="2"/>
    </row>
    <row r="557" spans="25:25" x14ac:dyDescent="0.25">
      <c r="Y557" s="2"/>
    </row>
    <row r="558" spans="25:25" x14ac:dyDescent="0.25">
      <c r="Y558" s="2"/>
    </row>
    <row r="559" spans="25:25" x14ac:dyDescent="0.25">
      <c r="Y559" s="2"/>
    </row>
    <row r="560" spans="25:25" x14ac:dyDescent="0.25">
      <c r="Y560" s="2"/>
    </row>
    <row r="561" spans="25:25" x14ac:dyDescent="0.25">
      <c r="Y561" s="2"/>
    </row>
    <row r="562" spans="25:25" x14ac:dyDescent="0.25">
      <c r="Y562" s="2"/>
    </row>
    <row r="563" spans="25:25" x14ac:dyDescent="0.25">
      <c r="Y563" s="2"/>
    </row>
    <row r="564" spans="25:25" x14ac:dyDescent="0.25">
      <c r="Y564" s="2"/>
    </row>
    <row r="565" spans="25:25" x14ac:dyDescent="0.25">
      <c r="Y565" s="2"/>
    </row>
    <row r="566" spans="25:25" x14ac:dyDescent="0.25">
      <c r="Y566" s="2"/>
    </row>
    <row r="567" spans="25:25" x14ac:dyDescent="0.25">
      <c r="Y567" s="2"/>
    </row>
    <row r="568" spans="25:25" x14ac:dyDescent="0.25">
      <c r="Y568" s="2"/>
    </row>
    <row r="569" spans="25:25" x14ac:dyDescent="0.25">
      <c r="Y569" s="2"/>
    </row>
    <row r="570" spans="25:25" x14ac:dyDescent="0.25">
      <c r="Y570" s="2"/>
    </row>
    <row r="571" spans="25:25" x14ac:dyDescent="0.25">
      <c r="Y571" s="2"/>
    </row>
    <row r="572" spans="25:25" x14ac:dyDescent="0.25">
      <c r="Y572" s="2"/>
    </row>
    <row r="573" spans="25:25" x14ac:dyDescent="0.25">
      <c r="Y573" s="2"/>
    </row>
    <row r="574" spans="25:25" x14ac:dyDescent="0.25">
      <c r="Y574" s="2"/>
    </row>
    <row r="575" spans="25:25" x14ac:dyDescent="0.25">
      <c r="Y575" s="2"/>
    </row>
    <row r="576" spans="25:25" x14ac:dyDescent="0.25">
      <c r="Y576" s="2"/>
    </row>
    <row r="577" spans="25:25" x14ac:dyDescent="0.25">
      <c r="Y577" s="2"/>
    </row>
    <row r="578" spans="25:25" x14ac:dyDescent="0.25">
      <c r="Y578" s="2"/>
    </row>
    <row r="579" spans="25:25" x14ac:dyDescent="0.25">
      <c r="Y579" s="2"/>
    </row>
    <row r="580" spans="25:25" x14ac:dyDescent="0.25">
      <c r="Y580" s="2"/>
    </row>
    <row r="581" spans="25:25" x14ac:dyDescent="0.25">
      <c r="Y581" s="2"/>
    </row>
    <row r="582" spans="25:25" x14ac:dyDescent="0.25">
      <c r="Y582" s="2"/>
    </row>
    <row r="583" spans="25:25" x14ac:dyDescent="0.25">
      <c r="Y583" s="2"/>
    </row>
    <row r="584" spans="25:25" x14ac:dyDescent="0.25">
      <c r="Y584" s="2"/>
    </row>
    <row r="585" spans="25:25" x14ac:dyDescent="0.25">
      <c r="Y585" s="2"/>
    </row>
    <row r="586" spans="25:25" x14ac:dyDescent="0.25">
      <c r="Y586" s="2"/>
    </row>
    <row r="587" spans="25:25" x14ac:dyDescent="0.25">
      <c r="Y587" s="2"/>
    </row>
    <row r="588" spans="25:25" x14ac:dyDescent="0.25">
      <c r="Y588" s="2"/>
    </row>
    <row r="589" spans="25:25" x14ac:dyDescent="0.25">
      <c r="Y589" s="2"/>
    </row>
    <row r="590" spans="25:25" x14ac:dyDescent="0.25">
      <c r="Y590" s="2"/>
    </row>
    <row r="591" spans="25:25" x14ac:dyDescent="0.25">
      <c r="Y591" s="2"/>
    </row>
    <row r="592" spans="25:25" x14ac:dyDescent="0.25">
      <c r="Y592" s="2"/>
    </row>
    <row r="593" spans="25:25" x14ac:dyDescent="0.25">
      <c r="Y593" s="2"/>
    </row>
    <row r="594" spans="25:25" x14ac:dyDescent="0.25">
      <c r="Y594" s="2"/>
    </row>
    <row r="595" spans="25:25" x14ac:dyDescent="0.25">
      <c r="Y595" s="2"/>
    </row>
    <row r="596" spans="25:25" x14ac:dyDescent="0.25">
      <c r="Y596" s="2"/>
    </row>
    <row r="597" spans="25:25" x14ac:dyDescent="0.25">
      <c r="Y597" s="2"/>
    </row>
    <row r="598" spans="25:25" x14ac:dyDescent="0.25">
      <c r="Y598" s="2"/>
    </row>
    <row r="599" spans="25:25" x14ac:dyDescent="0.25">
      <c r="Y599" s="2"/>
    </row>
    <row r="600" spans="25:25" x14ac:dyDescent="0.25">
      <c r="Y600" s="2"/>
    </row>
    <row r="601" spans="25:25" x14ac:dyDescent="0.25">
      <c r="Y601" s="2"/>
    </row>
    <row r="602" spans="25:25" x14ac:dyDescent="0.25">
      <c r="Y602" s="2"/>
    </row>
    <row r="603" spans="25:25" x14ac:dyDescent="0.25">
      <c r="Y603" s="2"/>
    </row>
    <row r="604" spans="25:25" x14ac:dyDescent="0.25">
      <c r="Y604" s="2"/>
    </row>
    <row r="605" spans="25:25" x14ac:dyDescent="0.25">
      <c r="Y605" s="2"/>
    </row>
    <row r="606" spans="25:25" x14ac:dyDescent="0.25">
      <c r="Y606" s="2"/>
    </row>
    <row r="607" spans="25:25" x14ac:dyDescent="0.25">
      <c r="Y607" s="2"/>
    </row>
    <row r="608" spans="25:25" x14ac:dyDescent="0.25">
      <c r="Y608" s="2"/>
    </row>
    <row r="609" spans="25:25" x14ac:dyDescent="0.25">
      <c r="Y609" s="2"/>
    </row>
    <row r="610" spans="25:25" x14ac:dyDescent="0.25">
      <c r="Y610" s="2"/>
    </row>
    <row r="611" spans="25:25" x14ac:dyDescent="0.25">
      <c r="Y611" s="2"/>
    </row>
    <row r="612" spans="25:25" x14ac:dyDescent="0.25">
      <c r="Y612" s="2"/>
    </row>
    <row r="613" spans="25:25" x14ac:dyDescent="0.25">
      <c r="Y613" s="2"/>
    </row>
    <row r="614" spans="25:25" x14ac:dyDescent="0.25">
      <c r="Y614" s="2"/>
    </row>
    <row r="615" spans="25:25" x14ac:dyDescent="0.25">
      <c r="Y615" s="2"/>
    </row>
    <row r="616" spans="25:25" x14ac:dyDescent="0.25">
      <c r="Y616" s="2"/>
    </row>
    <row r="617" spans="25:25" x14ac:dyDescent="0.25">
      <c r="Y617" s="2"/>
    </row>
    <row r="618" spans="25:25" x14ac:dyDescent="0.25">
      <c r="Y618" s="2"/>
    </row>
    <row r="619" spans="25:25" x14ac:dyDescent="0.25">
      <c r="Y619" s="2"/>
    </row>
    <row r="620" spans="25:25" x14ac:dyDescent="0.25">
      <c r="Y620" s="2"/>
    </row>
    <row r="621" spans="25:25" x14ac:dyDescent="0.25">
      <c r="Y621" s="2"/>
    </row>
    <row r="622" spans="25:25" x14ac:dyDescent="0.25">
      <c r="Y622" s="2"/>
    </row>
    <row r="623" spans="25:25" x14ac:dyDescent="0.25">
      <c r="Y623" s="2"/>
    </row>
    <row r="624" spans="25:25" x14ac:dyDescent="0.25">
      <c r="Y624" s="2"/>
    </row>
    <row r="625" spans="25:25" x14ac:dyDescent="0.25">
      <c r="Y625" s="2"/>
    </row>
    <row r="626" spans="25:25" x14ac:dyDescent="0.25">
      <c r="Y626" s="2"/>
    </row>
    <row r="627" spans="25:25" x14ac:dyDescent="0.25">
      <c r="Y627" s="2"/>
    </row>
    <row r="628" spans="25:25" x14ac:dyDescent="0.25">
      <c r="Y628" s="2"/>
    </row>
    <row r="629" spans="25:25" x14ac:dyDescent="0.25">
      <c r="Y629" s="2"/>
    </row>
    <row r="630" spans="25:25" x14ac:dyDescent="0.25">
      <c r="Y630" s="2"/>
    </row>
    <row r="631" spans="25:25" x14ac:dyDescent="0.25">
      <c r="Y631" s="2"/>
    </row>
    <row r="632" spans="25:25" x14ac:dyDescent="0.25">
      <c r="Y632" s="2"/>
    </row>
    <row r="633" spans="25:25" x14ac:dyDescent="0.25">
      <c r="Y633" s="2"/>
    </row>
    <row r="634" spans="25:25" x14ac:dyDescent="0.25">
      <c r="Y634" s="2"/>
    </row>
    <row r="635" spans="25:25" x14ac:dyDescent="0.25">
      <c r="Y635" s="2"/>
    </row>
    <row r="636" spans="25:25" x14ac:dyDescent="0.25">
      <c r="Y636" s="2"/>
    </row>
    <row r="637" spans="25:25" x14ac:dyDescent="0.25">
      <c r="Y637" s="2"/>
    </row>
    <row r="638" spans="25:25" x14ac:dyDescent="0.25">
      <c r="Y638" s="2"/>
    </row>
    <row r="639" spans="25:25" x14ac:dyDescent="0.25">
      <c r="Y639" s="2"/>
    </row>
    <row r="640" spans="25:25" x14ac:dyDescent="0.25">
      <c r="Y640" s="2"/>
    </row>
    <row r="641" spans="25:25" x14ac:dyDescent="0.25">
      <c r="Y641" s="2"/>
    </row>
    <row r="642" spans="25:25" x14ac:dyDescent="0.25">
      <c r="Y642" s="2"/>
    </row>
    <row r="643" spans="25:25" x14ac:dyDescent="0.25">
      <c r="Y643" s="2"/>
    </row>
    <row r="644" spans="25:25" x14ac:dyDescent="0.25">
      <c r="Y644" s="2"/>
    </row>
    <row r="645" spans="25:25" x14ac:dyDescent="0.25">
      <c r="Y645" s="2"/>
    </row>
    <row r="646" spans="25:25" x14ac:dyDescent="0.25">
      <c r="Y646" s="2"/>
    </row>
    <row r="647" spans="25:25" x14ac:dyDescent="0.25">
      <c r="Y647" s="2"/>
    </row>
    <row r="648" spans="25:25" x14ac:dyDescent="0.25">
      <c r="Y648" s="2"/>
    </row>
    <row r="649" spans="25:25" x14ac:dyDescent="0.25">
      <c r="Y649" s="2"/>
    </row>
    <row r="650" spans="25:25" x14ac:dyDescent="0.25">
      <c r="Y650" s="2"/>
    </row>
    <row r="651" spans="25:25" x14ac:dyDescent="0.25">
      <c r="Y651" s="2"/>
    </row>
    <row r="652" spans="25:25" x14ac:dyDescent="0.25">
      <c r="Y652" s="2"/>
    </row>
    <row r="653" spans="25:25" x14ac:dyDescent="0.25">
      <c r="Y653" s="2"/>
    </row>
    <row r="654" spans="25:25" x14ac:dyDescent="0.25">
      <c r="Y654" s="2"/>
    </row>
    <row r="655" spans="25:25" x14ac:dyDescent="0.25">
      <c r="Y655" s="2"/>
    </row>
    <row r="656" spans="25:25" x14ac:dyDescent="0.25">
      <c r="Y656" s="2"/>
    </row>
    <row r="657" spans="25:25" x14ac:dyDescent="0.25">
      <c r="Y657" s="2"/>
    </row>
    <row r="658" spans="25:25" x14ac:dyDescent="0.25">
      <c r="Y658" s="2"/>
    </row>
    <row r="659" spans="25:25" x14ac:dyDescent="0.25">
      <c r="Y659" s="2"/>
    </row>
    <row r="660" spans="25:25" x14ac:dyDescent="0.25">
      <c r="Y660" s="2"/>
    </row>
    <row r="661" spans="25:25" x14ac:dyDescent="0.25">
      <c r="Y661" s="2"/>
    </row>
    <row r="662" spans="25:25" x14ac:dyDescent="0.25">
      <c r="Y662" s="2"/>
    </row>
    <row r="663" spans="25:25" x14ac:dyDescent="0.25">
      <c r="Y663" s="2"/>
    </row>
    <row r="664" spans="25:25" x14ac:dyDescent="0.25">
      <c r="Y664" s="2"/>
    </row>
    <row r="665" spans="25:25" x14ac:dyDescent="0.25">
      <c r="Y665" s="2"/>
    </row>
    <row r="666" spans="25:25" x14ac:dyDescent="0.25">
      <c r="Y666" s="2"/>
    </row>
    <row r="667" spans="25:25" x14ac:dyDescent="0.25">
      <c r="Y667" s="2"/>
    </row>
    <row r="668" spans="25:25" x14ac:dyDescent="0.25">
      <c r="Y668" s="2"/>
    </row>
    <row r="669" spans="25:25" x14ac:dyDescent="0.25">
      <c r="Y669" s="2"/>
    </row>
    <row r="670" spans="25:25" x14ac:dyDescent="0.25">
      <c r="Y670" s="2"/>
    </row>
    <row r="671" spans="25:25" x14ac:dyDescent="0.25">
      <c r="Y671" s="2"/>
    </row>
    <row r="672" spans="25:25" x14ac:dyDescent="0.25">
      <c r="Y672" s="2"/>
    </row>
    <row r="673" spans="25:25" x14ac:dyDescent="0.25">
      <c r="Y673" s="2"/>
    </row>
    <row r="674" spans="25:25" x14ac:dyDescent="0.25">
      <c r="Y674" s="2"/>
    </row>
    <row r="675" spans="25:25" x14ac:dyDescent="0.25">
      <c r="Y675" s="2"/>
    </row>
    <row r="676" spans="25:25" x14ac:dyDescent="0.25">
      <c r="Y676" s="2"/>
    </row>
    <row r="677" spans="25:25" x14ac:dyDescent="0.25">
      <c r="Y677" s="2"/>
    </row>
    <row r="678" spans="25:25" x14ac:dyDescent="0.25">
      <c r="Y678" s="2"/>
    </row>
    <row r="679" spans="25:25" x14ac:dyDescent="0.25">
      <c r="Y679" s="2"/>
    </row>
    <row r="680" spans="25:25" x14ac:dyDescent="0.25">
      <c r="Y680" s="2"/>
    </row>
    <row r="681" spans="25:25" x14ac:dyDescent="0.25">
      <c r="Y681" s="2"/>
    </row>
    <row r="682" spans="25:25" x14ac:dyDescent="0.25">
      <c r="Y682" s="2"/>
    </row>
    <row r="683" spans="25:25" x14ac:dyDescent="0.25">
      <c r="Y683" s="2"/>
    </row>
    <row r="684" spans="25:25" x14ac:dyDescent="0.25">
      <c r="Y684" s="2"/>
    </row>
    <row r="685" spans="25:25" x14ac:dyDescent="0.25">
      <c r="Y685" s="2"/>
    </row>
    <row r="686" spans="25:25" x14ac:dyDescent="0.25">
      <c r="Y686" s="2"/>
    </row>
    <row r="687" spans="25:25" x14ac:dyDescent="0.25">
      <c r="Y687" s="2"/>
    </row>
    <row r="688" spans="25:25" x14ac:dyDescent="0.25">
      <c r="Y688" s="2"/>
    </row>
    <row r="689" spans="25:25" x14ac:dyDescent="0.25">
      <c r="Y689" s="2"/>
    </row>
    <row r="690" spans="25:25" x14ac:dyDescent="0.25">
      <c r="Y690" s="2"/>
    </row>
    <row r="691" spans="25:25" x14ac:dyDescent="0.25">
      <c r="Y691" s="2"/>
    </row>
    <row r="692" spans="25:25" x14ac:dyDescent="0.25">
      <c r="Y692" s="2"/>
    </row>
    <row r="693" spans="25:25" x14ac:dyDescent="0.25">
      <c r="Y693" s="2"/>
    </row>
    <row r="694" spans="25:25" x14ac:dyDescent="0.25">
      <c r="Y694" s="2"/>
    </row>
    <row r="695" spans="25:25" x14ac:dyDescent="0.25">
      <c r="Y695" s="2"/>
    </row>
    <row r="696" spans="25:25" x14ac:dyDescent="0.25">
      <c r="Y696" s="2"/>
    </row>
    <row r="697" spans="25:25" x14ac:dyDescent="0.25">
      <c r="Y697" s="2"/>
    </row>
    <row r="698" spans="25:25" x14ac:dyDescent="0.25">
      <c r="Y698" s="2"/>
    </row>
    <row r="699" spans="25:25" x14ac:dyDescent="0.25">
      <c r="Y699" s="2"/>
    </row>
    <row r="700" spans="25:25" x14ac:dyDescent="0.25">
      <c r="Y700" s="2"/>
    </row>
    <row r="701" spans="25:25" x14ac:dyDescent="0.25">
      <c r="Y701" s="2"/>
    </row>
    <row r="702" spans="25:25" x14ac:dyDescent="0.25">
      <c r="Y702" s="2"/>
    </row>
    <row r="703" spans="25:25" x14ac:dyDescent="0.25">
      <c r="Y703" s="2"/>
    </row>
    <row r="704" spans="25:25" x14ac:dyDescent="0.25">
      <c r="Y704" s="2"/>
    </row>
    <row r="705" spans="25:25" x14ac:dyDescent="0.25">
      <c r="Y705" s="2"/>
    </row>
    <row r="706" spans="25:25" x14ac:dyDescent="0.25">
      <c r="Y706" s="2"/>
    </row>
    <row r="707" spans="25:25" x14ac:dyDescent="0.25">
      <c r="Y707" s="2"/>
    </row>
    <row r="708" spans="25:25" x14ac:dyDescent="0.25">
      <c r="Y708" s="2"/>
    </row>
    <row r="709" spans="25:25" x14ac:dyDescent="0.25">
      <c r="Y709" s="2"/>
    </row>
    <row r="710" spans="25:25" x14ac:dyDescent="0.25">
      <c r="Y710" s="2"/>
    </row>
    <row r="711" spans="25:25" x14ac:dyDescent="0.25">
      <c r="Y711" s="2"/>
    </row>
    <row r="712" spans="25:25" x14ac:dyDescent="0.25">
      <c r="Y712" s="2"/>
    </row>
    <row r="713" spans="25:25" x14ac:dyDescent="0.25">
      <c r="Y713" s="2"/>
    </row>
    <row r="714" spans="25:25" x14ac:dyDescent="0.25">
      <c r="Y714" s="2"/>
    </row>
    <row r="715" spans="25:25" x14ac:dyDescent="0.25">
      <c r="Y715" s="2"/>
    </row>
    <row r="716" spans="25:25" x14ac:dyDescent="0.25">
      <c r="Y716" s="2"/>
    </row>
    <row r="717" spans="25:25" x14ac:dyDescent="0.25">
      <c r="Y717" s="2"/>
    </row>
    <row r="718" spans="25:25" x14ac:dyDescent="0.25">
      <c r="Y718" s="2"/>
    </row>
    <row r="719" spans="25:25" x14ac:dyDescent="0.25">
      <c r="Y719" s="2"/>
    </row>
    <row r="720" spans="25:25" x14ac:dyDescent="0.25">
      <c r="Y720" s="2"/>
    </row>
    <row r="721" spans="25:25" x14ac:dyDescent="0.25">
      <c r="Y721" s="2"/>
    </row>
    <row r="722" spans="25:25" x14ac:dyDescent="0.25">
      <c r="Y722" s="2"/>
    </row>
    <row r="723" spans="25:25" x14ac:dyDescent="0.25">
      <c r="Y723" s="2"/>
    </row>
    <row r="724" spans="25:25" x14ac:dyDescent="0.25">
      <c r="Y724" s="2"/>
    </row>
    <row r="725" spans="25:25" x14ac:dyDescent="0.25">
      <c r="Y725" s="2"/>
    </row>
    <row r="726" spans="25:25" x14ac:dyDescent="0.25">
      <c r="Y726" s="2"/>
    </row>
    <row r="727" spans="25:25" x14ac:dyDescent="0.25">
      <c r="Y727" s="2"/>
    </row>
    <row r="728" spans="25:25" x14ac:dyDescent="0.25">
      <c r="Y728" s="2"/>
    </row>
    <row r="729" spans="25:25" x14ac:dyDescent="0.25">
      <c r="Y729" s="2"/>
    </row>
    <row r="730" spans="25:25" x14ac:dyDescent="0.25">
      <c r="Y730" s="2"/>
    </row>
    <row r="731" spans="25:25" x14ac:dyDescent="0.25">
      <c r="Y731" s="2"/>
    </row>
    <row r="732" spans="25:25" x14ac:dyDescent="0.25">
      <c r="Y732" s="2"/>
    </row>
    <row r="733" spans="25:25" x14ac:dyDescent="0.25">
      <c r="Y733" s="2"/>
    </row>
    <row r="734" spans="25:25" x14ac:dyDescent="0.25">
      <c r="Y734" s="2"/>
    </row>
    <row r="735" spans="25:25" x14ac:dyDescent="0.25">
      <c r="Y735" s="2"/>
    </row>
    <row r="736" spans="25:25" x14ac:dyDescent="0.25">
      <c r="Y736" s="2"/>
    </row>
    <row r="737" spans="25:25" x14ac:dyDescent="0.25">
      <c r="Y737" s="2"/>
    </row>
    <row r="738" spans="25:25" x14ac:dyDescent="0.25">
      <c r="Y738" s="2"/>
    </row>
    <row r="739" spans="25:25" x14ac:dyDescent="0.25">
      <c r="Y739" s="2"/>
    </row>
    <row r="740" spans="25:25" x14ac:dyDescent="0.25">
      <c r="Y740" s="2"/>
    </row>
    <row r="741" spans="25:25" x14ac:dyDescent="0.25">
      <c r="Y741" s="2"/>
    </row>
    <row r="742" spans="25:25" x14ac:dyDescent="0.25">
      <c r="Y742" s="2"/>
    </row>
    <row r="743" spans="25:25" x14ac:dyDescent="0.25">
      <c r="Y743" s="2"/>
    </row>
    <row r="744" spans="25:25" x14ac:dyDescent="0.25">
      <c r="Y744" s="2"/>
    </row>
    <row r="745" spans="25:25" x14ac:dyDescent="0.25">
      <c r="Y745" s="2"/>
    </row>
    <row r="746" spans="25:25" x14ac:dyDescent="0.25">
      <c r="Y746" s="2"/>
    </row>
    <row r="747" spans="25:25" x14ac:dyDescent="0.25">
      <c r="Y747" s="2"/>
    </row>
    <row r="748" spans="25:25" x14ac:dyDescent="0.25">
      <c r="Y748" s="2"/>
    </row>
    <row r="749" spans="25:25" x14ac:dyDescent="0.25">
      <c r="Y749" s="2"/>
    </row>
    <row r="750" spans="25:25" x14ac:dyDescent="0.25">
      <c r="Y750" s="2"/>
    </row>
    <row r="751" spans="25:25" x14ac:dyDescent="0.25">
      <c r="Y751" s="2"/>
    </row>
    <row r="752" spans="25:25" x14ac:dyDescent="0.25">
      <c r="Y752" s="2"/>
    </row>
    <row r="753" spans="25:25" x14ac:dyDescent="0.25">
      <c r="Y753" s="2"/>
    </row>
    <row r="754" spans="25:25" x14ac:dyDescent="0.25">
      <c r="Y754" s="2"/>
    </row>
    <row r="755" spans="25:25" x14ac:dyDescent="0.25">
      <c r="Y755" s="2"/>
    </row>
    <row r="756" spans="25:25" x14ac:dyDescent="0.25">
      <c r="Y756" s="2"/>
    </row>
    <row r="757" spans="25:25" x14ac:dyDescent="0.25">
      <c r="Y757" s="2"/>
    </row>
    <row r="758" spans="25:25" x14ac:dyDescent="0.25">
      <c r="Y758" s="2"/>
    </row>
    <row r="759" spans="25:25" x14ac:dyDescent="0.25">
      <c r="Y759" s="2"/>
    </row>
    <row r="760" spans="25:25" x14ac:dyDescent="0.25">
      <c r="Y760" s="2"/>
    </row>
    <row r="761" spans="25:25" x14ac:dyDescent="0.25">
      <c r="Y761" s="2"/>
    </row>
    <row r="762" spans="25:25" x14ac:dyDescent="0.25">
      <c r="Y762" s="2"/>
    </row>
    <row r="763" spans="25:25" x14ac:dyDescent="0.25">
      <c r="Y763" s="2"/>
    </row>
    <row r="764" spans="25:25" x14ac:dyDescent="0.25">
      <c r="Y764" s="2"/>
    </row>
    <row r="765" spans="25:25" x14ac:dyDescent="0.25">
      <c r="Y765" s="2"/>
    </row>
    <row r="766" spans="25:25" x14ac:dyDescent="0.25">
      <c r="Y766" s="2"/>
    </row>
    <row r="767" spans="25:25" x14ac:dyDescent="0.25">
      <c r="Y767" s="2"/>
    </row>
    <row r="768" spans="25:25" x14ac:dyDescent="0.25">
      <c r="Y768" s="2"/>
    </row>
    <row r="769" spans="25:25" x14ac:dyDescent="0.25">
      <c r="Y769" s="2"/>
    </row>
    <row r="770" spans="25:25" x14ac:dyDescent="0.25">
      <c r="Y770" s="2"/>
    </row>
    <row r="771" spans="25:25" x14ac:dyDescent="0.25">
      <c r="Y771" s="2"/>
    </row>
    <row r="772" spans="25:25" x14ac:dyDescent="0.25">
      <c r="Y772" s="2"/>
    </row>
    <row r="773" spans="25:25" x14ac:dyDescent="0.25">
      <c r="Y773" s="2"/>
    </row>
    <row r="774" spans="25:25" x14ac:dyDescent="0.25">
      <c r="Y774" s="2"/>
    </row>
    <row r="775" spans="25:25" x14ac:dyDescent="0.25">
      <c r="Y775" s="2"/>
    </row>
    <row r="776" spans="25:25" x14ac:dyDescent="0.25">
      <c r="Y776" s="2"/>
    </row>
    <row r="777" spans="25:25" x14ac:dyDescent="0.25">
      <c r="Y777" s="2"/>
    </row>
    <row r="778" spans="25:25" x14ac:dyDescent="0.25">
      <c r="Y778" s="2"/>
    </row>
    <row r="779" spans="25:25" x14ac:dyDescent="0.25">
      <c r="Y779" s="2"/>
    </row>
    <row r="780" spans="25:25" x14ac:dyDescent="0.25">
      <c r="Y780" s="2"/>
    </row>
    <row r="781" spans="25:25" x14ac:dyDescent="0.25">
      <c r="Y781" s="2"/>
    </row>
    <row r="782" spans="25:25" x14ac:dyDescent="0.25">
      <c r="Y782" s="2"/>
    </row>
    <row r="783" spans="25:25" x14ac:dyDescent="0.25">
      <c r="Y783" s="2"/>
    </row>
    <row r="784" spans="25:25" x14ac:dyDescent="0.25">
      <c r="Y784" s="2"/>
    </row>
    <row r="785" spans="25:25" x14ac:dyDescent="0.25">
      <c r="Y785" s="2"/>
    </row>
    <row r="786" spans="25:25" x14ac:dyDescent="0.25">
      <c r="Y786" s="2"/>
    </row>
    <row r="787" spans="25:25" x14ac:dyDescent="0.25">
      <c r="Y787" s="2"/>
    </row>
    <row r="788" spans="25:25" x14ac:dyDescent="0.25">
      <c r="Y788" s="2"/>
    </row>
    <row r="789" spans="25:25" x14ac:dyDescent="0.25">
      <c r="Y789" s="2"/>
    </row>
    <row r="790" spans="25:25" x14ac:dyDescent="0.25">
      <c r="Y790" s="2"/>
    </row>
    <row r="791" spans="25:25" x14ac:dyDescent="0.25">
      <c r="Y791" s="2"/>
    </row>
    <row r="792" spans="25:25" x14ac:dyDescent="0.25">
      <c r="Y792" s="2"/>
    </row>
    <row r="793" spans="25:25" x14ac:dyDescent="0.25">
      <c r="Y793" s="2"/>
    </row>
    <row r="794" spans="25:25" x14ac:dyDescent="0.25">
      <c r="Y794" s="2"/>
    </row>
    <row r="795" spans="25:25" x14ac:dyDescent="0.25">
      <c r="Y795" s="2"/>
    </row>
    <row r="796" spans="25:25" x14ac:dyDescent="0.25">
      <c r="Y796" s="2"/>
    </row>
    <row r="797" spans="25:25" x14ac:dyDescent="0.25">
      <c r="Y797" s="2"/>
    </row>
    <row r="798" spans="25:25" x14ac:dyDescent="0.25">
      <c r="Y798" s="2"/>
    </row>
    <row r="799" spans="25:25" x14ac:dyDescent="0.25">
      <c r="Y799" s="2"/>
    </row>
    <row r="800" spans="25:25" x14ac:dyDescent="0.25">
      <c r="Y800" s="2"/>
    </row>
    <row r="801" spans="25:25" x14ac:dyDescent="0.25">
      <c r="Y801" s="2"/>
    </row>
    <row r="802" spans="25:25" x14ac:dyDescent="0.25">
      <c r="Y802" s="2"/>
    </row>
    <row r="803" spans="25:25" x14ac:dyDescent="0.25">
      <c r="Y803" s="2"/>
    </row>
    <row r="804" spans="25:25" x14ac:dyDescent="0.25">
      <c r="Y804" s="2"/>
    </row>
    <row r="805" spans="25:25" x14ac:dyDescent="0.25">
      <c r="Y805" s="2"/>
    </row>
    <row r="806" spans="25:25" x14ac:dyDescent="0.25">
      <c r="Y806" s="2"/>
    </row>
    <row r="807" spans="25:25" x14ac:dyDescent="0.25">
      <c r="Y807" s="2"/>
    </row>
    <row r="808" spans="25:25" x14ac:dyDescent="0.25">
      <c r="Y808" s="2"/>
    </row>
    <row r="809" spans="25:25" x14ac:dyDescent="0.25">
      <c r="Y809" s="2"/>
    </row>
    <row r="810" spans="25:25" x14ac:dyDescent="0.25">
      <c r="Y810" s="2"/>
    </row>
    <row r="811" spans="25:25" x14ac:dyDescent="0.25">
      <c r="Y811" s="2"/>
    </row>
    <row r="812" spans="25:25" x14ac:dyDescent="0.25">
      <c r="Y812" s="2"/>
    </row>
    <row r="813" spans="25:25" x14ac:dyDescent="0.25">
      <c r="Y813" s="2"/>
    </row>
    <row r="814" spans="25:25" x14ac:dyDescent="0.25">
      <c r="Y814" s="2"/>
    </row>
    <row r="815" spans="25:25" x14ac:dyDescent="0.25">
      <c r="Y815" s="2"/>
    </row>
    <row r="816" spans="25:25" x14ac:dyDescent="0.25">
      <c r="Y816" s="2"/>
    </row>
    <row r="817" spans="25:25" x14ac:dyDescent="0.25">
      <c r="Y817" s="2"/>
    </row>
    <row r="818" spans="25:25" x14ac:dyDescent="0.25">
      <c r="Y818" s="2"/>
    </row>
    <row r="819" spans="25:25" x14ac:dyDescent="0.25">
      <c r="Y819" s="2"/>
    </row>
    <row r="820" spans="25:25" x14ac:dyDescent="0.25">
      <c r="Y820" s="2"/>
    </row>
    <row r="821" spans="25:25" x14ac:dyDescent="0.25">
      <c r="Y821" s="2"/>
    </row>
    <row r="822" spans="25:25" x14ac:dyDescent="0.25">
      <c r="Y822" s="2"/>
    </row>
    <row r="823" spans="25:25" x14ac:dyDescent="0.25">
      <c r="Y823" s="2"/>
    </row>
    <row r="824" spans="25:25" x14ac:dyDescent="0.25">
      <c r="Y824" s="2"/>
    </row>
    <row r="825" spans="25:25" x14ac:dyDescent="0.25">
      <c r="Y825" s="2"/>
    </row>
    <row r="826" spans="25:25" x14ac:dyDescent="0.25">
      <c r="Y826" s="2"/>
    </row>
    <row r="827" spans="25:25" x14ac:dyDescent="0.25">
      <c r="Y827" s="2"/>
    </row>
    <row r="828" spans="25:25" x14ac:dyDescent="0.25">
      <c r="Y828" s="2"/>
    </row>
    <row r="829" spans="25:25" x14ac:dyDescent="0.25">
      <c r="Y829" s="2"/>
    </row>
    <row r="830" spans="25:25" x14ac:dyDescent="0.25">
      <c r="Y830" s="2"/>
    </row>
    <row r="831" spans="25:25" x14ac:dyDescent="0.25">
      <c r="Y831" s="2"/>
    </row>
    <row r="832" spans="25:25" x14ac:dyDescent="0.25">
      <c r="Y832" s="2"/>
    </row>
    <row r="833" spans="25:25" x14ac:dyDescent="0.25">
      <c r="Y833" s="2"/>
    </row>
    <row r="834" spans="25:25" x14ac:dyDescent="0.25">
      <c r="Y834" s="2"/>
    </row>
    <row r="835" spans="25:25" x14ac:dyDescent="0.25">
      <c r="Y835" s="2"/>
    </row>
    <row r="836" spans="25:25" x14ac:dyDescent="0.25">
      <c r="Y836" s="2"/>
    </row>
    <row r="837" spans="25:25" x14ac:dyDescent="0.25">
      <c r="Y837" s="2"/>
    </row>
    <row r="838" spans="25:25" x14ac:dyDescent="0.25">
      <c r="Y838" s="2"/>
    </row>
    <row r="839" spans="25:25" x14ac:dyDescent="0.25">
      <c r="Y839" s="2"/>
    </row>
    <row r="840" spans="25:25" x14ac:dyDescent="0.25">
      <c r="Y840" s="2"/>
    </row>
    <row r="841" spans="25:25" x14ac:dyDescent="0.25">
      <c r="Y841" s="2"/>
    </row>
    <row r="842" spans="25:25" x14ac:dyDescent="0.25">
      <c r="Y842" s="2"/>
    </row>
    <row r="843" spans="25:25" x14ac:dyDescent="0.25">
      <c r="Y843" s="2"/>
    </row>
    <row r="844" spans="25:25" x14ac:dyDescent="0.25">
      <c r="Y844" s="2"/>
    </row>
    <row r="845" spans="25:25" x14ac:dyDescent="0.25">
      <c r="Y845" s="2"/>
    </row>
    <row r="846" spans="25:25" x14ac:dyDescent="0.25">
      <c r="Y846" s="2"/>
    </row>
    <row r="847" spans="25:25" x14ac:dyDescent="0.25">
      <c r="Y847" s="2"/>
    </row>
    <row r="848" spans="25:25" x14ac:dyDescent="0.25">
      <c r="Y848" s="2"/>
    </row>
    <row r="849" spans="25:25" x14ac:dyDescent="0.25">
      <c r="Y849" s="2"/>
    </row>
    <row r="850" spans="25:25" x14ac:dyDescent="0.25">
      <c r="Y850" s="2"/>
    </row>
    <row r="851" spans="25:25" x14ac:dyDescent="0.25">
      <c r="Y851" s="2"/>
    </row>
    <row r="852" spans="25:25" x14ac:dyDescent="0.25">
      <c r="Y852" s="2"/>
    </row>
    <row r="853" spans="25:25" x14ac:dyDescent="0.25">
      <c r="Y853" s="2"/>
    </row>
    <row r="854" spans="25:25" x14ac:dyDescent="0.25">
      <c r="Y854" s="2"/>
    </row>
    <row r="855" spans="25:25" x14ac:dyDescent="0.25">
      <c r="Y855" s="2"/>
    </row>
    <row r="856" spans="25:25" x14ac:dyDescent="0.25">
      <c r="Y856" s="2"/>
    </row>
    <row r="857" spans="25:25" x14ac:dyDescent="0.25">
      <c r="Y857" s="2"/>
    </row>
    <row r="858" spans="25:25" x14ac:dyDescent="0.25">
      <c r="Y858" s="2"/>
    </row>
    <row r="859" spans="25:25" x14ac:dyDescent="0.25">
      <c r="Y859" s="2"/>
    </row>
    <row r="860" spans="25:25" x14ac:dyDescent="0.25">
      <c r="Y860" s="2"/>
    </row>
    <row r="861" spans="25:25" x14ac:dyDescent="0.25">
      <c r="Y861" s="2"/>
    </row>
    <row r="862" spans="25:25" x14ac:dyDescent="0.25">
      <c r="Y862" s="2"/>
    </row>
    <row r="863" spans="25:25" x14ac:dyDescent="0.25">
      <c r="Y863" s="2"/>
    </row>
    <row r="864" spans="25:25" x14ac:dyDescent="0.25">
      <c r="Y864" s="2"/>
    </row>
    <row r="865" spans="25:25" x14ac:dyDescent="0.25">
      <c r="Y865" s="2"/>
    </row>
    <row r="866" spans="25:25" x14ac:dyDescent="0.25">
      <c r="Y866" s="2"/>
    </row>
    <row r="867" spans="25:25" x14ac:dyDescent="0.25">
      <c r="Y867" s="2"/>
    </row>
    <row r="868" spans="25:25" x14ac:dyDescent="0.25">
      <c r="Y868" s="2"/>
    </row>
    <row r="869" spans="25:25" x14ac:dyDescent="0.25">
      <c r="Y869" s="2"/>
    </row>
    <row r="870" spans="25:25" x14ac:dyDescent="0.25">
      <c r="Y870" s="2"/>
    </row>
    <row r="871" spans="25:25" x14ac:dyDescent="0.25">
      <c r="Y871" s="2"/>
    </row>
    <row r="872" spans="25:25" x14ac:dyDescent="0.25">
      <c r="Y872" s="2"/>
    </row>
    <row r="873" spans="25:25" x14ac:dyDescent="0.25">
      <c r="Y873" s="2"/>
    </row>
    <row r="874" spans="25:25" x14ac:dyDescent="0.25">
      <c r="Y874" s="2"/>
    </row>
    <row r="875" spans="25:25" x14ac:dyDescent="0.25">
      <c r="Y875" s="2"/>
    </row>
    <row r="876" spans="25:25" x14ac:dyDescent="0.25">
      <c r="Y876" s="2"/>
    </row>
    <row r="877" spans="25:25" x14ac:dyDescent="0.25">
      <c r="Y877" s="2"/>
    </row>
    <row r="878" spans="25:25" x14ac:dyDescent="0.25">
      <c r="Y878" s="2"/>
    </row>
    <row r="879" spans="25:25" x14ac:dyDescent="0.25">
      <c r="Y879" s="2"/>
    </row>
    <row r="880" spans="25:25" x14ac:dyDescent="0.25">
      <c r="Y880" s="2"/>
    </row>
    <row r="881" spans="25:25" x14ac:dyDescent="0.25">
      <c r="Y881" s="2"/>
    </row>
    <row r="882" spans="25:25" x14ac:dyDescent="0.25">
      <c r="Y882" s="2"/>
    </row>
    <row r="883" spans="25:25" x14ac:dyDescent="0.25">
      <c r="Y883" s="2"/>
    </row>
    <row r="884" spans="25:25" x14ac:dyDescent="0.25">
      <c r="Y884" s="2"/>
    </row>
    <row r="885" spans="25:25" x14ac:dyDescent="0.25">
      <c r="Y885" s="2"/>
    </row>
    <row r="886" spans="25:25" x14ac:dyDescent="0.25">
      <c r="Y886" s="2"/>
    </row>
    <row r="887" spans="25:25" x14ac:dyDescent="0.25">
      <c r="Y887" s="2"/>
    </row>
    <row r="888" spans="25:25" x14ac:dyDescent="0.25">
      <c r="Y888" s="2"/>
    </row>
    <row r="889" spans="25:25" x14ac:dyDescent="0.25">
      <c r="Y889" s="2"/>
    </row>
    <row r="890" spans="25:25" x14ac:dyDescent="0.25">
      <c r="Y890" s="2"/>
    </row>
    <row r="891" spans="25:25" x14ac:dyDescent="0.25">
      <c r="Y891" s="2"/>
    </row>
    <row r="892" spans="25:25" x14ac:dyDescent="0.25">
      <c r="Y892" s="2"/>
    </row>
    <row r="893" spans="25:25" x14ac:dyDescent="0.25">
      <c r="Y893" s="2"/>
    </row>
    <row r="894" spans="25:25" x14ac:dyDescent="0.25">
      <c r="Y894" s="2"/>
    </row>
    <row r="895" spans="25:25" x14ac:dyDescent="0.25">
      <c r="Y895" s="2"/>
    </row>
    <row r="896" spans="25:25" x14ac:dyDescent="0.25">
      <c r="Y896" s="2"/>
    </row>
    <row r="897" spans="25:25" x14ac:dyDescent="0.25">
      <c r="Y897" s="2"/>
    </row>
    <row r="898" spans="25:25" x14ac:dyDescent="0.25">
      <c r="Y898" s="2"/>
    </row>
    <row r="899" spans="25:25" x14ac:dyDescent="0.25">
      <c r="Y899" s="2"/>
    </row>
    <row r="900" spans="25:25" x14ac:dyDescent="0.25">
      <c r="Y900" s="2"/>
    </row>
    <row r="901" spans="25:25" x14ac:dyDescent="0.25">
      <c r="Y901" s="2"/>
    </row>
    <row r="902" spans="25:25" x14ac:dyDescent="0.25">
      <c r="Y902" s="2"/>
    </row>
    <row r="903" spans="25:25" x14ac:dyDescent="0.25">
      <c r="Y903" s="2"/>
    </row>
    <row r="904" spans="25:25" x14ac:dyDescent="0.25">
      <c r="Y904" s="2"/>
    </row>
    <row r="905" spans="25:25" x14ac:dyDescent="0.25">
      <c r="Y905" s="2"/>
    </row>
    <row r="906" spans="25:25" x14ac:dyDescent="0.25">
      <c r="Y906" s="2"/>
    </row>
    <row r="907" spans="25:25" x14ac:dyDescent="0.25">
      <c r="Y907" s="2"/>
    </row>
    <row r="908" spans="25:25" x14ac:dyDescent="0.25">
      <c r="Y908" s="2"/>
    </row>
    <row r="909" spans="25:25" x14ac:dyDescent="0.25">
      <c r="Y909" s="2"/>
    </row>
    <row r="910" spans="25:25" x14ac:dyDescent="0.25">
      <c r="Y910" s="2"/>
    </row>
    <row r="911" spans="25:25" x14ac:dyDescent="0.25">
      <c r="Y911" s="2"/>
    </row>
    <row r="912" spans="25:25" x14ac:dyDescent="0.25">
      <c r="Y912" s="2"/>
    </row>
    <row r="913" spans="25:25" x14ac:dyDescent="0.25">
      <c r="Y913" s="2"/>
    </row>
    <row r="914" spans="25:25" x14ac:dyDescent="0.25">
      <c r="Y914" s="2"/>
    </row>
    <row r="915" spans="25:25" x14ac:dyDescent="0.25">
      <c r="Y915" s="2"/>
    </row>
    <row r="916" spans="25:25" x14ac:dyDescent="0.25">
      <c r="Y916" s="2"/>
    </row>
    <row r="917" spans="25:25" x14ac:dyDescent="0.25">
      <c r="Y917" s="2"/>
    </row>
    <row r="918" spans="25:25" x14ac:dyDescent="0.25">
      <c r="Y918" s="2"/>
    </row>
    <row r="919" spans="25:25" x14ac:dyDescent="0.25">
      <c r="Y919" s="2"/>
    </row>
    <row r="920" spans="25:25" x14ac:dyDescent="0.25">
      <c r="Y920" s="2"/>
    </row>
    <row r="921" spans="25:25" x14ac:dyDescent="0.25">
      <c r="Y921" s="2"/>
    </row>
    <row r="922" spans="25:25" x14ac:dyDescent="0.25">
      <c r="Y922" s="2"/>
    </row>
    <row r="923" spans="25:25" x14ac:dyDescent="0.25">
      <c r="Y923" s="2"/>
    </row>
    <row r="924" spans="25:25" x14ac:dyDescent="0.25">
      <c r="Y924" s="2"/>
    </row>
    <row r="925" spans="25:25" x14ac:dyDescent="0.25">
      <c r="Y925" s="2"/>
    </row>
    <row r="926" spans="25:25" x14ac:dyDescent="0.25">
      <c r="Y926" s="2"/>
    </row>
    <row r="927" spans="25:25" x14ac:dyDescent="0.25">
      <c r="Y927" s="2"/>
    </row>
    <row r="928" spans="25:25" x14ac:dyDescent="0.25">
      <c r="Y928" s="2"/>
    </row>
    <row r="929" spans="25:25" x14ac:dyDescent="0.25">
      <c r="Y929" s="2"/>
    </row>
    <row r="930" spans="25:25" x14ac:dyDescent="0.25">
      <c r="Y930" s="2"/>
    </row>
    <row r="931" spans="25:25" x14ac:dyDescent="0.25">
      <c r="Y931" s="2"/>
    </row>
    <row r="932" spans="25:25" x14ac:dyDescent="0.25">
      <c r="Y932" s="2"/>
    </row>
    <row r="933" spans="25:25" x14ac:dyDescent="0.25">
      <c r="Y933" s="2"/>
    </row>
    <row r="934" spans="25:25" x14ac:dyDescent="0.25">
      <c r="Y934" s="2"/>
    </row>
    <row r="935" spans="25:25" x14ac:dyDescent="0.25">
      <c r="Y935" s="2"/>
    </row>
    <row r="936" spans="25:25" x14ac:dyDescent="0.25">
      <c r="Y936" s="2"/>
    </row>
    <row r="937" spans="25:25" x14ac:dyDescent="0.25">
      <c r="Y937" s="2"/>
    </row>
    <row r="938" spans="25:25" x14ac:dyDescent="0.25">
      <c r="Y938" s="2"/>
    </row>
    <row r="939" spans="25:25" x14ac:dyDescent="0.25">
      <c r="Y939" s="2"/>
    </row>
    <row r="940" spans="25:25" x14ac:dyDescent="0.25">
      <c r="Y940" s="2"/>
    </row>
    <row r="941" spans="25:25" x14ac:dyDescent="0.25">
      <c r="Y941" s="2"/>
    </row>
    <row r="942" spans="25:25" x14ac:dyDescent="0.25">
      <c r="Y942" s="2"/>
    </row>
    <row r="943" spans="25:25" x14ac:dyDescent="0.25">
      <c r="Y943" s="2"/>
    </row>
    <row r="944" spans="25:25" x14ac:dyDescent="0.25">
      <c r="Y944" s="2"/>
    </row>
    <row r="945" spans="25:25" x14ac:dyDescent="0.25">
      <c r="Y945" s="2"/>
    </row>
    <row r="946" spans="25:25" x14ac:dyDescent="0.25">
      <c r="Y946" s="2"/>
    </row>
    <row r="947" spans="25:25" x14ac:dyDescent="0.25">
      <c r="Y947" s="2"/>
    </row>
    <row r="948" spans="25:25" x14ac:dyDescent="0.25">
      <c r="Y948" s="2"/>
    </row>
    <row r="949" spans="25:25" x14ac:dyDescent="0.25">
      <c r="Y949" s="2"/>
    </row>
    <row r="950" spans="25:25" x14ac:dyDescent="0.25">
      <c r="Y950" s="2"/>
    </row>
    <row r="951" spans="25:25" x14ac:dyDescent="0.25">
      <c r="Y951" s="2"/>
    </row>
    <row r="952" spans="25:25" x14ac:dyDescent="0.25">
      <c r="Y952" s="2"/>
    </row>
    <row r="953" spans="25:25" x14ac:dyDescent="0.25">
      <c r="Y953" s="2"/>
    </row>
    <row r="954" spans="25:25" x14ac:dyDescent="0.25">
      <c r="Y954" s="2"/>
    </row>
    <row r="955" spans="25:25" x14ac:dyDescent="0.25">
      <c r="Y955" s="2"/>
    </row>
    <row r="956" spans="25:25" x14ac:dyDescent="0.25">
      <c r="Y956" s="2"/>
    </row>
    <row r="957" spans="25:25" x14ac:dyDescent="0.25">
      <c r="Y957" s="2"/>
    </row>
    <row r="958" spans="25:25" x14ac:dyDescent="0.25">
      <c r="Y958" s="2"/>
    </row>
    <row r="959" spans="25:25" x14ac:dyDescent="0.25">
      <c r="Y959" s="2"/>
    </row>
    <row r="960" spans="25:25" x14ac:dyDescent="0.25">
      <c r="Y960" s="2"/>
    </row>
    <row r="961" spans="25:25" x14ac:dyDescent="0.25">
      <c r="Y961" s="2"/>
    </row>
    <row r="962" spans="25:25" x14ac:dyDescent="0.25">
      <c r="Y962" s="2"/>
    </row>
    <row r="963" spans="25:25" x14ac:dyDescent="0.25">
      <c r="Y963" s="2"/>
    </row>
    <row r="964" spans="25:25" x14ac:dyDescent="0.25">
      <c r="Y964" s="2"/>
    </row>
    <row r="965" spans="25:25" x14ac:dyDescent="0.25">
      <c r="Y965" s="2"/>
    </row>
    <row r="966" spans="25:25" x14ac:dyDescent="0.25">
      <c r="Y966" s="2"/>
    </row>
    <row r="967" spans="25:25" x14ac:dyDescent="0.25">
      <c r="Y967" s="2"/>
    </row>
    <row r="968" spans="25:25" x14ac:dyDescent="0.25">
      <c r="Y968" s="2"/>
    </row>
    <row r="969" spans="25:25" x14ac:dyDescent="0.25">
      <c r="Y969" s="2"/>
    </row>
    <row r="970" spans="25:25" x14ac:dyDescent="0.25">
      <c r="Y970" s="2"/>
    </row>
    <row r="971" spans="25:25" x14ac:dyDescent="0.25">
      <c r="Y971" s="2"/>
    </row>
    <row r="972" spans="25:25" x14ac:dyDescent="0.25">
      <c r="Y972" s="2"/>
    </row>
    <row r="973" spans="25:25" x14ac:dyDescent="0.25">
      <c r="Y973" s="2"/>
    </row>
    <row r="974" spans="25:25" x14ac:dyDescent="0.25">
      <c r="Y974" s="2"/>
    </row>
    <row r="975" spans="25:25" x14ac:dyDescent="0.25">
      <c r="Y975" s="2"/>
    </row>
    <row r="976" spans="25:25" x14ac:dyDescent="0.25">
      <c r="Y976" s="2"/>
    </row>
    <row r="977" spans="25:25" x14ac:dyDescent="0.25">
      <c r="Y977" s="2"/>
    </row>
    <row r="978" spans="25:25" x14ac:dyDescent="0.25">
      <c r="Y978" s="2"/>
    </row>
    <row r="979" spans="25:25" x14ac:dyDescent="0.25">
      <c r="Y979" s="2"/>
    </row>
    <row r="980" spans="25:25" x14ac:dyDescent="0.25">
      <c r="Y980" s="2"/>
    </row>
    <row r="981" spans="25:25" x14ac:dyDescent="0.25">
      <c r="Y981" s="2"/>
    </row>
    <row r="982" spans="25:25" x14ac:dyDescent="0.25">
      <c r="Y982" s="2"/>
    </row>
    <row r="983" spans="25:25" x14ac:dyDescent="0.25">
      <c r="Y983" s="2"/>
    </row>
    <row r="984" spans="25:25" x14ac:dyDescent="0.25">
      <c r="Y984" s="2"/>
    </row>
    <row r="985" spans="25:25" x14ac:dyDescent="0.25">
      <c r="Y985" s="2"/>
    </row>
    <row r="986" spans="25:25" x14ac:dyDescent="0.25">
      <c r="Y986" s="2"/>
    </row>
    <row r="987" spans="25:25" x14ac:dyDescent="0.25">
      <c r="Y987" s="2"/>
    </row>
    <row r="988" spans="25:25" x14ac:dyDescent="0.25">
      <c r="Y988" s="2"/>
    </row>
    <row r="989" spans="25:25" x14ac:dyDescent="0.25">
      <c r="Y989" s="2"/>
    </row>
    <row r="990" spans="25:25" x14ac:dyDescent="0.25">
      <c r="Y990" s="2"/>
    </row>
    <row r="991" spans="25:25" x14ac:dyDescent="0.25">
      <c r="Y991" s="2"/>
    </row>
    <row r="992" spans="25:25" x14ac:dyDescent="0.25">
      <c r="Y992" s="2"/>
    </row>
    <row r="993" spans="25:25" x14ac:dyDescent="0.25">
      <c r="Y993" s="2"/>
    </row>
    <row r="994" spans="25:25" x14ac:dyDescent="0.25">
      <c r="Y994" s="2"/>
    </row>
    <row r="995" spans="25:25" x14ac:dyDescent="0.25">
      <c r="Y995" s="2"/>
    </row>
    <row r="996" spans="25:25" x14ac:dyDescent="0.25">
      <c r="Y996" s="2"/>
    </row>
    <row r="997" spans="25:25" x14ac:dyDescent="0.25">
      <c r="Y997" s="2"/>
    </row>
    <row r="998" spans="25:25" x14ac:dyDescent="0.25">
      <c r="Y998" s="2"/>
    </row>
    <row r="999" spans="25:25" x14ac:dyDescent="0.25">
      <c r="Y999" s="2"/>
    </row>
    <row r="1000" spans="25:25" x14ac:dyDescent="0.25">
      <c r="Y1000" s="2"/>
    </row>
    <row r="1001" spans="25:25" x14ac:dyDescent="0.25">
      <c r="Y1001" s="2"/>
    </row>
    <row r="1002" spans="25:25" x14ac:dyDescent="0.25">
      <c r="Y1002" s="2"/>
    </row>
    <row r="1003" spans="25:25" x14ac:dyDescent="0.25">
      <c r="Y1003" s="2"/>
    </row>
    <row r="1004" spans="25:25" x14ac:dyDescent="0.25">
      <c r="Y1004" s="2"/>
    </row>
    <row r="1005" spans="25:25" x14ac:dyDescent="0.25">
      <c r="Y1005" s="2"/>
    </row>
    <row r="1006" spans="25:25" x14ac:dyDescent="0.25">
      <c r="Y1006" s="2"/>
    </row>
    <row r="1007" spans="25:25" x14ac:dyDescent="0.25">
      <c r="Y1007" s="2"/>
    </row>
    <row r="1008" spans="25:25" x14ac:dyDescent="0.25">
      <c r="Y1008" s="2"/>
    </row>
    <row r="1009" spans="25:25" x14ac:dyDescent="0.25">
      <c r="Y1009" s="2"/>
    </row>
    <row r="1010" spans="25:25" x14ac:dyDescent="0.25">
      <c r="Y1010" s="2"/>
    </row>
    <row r="1011" spans="25:25" x14ac:dyDescent="0.25">
      <c r="Y1011" s="2"/>
    </row>
    <row r="1012" spans="25:25" x14ac:dyDescent="0.25">
      <c r="Y1012" s="2"/>
    </row>
    <row r="1013" spans="25:25" x14ac:dyDescent="0.25">
      <c r="Y1013" s="2"/>
    </row>
    <row r="1014" spans="25:25" x14ac:dyDescent="0.25">
      <c r="Y1014" s="2"/>
    </row>
    <row r="1015" spans="25:25" x14ac:dyDescent="0.25">
      <c r="Y1015" s="2"/>
    </row>
    <row r="1016" spans="25:25" x14ac:dyDescent="0.25">
      <c r="Y1016" s="2"/>
    </row>
    <row r="1017" spans="25:25" x14ac:dyDescent="0.25">
      <c r="Y1017" s="2"/>
    </row>
    <row r="1018" spans="25:25" x14ac:dyDescent="0.25">
      <c r="Y1018" s="2"/>
    </row>
    <row r="1019" spans="25:25" x14ac:dyDescent="0.25">
      <c r="Y1019" s="2"/>
    </row>
    <row r="1020" spans="25:25" x14ac:dyDescent="0.25">
      <c r="Y1020" s="2"/>
    </row>
    <row r="1021" spans="25:25" x14ac:dyDescent="0.25">
      <c r="Y1021" s="2"/>
    </row>
    <row r="1022" spans="25:25" x14ac:dyDescent="0.25">
      <c r="Y1022" s="2"/>
    </row>
    <row r="1023" spans="25:25" x14ac:dyDescent="0.25">
      <c r="Y1023" s="2"/>
    </row>
    <row r="1024" spans="25:25" x14ac:dyDescent="0.25">
      <c r="Y1024" s="2"/>
    </row>
    <row r="1025" spans="25:25" x14ac:dyDescent="0.25">
      <c r="Y1025" s="2"/>
    </row>
    <row r="1026" spans="25:25" x14ac:dyDescent="0.25">
      <c r="Y1026" s="2"/>
    </row>
    <row r="1027" spans="25:25" x14ac:dyDescent="0.25">
      <c r="Y1027" s="2"/>
    </row>
    <row r="1028" spans="25:25" x14ac:dyDescent="0.25">
      <c r="Y1028" s="2"/>
    </row>
    <row r="1029" spans="25:25" x14ac:dyDescent="0.25">
      <c r="Y1029" s="2"/>
    </row>
    <row r="1030" spans="25:25" x14ac:dyDescent="0.25">
      <c r="Y1030" s="2"/>
    </row>
    <row r="1031" spans="25:25" x14ac:dyDescent="0.25">
      <c r="Y1031" s="2"/>
    </row>
    <row r="1032" spans="25:25" x14ac:dyDescent="0.25">
      <c r="Y1032" s="2"/>
    </row>
    <row r="1033" spans="25:25" x14ac:dyDescent="0.25">
      <c r="Y1033" s="2"/>
    </row>
    <row r="1034" spans="25:25" x14ac:dyDescent="0.25">
      <c r="Y1034" s="2"/>
    </row>
    <row r="1035" spans="25:25" x14ac:dyDescent="0.25">
      <c r="Y1035" s="2"/>
    </row>
    <row r="1036" spans="25:25" x14ac:dyDescent="0.25">
      <c r="Y1036" s="2"/>
    </row>
    <row r="1037" spans="25:25" x14ac:dyDescent="0.25">
      <c r="Y1037" s="2"/>
    </row>
    <row r="1038" spans="25:25" x14ac:dyDescent="0.25">
      <c r="Y1038" s="2"/>
    </row>
    <row r="1039" spans="25:25" x14ac:dyDescent="0.25">
      <c r="Y1039" s="2"/>
    </row>
    <row r="1040" spans="25:25" x14ac:dyDescent="0.25">
      <c r="Y1040" s="2"/>
    </row>
    <row r="1041" spans="25:25" x14ac:dyDescent="0.25">
      <c r="Y1041" s="2"/>
    </row>
    <row r="1042" spans="25:25" x14ac:dyDescent="0.25">
      <c r="Y1042" s="2"/>
    </row>
    <row r="1043" spans="25:25" x14ac:dyDescent="0.25">
      <c r="Y1043" s="2"/>
    </row>
    <row r="1044" spans="25:25" x14ac:dyDescent="0.25">
      <c r="Y1044" s="2"/>
    </row>
    <row r="1045" spans="25:25" x14ac:dyDescent="0.25">
      <c r="Y1045" s="2"/>
    </row>
    <row r="1046" spans="25:25" x14ac:dyDescent="0.25">
      <c r="Y1046" s="2"/>
    </row>
    <row r="1047" spans="25:25" x14ac:dyDescent="0.25">
      <c r="Y1047" s="2"/>
    </row>
    <row r="1048" spans="25:25" x14ac:dyDescent="0.25">
      <c r="Y1048" s="2"/>
    </row>
    <row r="1049" spans="25:25" x14ac:dyDescent="0.25">
      <c r="Y1049" s="2"/>
    </row>
    <row r="1050" spans="25:25" x14ac:dyDescent="0.25">
      <c r="Y1050" s="2"/>
    </row>
    <row r="1051" spans="25:25" x14ac:dyDescent="0.25">
      <c r="Y1051" s="2"/>
    </row>
    <row r="1052" spans="25:25" x14ac:dyDescent="0.25">
      <c r="Y1052" s="2"/>
    </row>
    <row r="1053" spans="25:25" x14ac:dyDescent="0.25">
      <c r="Y1053" s="2"/>
    </row>
    <row r="1054" spans="25:25" x14ac:dyDescent="0.25">
      <c r="Y1054" s="2"/>
    </row>
    <row r="1055" spans="25:25" x14ac:dyDescent="0.25">
      <c r="Y1055" s="2"/>
    </row>
    <row r="1056" spans="25:25" x14ac:dyDescent="0.25">
      <c r="Y1056" s="2"/>
    </row>
    <row r="1057" spans="25:25" x14ac:dyDescent="0.25">
      <c r="Y1057" s="2"/>
    </row>
    <row r="1058" spans="25:25" x14ac:dyDescent="0.25">
      <c r="Y1058" s="2"/>
    </row>
    <row r="1059" spans="25:25" x14ac:dyDescent="0.25">
      <c r="Y1059" s="2"/>
    </row>
    <row r="1060" spans="25:25" x14ac:dyDescent="0.25">
      <c r="Y1060" s="2"/>
    </row>
    <row r="1061" spans="25:25" x14ac:dyDescent="0.25">
      <c r="Y1061" s="2"/>
    </row>
    <row r="1062" spans="25:25" x14ac:dyDescent="0.25">
      <c r="Y1062" s="2"/>
    </row>
    <row r="1063" spans="25:25" x14ac:dyDescent="0.25">
      <c r="Y1063" s="2"/>
    </row>
    <row r="1064" spans="25:25" x14ac:dyDescent="0.25">
      <c r="Y1064" s="2"/>
    </row>
    <row r="1065" spans="25:25" x14ac:dyDescent="0.25">
      <c r="Y1065" s="2"/>
    </row>
    <row r="1066" spans="25:25" x14ac:dyDescent="0.25">
      <c r="Y1066" s="2"/>
    </row>
    <row r="1067" spans="25:25" x14ac:dyDescent="0.25">
      <c r="Y1067" s="2"/>
    </row>
    <row r="1068" spans="25:25" x14ac:dyDescent="0.25">
      <c r="Y1068" s="2"/>
    </row>
    <row r="1069" spans="25:25" x14ac:dyDescent="0.25">
      <c r="Y1069" s="2"/>
    </row>
    <row r="1070" spans="25:25" x14ac:dyDescent="0.25">
      <c r="Y1070" s="2"/>
    </row>
    <row r="1071" spans="25:25" x14ac:dyDescent="0.25">
      <c r="Y1071" s="2"/>
    </row>
    <row r="1072" spans="25:25" x14ac:dyDescent="0.25">
      <c r="Y1072" s="2"/>
    </row>
    <row r="1073" spans="25:25" x14ac:dyDescent="0.25">
      <c r="Y1073" s="2"/>
    </row>
    <row r="1074" spans="25:25" x14ac:dyDescent="0.25">
      <c r="Y1074" s="2"/>
    </row>
    <row r="1075" spans="25:25" x14ac:dyDescent="0.25">
      <c r="Y1075" s="2"/>
    </row>
    <row r="1076" spans="25:25" x14ac:dyDescent="0.25">
      <c r="Y1076" s="2"/>
    </row>
    <row r="1077" spans="25:25" x14ac:dyDescent="0.25">
      <c r="Y1077" s="2"/>
    </row>
    <row r="1078" spans="25:25" x14ac:dyDescent="0.25">
      <c r="Y1078" s="2"/>
    </row>
    <row r="1079" spans="25:25" x14ac:dyDescent="0.25">
      <c r="Y1079" s="2"/>
    </row>
    <row r="1080" spans="25:25" x14ac:dyDescent="0.25">
      <c r="Y1080" s="2"/>
    </row>
    <row r="1081" spans="25:25" x14ac:dyDescent="0.25">
      <c r="Y1081" s="2"/>
    </row>
    <row r="1082" spans="25:25" x14ac:dyDescent="0.25">
      <c r="Y1082" s="2"/>
    </row>
    <row r="1083" spans="25:25" x14ac:dyDescent="0.25">
      <c r="Y1083" s="2"/>
    </row>
    <row r="1084" spans="25:25" x14ac:dyDescent="0.25">
      <c r="Y1084" s="2"/>
    </row>
    <row r="1085" spans="25:25" x14ac:dyDescent="0.25">
      <c r="Y1085" s="2"/>
    </row>
    <row r="1086" spans="25:25" x14ac:dyDescent="0.25">
      <c r="Y1086" s="2"/>
    </row>
    <row r="1087" spans="25:25" x14ac:dyDescent="0.25">
      <c r="Y1087" s="2"/>
    </row>
    <row r="1088" spans="25:25" x14ac:dyDescent="0.25">
      <c r="Y1088" s="2"/>
    </row>
    <row r="1089" spans="25:25" x14ac:dyDescent="0.25">
      <c r="Y1089" s="2"/>
    </row>
    <row r="1090" spans="25:25" x14ac:dyDescent="0.25">
      <c r="Y1090" s="2"/>
    </row>
    <row r="1091" spans="25:25" x14ac:dyDescent="0.25">
      <c r="Y1091" s="2"/>
    </row>
    <row r="1092" spans="25:25" x14ac:dyDescent="0.25">
      <c r="Y1092" s="2"/>
    </row>
    <row r="1093" spans="25:25" x14ac:dyDescent="0.25">
      <c r="Y1093" s="2"/>
    </row>
    <row r="1094" spans="25:25" x14ac:dyDescent="0.25">
      <c r="Y1094" s="2"/>
    </row>
    <row r="1095" spans="25:25" x14ac:dyDescent="0.25">
      <c r="Y1095" s="2"/>
    </row>
    <row r="1096" spans="25:25" x14ac:dyDescent="0.25">
      <c r="Y1096" s="2"/>
    </row>
    <row r="1097" spans="25:25" x14ac:dyDescent="0.25">
      <c r="Y1097" s="2"/>
    </row>
    <row r="1098" spans="25:25" x14ac:dyDescent="0.25">
      <c r="Y1098" s="2"/>
    </row>
    <row r="1099" spans="25:25" x14ac:dyDescent="0.25">
      <c r="Y1099" s="2"/>
    </row>
    <row r="1100" spans="25:25" x14ac:dyDescent="0.25">
      <c r="Y1100" s="2"/>
    </row>
    <row r="1101" spans="25:25" x14ac:dyDescent="0.25">
      <c r="Y1101" s="2"/>
    </row>
    <row r="1102" spans="25:25" x14ac:dyDescent="0.25">
      <c r="Y1102" s="2"/>
    </row>
    <row r="1103" spans="25:25" x14ac:dyDescent="0.25">
      <c r="Y1103" s="2"/>
    </row>
    <row r="1104" spans="25:25" x14ac:dyDescent="0.25">
      <c r="Y1104" s="2"/>
    </row>
    <row r="1105" spans="25:25" x14ac:dyDescent="0.25">
      <c r="Y1105" s="2"/>
    </row>
    <row r="1106" spans="25:25" x14ac:dyDescent="0.25">
      <c r="Y1106" s="2"/>
    </row>
    <row r="1107" spans="25:25" x14ac:dyDescent="0.25">
      <c r="Y1107" s="2"/>
    </row>
    <row r="1108" spans="25:25" x14ac:dyDescent="0.25">
      <c r="Y1108" s="2"/>
    </row>
    <row r="1109" spans="25:25" x14ac:dyDescent="0.25">
      <c r="Y1109" s="2"/>
    </row>
    <row r="1110" spans="25:25" x14ac:dyDescent="0.25">
      <c r="Y1110" s="2"/>
    </row>
    <row r="1111" spans="25:25" x14ac:dyDescent="0.25">
      <c r="Y1111" s="2"/>
    </row>
    <row r="1112" spans="25:25" x14ac:dyDescent="0.25">
      <c r="Y1112" s="2"/>
    </row>
    <row r="1113" spans="25:25" x14ac:dyDescent="0.25">
      <c r="Y1113" s="2"/>
    </row>
    <row r="1114" spans="25:25" x14ac:dyDescent="0.25">
      <c r="Y1114" s="2"/>
    </row>
    <row r="1115" spans="25:25" x14ac:dyDescent="0.25">
      <c r="Y1115" s="2"/>
    </row>
    <row r="1116" spans="25:25" x14ac:dyDescent="0.25">
      <c r="Y1116" s="2"/>
    </row>
    <row r="1117" spans="25:25" x14ac:dyDescent="0.25">
      <c r="Y1117" s="2"/>
    </row>
    <row r="1118" spans="25:25" x14ac:dyDescent="0.25">
      <c r="Y1118" s="2"/>
    </row>
    <row r="1119" spans="25:25" x14ac:dyDescent="0.25">
      <c r="Y1119" s="2"/>
    </row>
    <row r="1120" spans="25:25" x14ac:dyDescent="0.25">
      <c r="Y1120" s="2"/>
    </row>
    <row r="1121" spans="25:25" x14ac:dyDescent="0.25">
      <c r="Y1121" s="2"/>
    </row>
    <row r="1122" spans="25:25" x14ac:dyDescent="0.25">
      <c r="Y1122" s="2"/>
    </row>
    <row r="1123" spans="25:25" x14ac:dyDescent="0.25">
      <c r="Y1123" s="2"/>
    </row>
    <row r="1124" spans="25:25" x14ac:dyDescent="0.25">
      <c r="Y1124" s="2"/>
    </row>
    <row r="1125" spans="25:25" x14ac:dyDescent="0.25">
      <c r="Y1125" s="2"/>
    </row>
    <row r="1126" spans="25:25" x14ac:dyDescent="0.25">
      <c r="Y1126" s="2"/>
    </row>
    <row r="1127" spans="25:25" x14ac:dyDescent="0.25">
      <c r="Y1127" s="2"/>
    </row>
    <row r="1128" spans="25:25" x14ac:dyDescent="0.25">
      <c r="Y1128" s="2"/>
    </row>
    <row r="1129" spans="25:25" x14ac:dyDescent="0.25">
      <c r="Y1129" s="2"/>
    </row>
    <row r="1130" spans="25:25" x14ac:dyDescent="0.25">
      <c r="Y1130" s="2"/>
    </row>
    <row r="1131" spans="25:25" x14ac:dyDescent="0.25">
      <c r="Y1131" s="2"/>
    </row>
    <row r="1132" spans="25:25" x14ac:dyDescent="0.25">
      <c r="Y1132" s="2"/>
    </row>
    <row r="1133" spans="25:25" x14ac:dyDescent="0.25">
      <c r="Y1133" s="2"/>
    </row>
    <row r="1134" spans="25:25" x14ac:dyDescent="0.25">
      <c r="Y1134" s="2"/>
    </row>
    <row r="1135" spans="25:25" x14ac:dyDescent="0.25">
      <c r="Y1135" s="2"/>
    </row>
    <row r="1136" spans="25:25" x14ac:dyDescent="0.25">
      <c r="Y1136" s="2"/>
    </row>
    <row r="1137" spans="25:25" x14ac:dyDescent="0.25">
      <c r="Y1137" s="2"/>
    </row>
    <row r="1138" spans="25:25" x14ac:dyDescent="0.25">
      <c r="Y1138" s="2"/>
    </row>
    <row r="1139" spans="25:25" x14ac:dyDescent="0.25">
      <c r="Y1139" s="2"/>
    </row>
    <row r="1140" spans="25:25" x14ac:dyDescent="0.25">
      <c r="Y1140" s="2"/>
    </row>
    <row r="1141" spans="25:25" x14ac:dyDescent="0.25">
      <c r="Y1141" s="2"/>
    </row>
    <row r="1142" spans="25:25" x14ac:dyDescent="0.25">
      <c r="Y1142" s="2"/>
    </row>
    <row r="1143" spans="25:25" x14ac:dyDescent="0.25">
      <c r="Y1143" s="2"/>
    </row>
    <row r="1144" spans="25:25" x14ac:dyDescent="0.25">
      <c r="Y1144" s="2"/>
    </row>
    <row r="1145" spans="25:25" x14ac:dyDescent="0.25">
      <c r="Y1145" s="2"/>
    </row>
    <row r="1146" spans="25:25" x14ac:dyDescent="0.25">
      <c r="Y1146" s="2"/>
    </row>
    <row r="1147" spans="25:25" x14ac:dyDescent="0.25">
      <c r="Y1147" s="2"/>
    </row>
    <row r="1148" spans="25:25" x14ac:dyDescent="0.25">
      <c r="Y1148" s="2"/>
    </row>
    <row r="1149" spans="25:25" x14ac:dyDescent="0.25">
      <c r="Y1149" s="2"/>
    </row>
    <row r="1150" spans="25:25" x14ac:dyDescent="0.25">
      <c r="Y1150" s="2"/>
    </row>
    <row r="1151" spans="25:25" x14ac:dyDescent="0.25">
      <c r="Y1151" s="2"/>
    </row>
    <row r="1152" spans="25:25" x14ac:dyDescent="0.25">
      <c r="Y1152" s="2"/>
    </row>
    <row r="1153" spans="25:25" x14ac:dyDescent="0.25">
      <c r="Y1153" s="2"/>
    </row>
    <row r="1154" spans="25:25" x14ac:dyDescent="0.25">
      <c r="Y1154" s="2"/>
    </row>
    <row r="1155" spans="25:25" x14ac:dyDescent="0.25">
      <c r="Y1155" s="2"/>
    </row>
    <row r="1156" spans="25:25" x14ac:dyDescent="0.25">
      <c r="Y1156" s="2"/>
    </row>
    <row r="1157" spans="25:25" x14ac:dyDescent="0.25">
      <c r="Y1157" s="2"/>
    </row>
    <row r="1158" spans="25:25" x14ac:dyDescent="0.25">
      <c r="Y1158" s="2"/>
    </row>
    <row r="1159" spans="25:25" x14ac:dyDescent="0.25">
      <c r="Y1159" s="2"/>
    </row>
    <row r="1160" spans="25:25" x14ac:dyDescent="0.25">
      <c r="Y1160" s="2"/>
    </row>
    <row r="1161" spans="25:25" x14ac:dyDescent="0.25">
      <c r="Y1161" s="2"/>
    </row>
    <row r="1162" spans="25:25" x14ac:dyDescent="0.25">
      <c r="Y1162" s="2"/>
    </row>
    <row r="1163" spans="25:25" x14ac:dyDescent="0.25">
      <c r="Y1163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K87"/>
  <sheetViews>
    <sheetView workbookViewId="0">
      <selection activeCell="B12" sqref="B12"/>
    </sheetView>
  </sheetViews>
  <sheetFormatPr defaultRowHeight="15" x14ac:dyDescent="0.25"/>
  <cols>
    <col min="1" max="2" width="33" customWidth="1"/>
  </cols>
  <sheetData>
    <row r="1" spans="1:37" ht="20.25" x14ac:dyDescent="0.3">
      <c r="A1" s="39" t="s">
        <v>461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</row>
    <row r="2" spans="1:37" ht="20.25" x14ac:dyDescent="0.3">
      <c r="A2" s="39"/>
      <c r="B2" s="39"/>
      <c r="C2" s="36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2"/>
    </row>
    <row r="3" spans="1:37" ht="63.75" x14ac:dyDescent="0.25">
      <c r="A3" s="44"/>
      <c r="B3" s="44"/>
      <c r="C3" s="45" t="s">
        <v>303</v>
      </c>
      <c r="D3" s="45" t="s">
        <v>215</v>
      </c>
      <c r="E3" s="45" t="s">
        <v>304</v>
      </c>
      <c r="F3" s="45" t="s">
        <v>305</v>
      </c>
      <c r="G3" s="45" t="s">
        <v>306</v>
      </c>
      <c r="H3" s="45" t="s">
        <v>307</v>
      </c>
      <c r="I3" s="45" t="s">
        <v>462</v>
      </c>
      <c r="J3" s="46" t="s">
        <v>309</v>
      </c>
      <c r="K3" s="46" t="s">
        <v>310</v>
      </c>
      <c r="L3" s="45" t="s">
        <v>311</v>
      </c>
      <c r="M3" s="45" t="s">
        <v>312</v>
      </c>
      <c r="N3" s="45" t="s">
        <v>313</v>
      </c>
      <c r="O3" s="45" t="s">
        <v>314</v>
      </c>
      <c r="P3" s="45" t="s">
        <v>315</v>
      </c>
      <c r="Q3" s="45" t="s">
        <v>3</v>
      </c>
      <c r="R3" s="45" t="s">
        <v>316</v>
      </c>
      <c r="S3" s="45" t="s">
        <v>317</v>
      </c>
      <c r="T3" s="45" t="s">
        <v>318</v>
      </c>
      <c r="U3" s="45" t="s">
        <v>319</v>
      </c>
      <c r="V3" s="45" t="s">
        <v>107</v>
      </c>
      <c r="W3" s="45" t="s">
        <v>320</v>
      </c>
      <c r="X3" s="45" t="s">
        <v>321</v>
      </c>
      <c r="Y3" s="45" t="s">
        <v>322</v>
      </c>
      <c r="Z3" s="45" t="s">
        <v>323</v>
      </c>
      <c r="AA3" s="45" t="s">
        <v>324</v>
      </c>
      <c r="AB3" s="45" t="s">
        <v>325</v>
      </c>
      <c r="AC3" s="45" t="s">
        <v>326</v>
      </c>
      <c r="AD3" s="45"/>
      <c r="AE3" s="45" t="s">
        <v>264</v>
      </c>
      <c r="AF3" s="45" t="s">
        <v>11</v>
      </c>
      <c r="AG3" s="45" t="s">
        <v>328</v>
      </c>
      <c r="AH3" s="45" t="s">
        <v>13</v>
      </c>
      <c r="AI3" s="45" t="s">
        <v>463</v>
      </c>
      <c r="AJ3" s="45" t="s">
        <v>329</v>
      </c>
      <c r="AK3" s="47"/>
    </row>
    <row r="4" spans="1:37" x14ac:dyDescent="0.25">
      <c r="A4" s="44"/>
      <c r="B4" s="44"/>
      <c r="C4" s="45"/>
      <c r="D4" s="45"/>
      <c r="E4" s="45"/>
      <c r="F4" s="45"/>
      <c r="G4" s="45"/>
      <c r="H4" s="45"/>
      <c r="I4" s="45"/>
      <c r="J4" s="46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7"/>
    </row>
    <row r="5" spans="1:37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</row>
    <row r="6" spans="1:37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</row>
    <row r="7" spans="1:37" x14ac:dyDescent="0.25">
      <c r="A7" s="51" t="s">
        <v>365</v>
      </c>
      <c r="B7" s="51"/>
      <c r="C7" s="38">
        <v>638024.43000000005</v>
      </c>
      <c r="D7" s="38">
        <v>297748.08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169735.49</v>
      </c>
      <c r="R7" s="38">
        <v>0</v>
      </c>
      <c r="S7" s="38">
        <v>0</v>
      </c>
      <c r="T7" s="38">
        <v>4749.0600000000004</v>
      </c>
      <c r="U7" s="38">
        <v>46014.23</v>
      </c>
      <c r="V7" s="38">
        <v>69.38</v>
      </c>
      <c r="W7" s="38">
        <v>224.9</v>
      </c>
      <c r="X7" s="38">
        <v>19646.52</v>
      </c>
      <c r="Y7" s="38">
        <v>13840.53</v>
      </c>
      <c r="Z7" s="38">
        <v>22491.62</v>
      </c>
      <c r="AA7" s="38">
        <v>2616.81</v>
      </c>
      <c r="AB7" s="38">
        <v>7626.85</v>
      </c>
      <c r="AC7" s="38">
        <v>9146.16</v>
      </c>
      <c r="AD7" s="38"/>
      <c r="AE7" s="38">
        <v>34979.49</v>
      </c>
      <c r="AF7" s="38">
        <v>274.11</v>
      </c>
      <c r="AG7" s="38">
        <v>8861.19</v>
      </c>
      <c r="AH7" s="38">
        <v>0</v>
      </c>
      <c r="AI7" s="38">
        <v>0</v>
      </c>
      <c r="AJ7" s="38">
        <v>0</v>
      </c>
      <c r="AK7" s="52"/>
    </row>
    <row r="8" spans="1:37" x14ac:dyDescent="0.25">
      <c r="A8" s="51" t="s">
        <v>367</v>
      </c>
      <c r="B8" s="51"/>
      <c r="C8" s="38">
        <v>39.450000000000003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39.450000000000003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50"/>
    </row>
    <row r="9" spans="1:37" x14ac:dyDescent="0.25">
      <c r="A9" s="51" t="s">
        <v>369</v>
      </c>
      <c r="B9" s="51"/>
      <c r="C9" s="38">
        <v>767420.18</v>
      </c>
      <c r="D9" s="38">
        <v>164893.35</v>
      </c>
      <c r="E9" s="38">
        <v>0</v>
      </c>
      <c r="F9" s="38">
        <v>0</v>
      </c>
      <c r="G9" s="38">
        <v>1449.41</v>
      </c>
      <c r="H9" s="38">
        <v>115.34</v>
      </c>
      <c r="I9" s="38">
        <v>21654.39</v>
      </c>
      <c r="J9" s="38">
        <v>0</v>
      </c>
      <c r="K9" s="38">
        <v>46091.45</v>
      </c>
      <c r="L9" s="38">
        <v>160090.32999999999</v>
      </c>
      <c r="M9" s="38">
        <v>138704.82999999999</v>
      </c>
      <c r="N9" s="38">
        <v>0</v>
      </c>
      <c r="O9" s="38">
        <v>7660.72</v>
      </c>
      <c r="P9" s="38">
        <v>10742.37</v>
      </c>
      <c r="Q9" s="38">
        <v>25616.33</v>
      </c>
      <c r="R9" s="38">
        <v>70108.2</v>
      </c>
      <c r="S9" s="38">
        <v>324.27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6513.19</v>
      </c>
      <c r="Z9" s="38">
        <v>2610.63</v>
      </c>
      <c r="AA9" s="38">
        <v>41323.56</v>
      </c>
      <c r="AB9" s="38">
        <v>0</v>
      </c>
      <c r="AC9" s="38">
        <v>0</v>
      </c>
      <c r="AD9" s="38"/>
      <c r="AE9" s="38">
        <v>5490.17</v>
      </c>
      <c r="AF9" s="38">
        <v>9988.2199999999993</v>
      </c>
      <c r="AG9" s="38">
        <v>0</v>
      </c>
      <c r="AH9" s="38">
        <v>53915.25</v>
      </c>
      <c r="AI9" s="38">
        <v>128.15</v>
      </c>
      <c r="AJ9" s="38">
        <v>0</v>
      </c>
      <c r="AK9" s="52"/>
    </row>
    <row r="10" spans="1:37" x14ac:dyDescent="0.25">
      <c r="A10" s="51" t="s">
        <v>371</v>
      </c>
      <c r="B10" s="51"/>
      <c r="C10" s="38">
        <v>-660281.31000000006</v>
      </c>
      <c r="D10" s="38">
        <v>-166713.97</v>
      </c>
      <c r="E10" s="38">
        <v>-17384.490000000002</v>
      </c>
      <c r="F10" s="38">
        <v>0</v>
      </c>
      <c r="G10" s="38">
        <v>-3590.71</v>
      </c>
      <c r="H10" s="38">
        <v>-49.2</v>
      </c>
      <c r="I10" s="38">
        <v>-47614.89</v>
      </c>
      <c r="J10" s="38">
        <v>-17.54</v>
      </c>
      <c r="K10" s="38">
        <v>-3606.32</v>
      </c>
      <c r="L10" s="38">
        <v>-120251.42</v>
      </c>
      <c r="M10" s="38">
        <v>-184005.03</v>
      </c>
      <c r="N10" s="38">
        <v>0</v>
      </c>
      <c r="O10" s="38">
        <v>-46.63</v>
      </c>
      <c r="P10" s="38">
        <v>-165.71</v>
      </c>
      <c r="Q10" s="38">
        <v>-79416.399999999994</v>
      </c>
      <c r="R10" s="38">
        <v>-505.91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/>
      <c r="AE10" s="38">
        <v>0</v>
      </c>
      <c r="AF10" s="38">
        <v>-1203.3800000000001</v>
      </c>
      <c r="AG10" s="38">
        <v>0</v>
      </c>
      <c r="AH10" s="38">
        <v>-35709.71</v>
      </c>
      <c r="AI10" s="38">
        <v>0</v>
      </c>
      <c r="AJ10" s="38">
        <v>0</v>
      </c>
      <c r="AK10" s="52"/>
    </row>
    <row r="11" spans="1:37" x14ac:dyDescent="0.25">
      <c r="A11" s="51" t="s">
        <v>373</v>
      </c>
      <c r="B11" s="51"/>
      <c r="C11" s="38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1642.5</v>
      </c>
      <c r="J11" s="38">
        <v>0</v>
      </c>
      <c r="K11" s="38">
        <v>0</v>
      </c>
      <c r="L11" s="38">
        <v>-12195.12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/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52"/>
    </row>
    <row r="12" spans="1:37" x14ac:dyDescent="0.25">
      <c r="A12" s="51" t="s">
        <v>464</v>
      </c>
      <c r="B12" s="51"/>
      <c r="C12" s="38">
        <v>-28164.83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-17558.64</v>
      </c>
      <c r="M12" s="38">
        <v>-10505.63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/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52"/>
    </row>
    <row r="13" spans="1:37" x14ac:dyDescent="0.25">
      <c r="A13" s="51" t="s">
        <v>377</v>
      </c>
      <c r="B13" s="51"/>
      <c r="C13" s="38">
        <v>-152.04</v>
      </c>
      <c r="D13" s="38">
        <v>-1.51</v>
      </c>
      <c r="E13" s="38">
        <v>-3441.88</v>
      </c>
      <c r="F13" s="38">
        <v>0</v>
      </c>
      <c r="G13" s="38">
        <v>0</v>
      </c>
      <c r="H13" s="38">
        <v>0</v>
      </c>
      <c r="I13" s="38">
        <v>-19.14</v>
      </c>
      <c r="J13" s="38">
        <v>20.5</v>
      </c>
      <c r="K13" s="38">
        <v>-1463.51</v>
      </c>
      <c r="L13" s="38">
        <v>1547.64</v>
      </c>
      <c r="M13" s="38">
        <v>3178.87</v>
      </c>
      <c r="N13" s="38">
        <v>0</v>
      </c>
      <c r="O13" s="38">
        <v>0</v>
      </c>
      <c r="P13" s="38">
        <v>2.35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/>
      <c r="AE13" s="38">
        <v>0</v>
      </c>
      <c r="AF13" s="38">
        <v>24.64</v>
      </c>
      <c r="AG13" s="38">
        <v>0</v>
      </c>
      <c r="AH13" s="38">
        <v>0</v>
      </c>
      <c r="AI13" s="38">
        <v>0</v>
      </c>
      <c r="AJ13" s="38">
        <v>0</v>
      </c>
      <c r="AK13" s="52"/>
    </row>
    <row r="14" spans="1:37" x14ac:dyDescent="0.25">
      <c r="A14" s="51" t="s">
        <v>379</v>
      </c>
      <c r="B14" s="51"/>
      <c r="C14" s="38"/>
      <c r="D14" s="38">
        <v>1141.95</v>
      </c>
      <c r="E14" s="38">
        <v>2284.58</v>
      </c>
      <c r="F14" s="38">
        <v>0</v>
      </c>
      <c r="G14" s="38">
        <v>82.39</v>
      </c>
      <c r="H14" s="38">
        <v>-11.97</v>
      </c>
      <c r="I14" s="38">
        <v>488.09</v>
      </c>
      <c r="J14" s="38">
        <v>0</v>
      </c>
      <c r="K14" s="38">
        <v>-4958.62</v>
      </c>
      <c r="L14" s="38">
        <v>647.01</v>
      </c>
      <c r="M14" s="38">
        <v>7891.63</v>
      </c>
      <c r="N14" s="38">
        <v>0</v>
      </c>
      <c r="O14" s="38">
        <v>5.78</v>
      </c>
      <c r="P14" s="38">
        <v>-11.74</v>
      </c>
      <c r="Q14" s="38">
        <v>4563.88</v>
      </c>
      <c r="R14" s="38">
        <v>12677.42</v>
      </c>
      <c r="S14" s="38">
        <v>26.39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8">
        <v>453.62</v>
      </c>
      <c r="AG14" s="38">
        <v>0</v>
      </c>
      <c r="AH14" s="38">
        <v>0</v>
      </c>
      <c r="AI14" s="38">
        <v>0</v>
      </c>
      <c r="AJ14" s="38">
        <v>0</v>
      </c>
      <c r="AK14" s="52"/>
    </row>
    <row r="15" spans="1:37" x14ac:dyDescent="0.25">
      <c r="A15" s="48" t="s">
        <v>381</v>
      </c>
      <c r="B15" s="48"/>
      <c r="C15" s="38" t="s">
        <v>387</v>
      </c>
      <c r="D15" s="38">
        <v>3689.49</v>
      </c>
      <c r="E15" s="38">
        <v>-312.73</v>
      </c>
      <c r="F15" s="38">
        <v>0</v>
      </c>
      <c r="G15" s="38">
        <v>148.01</v>
      </c>
      <c r="H15" s="38">
        <v>-5.29</v>
      </c>
      <c r="I15" s="38">
        <v>-912.42</v>
      </c>
      <c r="J15" s="38">
        <v>0</v>
      </c>
      <c r="K15" s="38">
        <v>-33.299999999999997</v>
      </c>
      <c r="L15" s="38">
        <v>679.14</v>
      </c>
      <c r="M15" s="38">
        <v>470.86</v>
      </c>
      <c r="N15" s="38">
        <v>0</v>
      </c>
      <c r="O15" s="38">
        <v>-38.81</v>
      </c>
      <c r="P15" s="38">
        <v>7.44</v>
      </c>
      <c r="Q15" s="38">
        <v>2082</v>
      </c>
      <c r="R15" s="38">
        <v>5552.49</v>
      </c>
      <c r="S15" s="38">
        <v>-37.159999999999997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/>
      <c r="AE15" s="38">
        <v>0</v>
      </c>
      <c r="AF15" s="38">
        <v>-161.49</v>
      </c>
      <c r="AG15" s="38">
        <v>0</v>
      </c>
      <c r="AH15" s="38">
        <v>0</v>
      </c>
      <c r="AI15" s="38">
        <v>0</v>
      </c>
      <c r="AJ15" s="38">
        <v>0</v>
      </c>
      <c r="AK15" s="50"/>
    </row>
    <row r="16" spans="1:37" x14ac:dyDescent="0.25">
      <c r="A16" s="48" t="s">
        <v>383</v>
      </c>
      <c r="B16" s="48"/>
      <c r="C16" s="38">
        <v>-21932.83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-21932.83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/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50"/>
    </row>
    <row r="17" spans="1:37" x14ac:dyDescent="0.25">
      <c r="A17" s="48" t="s">
        <v>385</v>
      </c>
      <c r="B17" s="48"/>
      <c r="C17" s="38" t="s">
        <v>387</v>
      </c>
      <c r="D17" s="38" t="s">
        <v>387</v>
      </c>
      <c r="E17" s="38" t="s">
        <v>387</v>
      </c>
      <c r="F17" s="38" t="s">
        <v>387</v>
      </c>
      <c r="G17" s="38" t="s">
        <v>387</v>
      </c>
      <c r="H17" s="38" t="s">
        <v>387</v>
      </c>
      <c r="I17" s="38" t="s">
        <v>387</v>
      </c>
      <c r="J17" s="38" t="s">
        <v>387</v>
      </c>
      <c r="K17" s="38" t="s">
        <v>387</v>
      </c>
      <c r="L17" s="38" t="s">
        <v>387</v>
      </c>
      <c r="M17" s="38" t="s">
        <v>387</v>
      </c>
      <c r="N17" s="38" t="s">
        <v>387</v>
      </c>
      <c r="O17" s="38" t="s">
        <v>387</v>
      </c>
      <c r="P17" s="38" t="s">
        <v>387</v>
      </c>
      <c r="Q17" s="38" t="s">
        <v>387</v>
      </c>
      <c r="R17" s="38" t="s">
        <v>387</v>
      </c>
      <c r="S17" s="38" t="s">
        <v>387</v>
      </c>
      <c r="T17" s="38" t="s">
        <v>387</v>
      </c>
      <c r="U17" s="38" t="s">
        <v>387</v>
      </c>
      <c r="V17" s="38" t="s">
        <v>387</v>
      </c>
      <c r="W17" s="38" t="s">
        <v>387</v>
      </c>
      <c r="X17" s="38" t="s">
        <v>387</v>
      </c>
      <c r="Y17" s="38" t="s">
        <v>387</v>
      </c>
      <c r="Z17" s="38" t="s">
        <v>387</v>
      </c>
      <c r="AA17" s="38" t="s">
        <v>387</v>
      </c>
      <c r="AB17" s="38" t="s">
        <v>387</v>
      </c>
      <c r="AC17" s="38"/>
      <c r="AD17" s="38"/>
      <c r="AE17" s="38" t="s">
        <v>387</v>
      </c>
      <c r="AF17" s="38" t="s">
        <v>387</v>
      </c>
      <c r="AG17" s="38" t="s">
        <v>387</v>
      </c>
      <c r="AH17" s="38" t="s">
        <v>387</v>
      </c>
      <c r="AI17" s="38" t="s">
        <v>387</v>
      </c>
      <c r="AJ17" s="38" t="s">
        <v>387</v>
      </c>
      <c r="AK17" s="50"/>
    </row>
    <row r="18" spans="1:37" x14ac:dyDescent="0.25">
      <c r="A18" s="51" t="s">
        <v>388</v>
      </c>
      <c r="B18" s="51"/>
      <c r="C18" s="38"/>
      <c r="D18" s="38">
        <v>-300757.39</v>
      </c>
      <c r="E18" s="38">
        <v>18854.53</v>
      </c>
      <c r="F18" s="38">
        <v>14916.3</v>
      </c>
      <c r="G18" s="38">
        <v>4333.38</v>
      </c>
      <c r="H18" s="38">
        <v>0</v>
      </c>
      <c r="I18" s="38">
        <v>81988.02</v>
      </c>
      <c r="J18" s="38">
        <v>0</v>
      </c>
      <c r="K18" s="38">
        <v>5664.81</v>
      </c>
      <c r="L18" s="38">
        <v>129279.75</v>
      </c>
      <c r="M18" s="38">
        <v>48371.14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52"/>
    </row>
    <row r="19" spans="1:37" x14ac:dyDescent="0.25">
      <c r="A19" s="51" t="s">
        <v>390</v>
      </c>
      <c r="B19" s="51"/>
      <c r="C19" s="38"/>
      <c r="D19" s="38">
        <v>0</v>
      </c>
      <c r="E19" s="38">
        <v>0</v>
      </c>
      <c r="F19" s="38">
        <v>-13305.39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-505.12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/>
      <c r="AE19" s="38">
        <v>0</v>
      </c>
      <c r="AF19" s="38">
        <v>0</v>
      </c>
      <c r="AG19" s="38">
        <v>0</v>
      </c>
      <c r="AH19" s="38">
        <v>-1087.04</v>
      </c>
      <c r="AI19" s="38">
        <v>-577.66999999999996</v>
      </c>
      <c r="AJ19" s="38">
        <v>0</v>
      </c>
      <c r="AK19" s="52"/>
    </row>
    <row r="20" spans="1:37" x14ac:dyDescent="0.25">
      <c r="A20" s="48" t="s">
        <v>392</v>
      </c>
      <c r="B20" s="48"/>
      <c r="C20" s="38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/>
      <c r="AE20" s="38">
        <v>0</v>
      </c>
      <c r="AF20" s="38">
        <v>0</v>
      </c>
      <c r="AG20" s="38">
        <v>0</v>
      </c>
      <c r="AH20" s="38">
        <v>-1978.5</v>
      </c>
      <c r="AI20" s="38">
        <v>0</v>
      </c>
      <c r="AJ20" s="38">
        <v>0</v>
      </c>
      <c r="AK20" s="50"/>
    </row>
    <row r="21" spans="1:37" x14ac:dyDescent="0.25">
      <c r="A21" s="48" t="s">
        <v>394</v>
      </c>
      <c r="B21" s="48"/>
      <c r="C21" s="38"/>
      <c r="D21" s="38" t="s">
        <v>387</v>
      </c>
      <c r="E21" s="38" t="s">
        <v>387</v>
      </c>
      <c r="F21" s="38" t="s">
        <v>387</v>
      </c>
      <c r="G21" s="38" t="s">
        <v>387</v>
      </c>
      <c r="H21" s="38" t="s">
        <v>387</v>
      </c>
      <c r="I21" s="38" t="s">
        <v>387</v>
      </c>
      <c r="J21" s="38" t="s">
        <v>387</v>
      </c>
      <c r="K21" s="38" t="s">
        <v>387</v>
      </c>
      <c r="L21" s="38" t="s">
        <v>387</v>
      </c>
      <c r="M21" s="38" t="s">
        <v>387</v>
      </c>
      <c r="N21" s="38" t="s">
        <v>387</v>
      </c>
      <c r="O21" s="38" t="s">
        <v>387</v>
      </c>
      <c r="P21" s="38" t="s">
        <v>387</v>
      </c>
      <c r="Q21" s="38" t="s">
        <v>387</v>
      </c>
      <c r="R21" s="38" t="s">
        <v>387</v>
      </c>
      <c r="S21" s="38" t="s">
        <v>387</v>
      </c>
      <c r="T21" s="38" t="s">
        <v>387</v>
      </c>
      <c r="U21" s="38" t="s">
        <v>387</v>
      </c>
      <c r="V21" s="38" t="s">
        <v>387</v>
      </c>
      <c r="W21" s="38" t="s">
        <v>387</v>
      </c>
      <c r="X21" s="38" t="s">
        <v>387</v>
      </c>
      <c r="Y21" s="38" t="s">
        <v>387</v>
      </c>
      <c r="Z21" s="38" t="s">
        <v>387</v>
      </c>
      <c r="AA21" s="38" t="s">
        <v>387</v>
      </c>
      <c r="AB21" s="38" t="s">
        <v>387</v>
      </c>
      <c r="AC21" s="38"/>
      <c r="AD21" s="38"/>
      <c r="AE21" s="38" t="s">
        <v>387</v>
      </c>
      <c r="AF21" s="38" t="s">
        <v>387</v>
      </c>
      <c r="AG21" s="38" t="s">
        <v>387</v>
      </c>
      <c r="AH21" s="38" t="s">
        <v>387</v>
      </c>
      <c r="AI21" s="38" t="s">
        <v>387</v>
      </c>
      <c r="AJ21" s="38" t="s">
        <v>387</v>
      </c>
      <c r="AK21" s="50"/>
    </row>
    <row r="22" spans="1:37" x14ac:dyDescent="0.25">
      <c r="A22" s="51" t="s">
        <v>396</v>
      </c>
      <c r="B22" s="51"/>
      <c r="C22" s="38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-140.51</v>
      </c>
      <c r="M22" s="38">
        <v>-7.47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38">
        <v>0</v>
      </c>
      <c r="AG22" s="38">
        <v>0</v>
      </c>
      <c r="AH22" s="38">
        <v>39.950000000000003</v>
      </c>
      <c r="AI22" s="38">
        <v>0</v>
      </c>
      <c r="AJ22" s="38">
        <v>0</v>
      </c>
      <c r="AK22" s="52"/>
    </row>
    <row r="23" spans="1:37" x14ac:dyDescent="0.25">
      <c r="A23" s="51" t="s">
        <v>398</v>
      </c>
      <c r="B23" s="51"/>
      <c r="C23" s="38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 t="s">
        <v>387</v>
      </c>
      <c r="M23" s="38" t="s">
        <v>387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/>
      <c r="AE23" s="38">
        <v>0</v>
      </c>
      <c r="AF23" s="38">
        <v>0</v>
      </c>
      <c r="AG23" s="38">
        <v>0</v>
      </c>
      <c r="AH23" s="38">
        <v>-2.83</v>
      </c>
      <c r="AI23" s="38">
        <v>0</v>
      </c>
      <c r="AJ23" s="38">
        <v>0</v>
      </c>
      <c r="AK23" s="52"/>
    </row>
    <row r="24" spans="1:37" x14ac:dyDescent="0.25">
      <c r="A24" s="48" t="s">
        <v>399</v>
      </c>
      <c r="B24" s="48"/>
      <c r="C24" s="38"/>
      <c r="D24" s="38" t="s">
        <v>387</v>
      </c>
      <c r="E24" s="38" t="s">
        <v>387</v>
      </c>
      <c r="F24" s="38" t="s">
        <v>387</v>
      </c>
      <c r="G24" s="38" t="s">
        <v>387</v>
      </c>
      <c r="H24" s="38" t="s">
        <v>387</v>
      </c>
      <c r="I24" s="38" t="s">
        <v>387</v>
      </c>
      <c r="J24" s="38" t="s">
        <v>387</v>
      </c>
      <c r="K24" s="38" t="s">
        <v>387</v>
      </c>
      <c r="L24" s="38" t="s">
        <v>387</v>
      </c>
      <c r="M24" s="38" t="s">
        <v>387</v>
      </c>
      <c r="N24" s="38" t="s">
        <v>387</v>
      </c>
      <c r="O24" s="38" t="s">
        <v>387</v>
      </c>
      <c r="P24" s="38" t="s">
        <v>387</v>
      </c>
      <c r="Q24" s="38" t="s">
        <v>387</v>
      </c>
      <c r="R24" s="38" t="s">
        <v>387</v>
      </c>
      <c r="S24" s="38" t="s">
        <v>387</v>
      </c>
      <c r="T24" s="38" t="s">
        <v>387</v>
      </c>
      <c r="U24" s="38" t="s">
        <v>387</v>
      </c>
      <c r="V24" s="38" t="s">
        <v>387</v>
      </c>
      <c r="W24" s="38" t="s">
        <v>387</v>
      </c>
      <c r="X24" s="38" t="s">
        <v>387</v>
      </c>
      <c r="Y24" s="38" t="s">
        <v>387</v>
      </c>
      <c r="Z24" s="38" t="s">
        <v>387</v>
      </c>
      <c r="AA24" s="38" t="s">
        <v>387</v>
      </c>
      <c r="AB24" s="38" t="s">
        <v>387</v>
      </c>
      <c r="AC24" s="38"/>
      <c r="AD24" s="38"/>
      <c r="AE24" s="38" t="s">
        <v>387</v>
      </c>
      <c r="AF24" s="38" t="s">
        <v>387</v>
      </c>
      <c r="AG24" s="38" t="s">
        <v>387</v>
      </c>
      <c r="AH24" s="38" t="s">
        <v>387</v>
      </c>
      <c r="AI24" s="38" t="s">
        <v>387</v>
      </c>
      <c r="AJ24" s="38" t="s">
        <v>387</v>
      </c>
      <c r="AK24" s="50"/>
    </row>
    <row r="25" spans="1:37" x14ac:dyDescent="0.25">
      <c r="A25" s="51" t="s">
        <v>396</v>
      </c>
      <c r="B25" s="51"/>
      <c r="C25" s="38"/>
      <c r="D25" s="38">
        <v>0</v>
      </c>
      <c r="E25" s="38">
        <v>0</v>
      </c>
      <c r="F25" s="38">
        <v>0</v>
      </c>
      <c r="G25" s="38">
        <v>-0.16</v>
      </c>
      <c r="H25" s="38">
        <v>0</v>
      </c>
      <c r="I25" s="38">
        <v>0</v>
      </c>
      <c r="J25" s="38">
        <v>0</v>
      </c>
      <c r="K25" s="38">
        <v>0</v>
      </c>
      <c r="L25" s="38">
        <v>-30.41</v>
      </c>
      <c r="M25" s="38">
        <v>-1088.5999999999999</v>
      </c>
      <c r="N25" s="38">
        <v>0</v>
      </c>
      <c r="O25" s="38">
        <v>0</v>
      </c>
      <c r="P25" s="38">
        <v>0</v>
      </c>
      <c r="Q25" s="38">
        <v>-10162.85</v>
      </c>
      <c r="R25" s="38">
        <v>-82909.09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-5495.43</v>
      </c>
      <c r="Y25" s="38">
        <v>-4833.05</v>
      </c>
      <c r="Z25" s="38">
        <v>0</v>
      </c>
      <c r="AA25" s="38">
        <v>-24696.38</v>
      </c>
      <c r="AB25" s="38">
        <v>-1508.79</v>
      </c>
      <c r="AC25" s="38">
        <v>-327.94</v>
      </c>
      <c r="AD25" s="38"/>
      <c r="AE25" s="38">
        <v>0</v>
      </c>
      <c r="AF25" s="38">
        <v>0</v>
      </c>
      <c r="AG25" s="38">
        <v>0</v>
      </c>
      <c r="AH25" s="38">
        <v>46062.07</v>
      </c>
      <c r="AI25" s="38">
        <v>52395.89</v>
      </c>
      <c r="AJ25" s="38">
        <v>0</v>
      </c>
      <c r="AK25" s="50"/>
    </row>
    <row r="26" spans="1:37" x14ac:dyDescent="0.25">
      <c r="A26" s="51" t="s">
        <v>398</v>
      </c>
      <c r="B26" s="51"/>
      <c r="C26" s="38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 t="s">
        <v>387</v>
      </c>
      <c r="M26" s="38" t="s">
        <v>387</v>
      </c>
      <c r="N26" s="38" t="s">
        <v>387</v>
      </c>
      <c r="O26" s="38" t="s">
        <v>387</v>
      </c>
      <c r="P26" s="38" t="s">
        <v>387</v>
      </c>
      <c r="Q26" s="38" t="s">
        <v>387</v>
      </c>
      <c r="R26" s="38" t="s">
        <v>387</v>
      </c>
      <c r="S26" s="38" t="s">
        <v>387</v>
      </c>
      <c r="T26" s="38" t="s">
        <v>387</v>
      </c>
      <c r="U26" s="38" t="s">
        <v>387</v>
      </c>
      <c r="V26" s="38" t="s">
        <v>387</v>
      </c>
      <c r="W26" s="38" t="s">
        <v>387</v>
      </c>
      <c r="X26" s="38" t="s">
        <v>387</v>
      </c>
      <c r="Y26" s="38" t="s">
        <v>387</v>
      </c>
      <c r="Z26" s="38" t="s">
        <v>387</v>
      </c>
      <c r="AA26" s="38" t="s">
        <v>387</v>
      </c>
      <c r="AB26" s="38" t="s">
        <v>387</v>
      </c>
      <c r="AC26" s="38"/>
      <c r="AD26" s="38"/>
      <c r="AE26" s="38" t="s">
        <v>387</v>
      </c>
      <c r="AF26" s="38" t="s">
        <v>387</v>
      </c>
      <c r="AG26" s="38" t="s">
        <v>387</v>
      </c>
      <c r="AH26" s="38">
        <v>-4830.6099999999997</v>
      </c>
      <c r="AI26" s="38">
        <v>0</v>
      </c>
      <c r="AJ26" s="38">
        <v>0</v>
      </c>
      <c r="AK26" s="52"/>
    </row>
    <row r="27" spans="1:37" x14ac:dyDescent="0.25">
      <c r="A27" s="48" t="s">
        <v>401</v>
      </c>
      <c r="B27" s="48"/>
      <c r="C27" s="38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-46014.23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/>
      <c r="AE27" s="38">
        <v>0</v>
      </c>
      <c r="AF27" s="38">
        <v>0</v>
      </c>
      <c r="AG27" s="38">
        <v>0</v>
      </c>
      <c r="AH27" s="38">
        <v>46014.23</v>
      </c>
      <c r="AI27" s="38">
        <v>0</v>
      </c>
      <c r="AJ27" s="38">
        <v>0</v>
      </c>
      <c r="AK27" s="50"/>
    </row>
    <row r="28" spans="1:37" x14ac:dyDescent="0.25">
      <c r="A28" s="48" t="s">
        <v>403</v>
      </c>
      <c r="B28" s="48"/>
      <c r="C28" s="38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-69.38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/>
      <c r="AE28" s="38">
        <v>0</v>
      </c>
      <c r="AF28" s="38">
        <v>0</v>
      </c>
      <c r="AG28" s="38">
        <v>0</v>
      </c>
      <c r="AH28" s="38">
        <v>69.38</v>
      </c>
      <c r="AI28" s="38">
        <v>0</v>
      </c>
      <c r="AJ28" s="38">
        <v>0</v>
      </c>
      <c r="AK28" s="50"/>
    </row>
    <row r="29" spans="1:37" x14ac:dyDescent="0.25">
      <c r="A29" s="48" t="s">
        <v>405</v>
      </c>
      <c r="B29" s="48"/>
      <c r="C29" s="38"/>
      <c r="D29" s="38" t="s">
        <v>387</v>
      </c>
      <c r="E29" s="38" t="s">
        <v>387</v>
      </c>
      <c r="F29" s="38" t="s">
        <v>387</v>
      </c>
      <c r="G29" s="38" t="s">
        <v>387</v>
      </c>
      <c r="H29" s="38" t="s">
        <v>387</v>
      </c>
      <c r="I29" s="38" t="s">
        <v>387</v>
      </c>
      <c r="J29" s="38" t="s">
        <v>387</v>
      </c>
      <c r="K29" s="38" t="s">
        <v>387</v>
      </c>
      <c r="L29" s="38" t="s">
        <v>387</v>
      </c>
      <c r="M29" s="38" t="s">
        <v>387</v>
      </c>
      <c r="N29" s="38" t="s">
        <v>387</v>
      </c>
      <c r="O29" s="38" t="s">
        <v>387</v>
      </c>
      <c r="P29" s="38" t="s">
        <v>387</v>
      </c>
      <c r="Q29" s="38" t="s">
        <v>387</v>
      </c>
      <c r="R29" s="38" t="s">
        <v>387</v>
      </c>
      <c r="S29" s="38" t="s">
        <v>387</v>
      </c>
      <c r="T29" s="38" t="s">
        <v>387</v>
      </c>
      <c r="U29" s="38" t="s">
        <v>387</v>
      </c>
      <c r="V29" s="38" t="s">
        <v>387</v>
      </c>
      <c r="W29" s="38" t="s">
        <v>387</v>
      </c>
      <c r="X29" s="38" t="s">
        <v>387</v>
      </c>
      <c r="Y29" s="38" t="s">
        <v>387</v>
      </c>
      <c r="Z29" s="38" t="s">
        <v>387</v>
      </c>
      <c r="AA29" s="38" t="s">
        <v>387</v>
      </c>
      <c r="AB29" s="38" t="s">
        <v>387</v>
      </c>
      <c r="AC29" s="38"/>
      <c r="AD29" s="38"/>
      <c r="AE29" s="38" t="s">
        <v>387</v>
      </c>
      <c r="AF29" s="38" t="s">
        <v>387</v>
      </c>
      <c r="AG29" s="38" t="s">
        <v>387</v>
      </c>
      <c r="AH29" s="38" t="s">
        <v>387</v>
      </c>
      <c r="AI29" s="38" t="s">
        <v>387</v>
      </c>
      <c r="AJ29" s="38" t="s">
        <v>387</v>
      </c>
      <c r="AK29" s="50"/>
    </row>
    <row r="30" spans="1:37" x14ac:dyDescent="0.25">
      <c r="A30" s="51" t="s">
        <v>396</v>
      </c>
      <c r="B30" s="51"/>
      <c r="C30" s="38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-55.7</v>
      </c>
      <c r="M30" s="38">
        <v>-7.08</v>
      </c>
      <c r="N30" s="38">
        <v>0</v>
      </c>
      <c r="O30" s="38">
        <v>0</v>
      </c>
      <c r="P30" s="38">
        <v>0</v>
      </c>
      <c r="Q30" s="38">
        <v>-8953.17</v>
      </c>
      <c r="R30" s="38">
        <v>-405.31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-3034.77</v>
      </c>
      <c r="Y30" s="38">
        <v>-4322.3500000000004</v>
      </c>
      <c r="Z30" s="38">
        <v>0</v>
      </c>
      <c r="AA30" s="38">
        <v>-430.31</v>
      </c>
      <c r="AB30" s="38">
        <v>-463.77</v>
      </c>
      <c r="AC30" s="38">
        <v>-3533.63</v>
      </c>
      <c r="AD30" s="38"/>
      <c r="AE30" s="38">
        <v>-8950.02</v>
      </c>
      <c r="AF30" s="38">
        <v>0</v>
      </c>
      <c r="AG30" s="38">
        <v>0</v>
      </c>
      <c r="AH30" s="38">
        <v>8245.36</v>
      </c>
      <c r="AI30" s="38">
        <v>18553.62</v>
      </c>
      <c r="AJ30" s="38">
        <v>0</v>
      </c>
      <c r="AK30" s="52"/>
    </row>
    <row r="31" spans="1:37" x14ac:dyDescent="0.25">
      <c r="A31" s="51" t="s">
        <v>398</v>
      </c>
      <c r="B31" s="51"/>
      <c r="C31" s="38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/>
      <c r="AE31" s="38">
        <v>0</v>
      </c>
      <c r="AF31" s="38">
        <v>0</v>
      </c>
      <c r="AG31" s="38">
        <v>0</v>
      </c>
      <c r="AH31" s="38">
        <v>-479.75</v>
      </c>
      <c r="AI31" s="38">
        <v>-479.87</v>
      </c>
      <c r="AJ31" s="38">
        <v>0</v>
      </c>
      <c r="AK31" s="52"/>
    </row>
    <row r="32" spans="1:37" x14ac:dyDescent="0.25">
      <c r="A32" s="48" t="s">
        <v>409</v>
      </c>
      <c r="B32" s="48"/>
      <c r="C32" s="38"/>
      <c r="D32" s="38" t="s">
        <v>387</v>
      </c>
      <c r="E32" s="38" t="s">
        <v>387</v>
      </c>
      <c r="F32" s="38" t="s">
        <v>387</v>
      </c>
      <c r="G32" s="38" t="s">
        <v>387</v>
      </c>
      <c r="H32" s="38" t="s">
        <v>387</v>
      </c>
      <c r="I32" s="38" t="s">
        <v>387</v>
      </c>
      <c r="J32" s="38" t="s">
        <v>387</v>
      </c>
      <c r="K32" s="38" t="s">
        <v>387</v>
      </c>
      <c r="L32" s="38" t="s">
        <v>387</v>
      </c>
      <c r="M32" s="38" t="s">
        <v>387</v>
      </c>
      <c r="N32" s="38" t="s">
        <v>387</v>
      </c>
      <c r="O32" s="38" t="s">
        <v>387</v>
      </c>
      <c r="P32" s="38" t="s">
        <v>387</v>
      </c>
      <c r="Q32" s="38" t="s">
        <v>387</v>
      </c>
      <c r="R32" s="38" t="s">
        <v>387</v>
      </c>
      <c r="S32" s="38" t="s">
        <v>387</v>
      </c>
      <c r="T32" s="38" t="s">
        <v>387</v>
      </c>
      <c r="U32" s="38" t="s">
        <v>387</v>
      </c>
      <c r="V32" s="38" t="s">
        <v>387</v>
      </c>
      <c r="W32" s="38" t="s">
        <v>387</v>
      </c>
      <c r="X32" s="38" t="s">
        <v>387</v>
      </c>
      <c r="Y32" s="38" t="s">
        <v>387</v>
      </c>
      <c r="Z32" s="38" t="s">
        <v>387</v>
      </c>
      <c r="AA32" s="38" t="s">
        <v>387</v>
      </c>
      <c r="AB32" s="38" t="s">
        <v>387</v>
      </c>
      <c r="AC32" s="38"/>
      <c r="AD32" s="38"/>
      <c r="AE32" s="38" t="s">
        <v>387</v>
      </c>
      <c r="AF32" s="38" t="s">
        <v>387</v>
      </c>
      <c r="AG32" s="38" t="s">
        <v>387</v>
      </c>
      <c r="AH32" s="38" t="s">
        <v>387</v>
      </c>
      <c r="AI32" s="38" t="s">
        <v>387</v>
      </c>
      <c r="AJ32" s="38" t="s">
        <v>387</v>
      </c>
      <c r="AK32" s="1"/>
    </row>
    <row r="33" spans="1:37" x14ac:dyDescent="0.25">
      <c r="A33" s="51" t="s">
        <v>396</v>
      </c>
      <c r="B33" s="51"/>
      <c r="C33" s="38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-568.29999999999995</v>
      </c>
      <c r="M33" s="38">
        <v>-158.24</v>
      </c>
      <c r="N33" s="38">
        <v>-0.71</v>
      </c>
      <c r="O33" s="38">
        <v>0</v>
      </c>
      <c r="P33" s="38">
        <v>0</v>
      </c>
      <c r="Q33" s="38">
        <v>-14932.22</v>
      </c>
      <c r="R33" s="38">
        <v>-49.91</v>
      </c>
      <c r="S33" s="38">
        <v>0</v>
      </c>
      <c r="T33" s="38">
        <v>-1482.61</v>
      </c>
      <c r="U33" s="38">
        <v>0</v>
      </c>
      <c r="V33" s="38">
        <v>0</v>
      </c>
      <c r="W33" s="38">
        <v>-224.9</v>
      </c>
      <c r="X33" s="38">
        <v>-6129.91</v>
      </c>
      <c r="Y33" s="38">
        <v>-10352.040000000001</v>
      </c>
      <c r="Z33" s="38">
        <v>0</v>
      </c>
      <c r="AA33" s="38">
        <v>-2100.37</v>
      </c>
      <c r="AB33" s="38">
        <v>-713.11</v>
      </c>
      <c r="AC33" s="38">
        <v>-570.04999999999995</v>
      </c>
      <c r="AD33" s="38"/>
      <c r="AE33" s="38">
        <v>-498.32</v>
      </c>
      <c r="AF33" s="38">
        <v>-248.81</v>
      </c>
      <c r="AG33" s="38">
        <v>0</v>
      </c>
      <c r="AH33" s="38">
        <v>-737.1</v>
      </c>
      <c r="AI33" s="38">
        <v>37983.06</v>
      </c>
      <c r="AJ33" s="38">
        <v>0</v>
      </c>
      <c r="AK33" s="2"/>
    </row>
    <row r="34" spans="1:37" x14ac:dyDescent="0.25">
      <c r="A34" s="51" t="s">
        <v>398</v>
      </c>
      <c r="B34" s="51"/>
      <c r="C34" s="38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/>
      <c r="AE34" s="38">
        <v>0</v>
      </c>
      <c r="AF34" s="38">
        <v>0</v>
      </c>
      <c r="AG34" s="38">
        <v>0</v>
      </c>
      <c r="AH34" s="38">
        <v>0</v>
      </c>
      <c r="AI34" s="38">
        <v>-313.73</v>
      </c>
      <c r="AJ34" s="38">
        <v>0</v>
      </c>
      <c r="AK34" s="2"/>
    </row>
    <row r="35" spans="1:37" x14ac:dyDescent="0.25">
      <c r="A35" s="48" t="s">
        <v>97</v>
      </c>
      <c r="B35" s="48"/>
      <c r="C35" s="38"/>
      <c r="D35" s="38" t="s">
        <v>387</v>
      </c>
      <c r="E35" s="38" t="s">
        <v>387</v>
      </c>
      <c r="F35" s="38" t="s">
        <v>387</v>
      </c>
      <c r="G35" s="38" t="s">
        <v>387</v>
      </c>
      <c r="H35" s="38" t="s">
        <v>387</v>
      </c>
      <c r="I35" s="38" t="s">
        <v>387</v>
      </c>
      <c r="J35" s="38" t="s">
        <v>387</v>
      </c>
      <c r="K35" s="38" t="s">
        <v>387</v>
      </c>
      <c r="L35" s="38" t="s">
        <v>387</v>
      </c>
      <c r="M35" s="38" t="s">
        <v>387</v>
      </c>
      <c r="N35" s="38" t="s">
        <v>387</v>
      </c>
      <c r="O35" s="38" t="s">
        <v>387</v>
      </c>
      <c r="P35" s="38" t="s">
        <v>387</v>
      </c>
      <c r="Q35" s="38" t="s">
        <v>387</v>
      </c>
      <c r="R35" s="38" t="s">
        <v>387</v>
      </c>
      <c r="S35" s="38" t="s">
        <v>387</v>
      </c>
      <c r="T35" s="38" t="s">
        <v>387</v>
      </c>
      <c r="U35" s="38" t="s">
        <v>387</v>
      </c>
      <c r="V35" s="38" t="s">
        <v>387</v>
      </c>
      <c r="W35" s="38" t="s">
        <v>387</v>
      </c>
      <c r="X35" s="38" t="s">
        <v>387</v>
      </c>
      <c r="Y35" s="38" t="s">
        <v>387</v>
      </c>
      <c r="Z35" s="38" t="s">
        <v>387</v>
      </c>
      <c r="AA35" s="38" t="s">
        <v>387</v>
      </c>
      <c r="AB35" s="38" t="s">
        <v>387</v>
      </c>
      <c r="AC35" s="38"/>
      <c r="AD35" s="38"/>
      <c r="AE35" s="38" t="s">
        <v>387</v>
      </c>
      <c r="AF35" s="38" t="s">
        <v>387</v>
      </c>
      <c r="AG35" s="38" t="s">
        <v>387</v>
      </c>
      <c r="AH35" s="38" t="s">
        <v>387</v>
      </c>
      <c r="AI35" s="38" t="s">
        <v>387</v>
      </c>
      <c r="AJ35" s="38" t="s">
        <v>387</v>
      </c>
      <c r="AK35" s="1"/>
    </row>
    <row r="36" spans="1:37" x14ac:dyDescent="0.25">
      <c r="A36" s="51" t="s">
        <v>460</v>
      </c>
      <c r="B36" s="51"/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-2677.61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-14.72</v>
      </c>
      <c r="AD36" s="38"/>
      <c r="AE36" s="38">
        <v>0</v>
      </c>
      <c r="AF36" s="38">
        <v>0</v>
      </c>
      <c r="AG36" s="38">
        <v>0</v>
      </c>
      <c r="AH36" s="38">
        <v>2680.39</v>
      </c>
      <c r="AI36" s="38">
        <v>0</v>
      </c>
      <c r="AJ36" s="38">
        <v>0</v>
      </c>
      <c r="AK36" s="2"/>
    </row>
    <row r="37" spans="1:37" x14ac:dyDescent="0.25">
      <c r="A37" s="51" t="s">
        <v>414</v>
      </c>
      <c r="B37" s="51"/>
      <c r="C37" s="38"/>
      <c r="D37" s="38">
        <v>0</v>
      </c>
      <c r="E37" s="38">
        <v>0</v>
      </c>
      <c r="F37" s="38">
        <v>-1610.91</v>
      </c>
      <c r="G37" s="38">
        <v>-36.950000000000003</v>
      </c>
      <c r="H37" s="38">
        <v>0</v>
      </c>
      <c r="I37" s="38">
        <v>0</v>
      </c>
      <c r="J37" s="38">
        <v>0</v>
      </c>
      <c r="K37" s="38">
        <v>0</v>
      </c>
      <c r="L37" s="38">
        <v>-54.69</v>
      </c>
      <c r="M37" s="38">
        <v>-422.09</v>
      </c>
      <c r="N37" s="38">
        <v>-1.04</v>
      </c>
      <c r="O37" s="38">
        <v>0</v>
      </c>
      <c r="P37" s="38">
        <v>0</v>
      </c>
      <c r="Q37" s="38">
        <v>-2599.5700000000002</v>
      </c>
      <c r="R37" s="38">
        <v>-11.37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-2.15</v>
      </c>
      <c r="Y37" s="38">
        <v>-154.5</v>
      </c>
      <c r="Z37" s="38">
        <v>0</v>
      </c>
      <c r="AA37" s="38">
        <v>-11.65</v>
      </c>
      <c r="AB37" s="38">
        <v>-817.52</v>
      </c>
      <c r="AC37" s="38">
        <v>-1448.51</v>
      </c>
      <c r="AD37" s="38"/>
      <c r="AE37" s="38">
        <v>-25457.64</v>
      </c>
      <c r="AF37" s="38">
        <v>-25.3</v>
      </c>
      <c r="AG37" s="38">
        <v>0</v>
      </c>
      <c r="AH37" s="38">
        <v>6765.66</v>
      </c>
      <c r="AI37" s="38">
        <v>19323.580000000002</v>
      </c>
      <c r="AJ37" s="38">
        <v>0</v>
      </c>
      <c r="AK37" s="2"/>
    </row>
    <row r="38" spans="1:37" x14ac:dyDescent="0.25">
      <c r="A38" s="51" t="s">
        <v>416</v>
      </c>
      <c r="B38" s="51"/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-2.84</v>
      </c>
      <c r="M38" s="38">
        <v>-3.05</v>
      </c>
      <c r="N38" s="38">
        <v>-0.4</v>
      </c>
      <c r="O38" s="38">
        <v>0</v>
      </c>
      <c r="P38" s="38">
        <v>0</v>
      </c>
      <c r="Q38" s="38">
        <v>-291.39999999999998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-25.8</v>
      </c>
      <c r="Y38" s="38">
        <v>-417.08</v>
      </c>
      <c r="Z38" s="38">
        <v>0</v>
      </c>
      <c r="AA38" s="38">
        <v>0</v>
      </c>
      <c r="AB38" s="38">
        <v>-484.72</v>
      </c>
      <c r="AC38" s="38">
        <v>-50.6</v>
      </c>
      <c r="AD38" s="38"/>
      <c r="AE38" s="38">
        <v>-3481.32</v>
      </c>
      <c r="AF38" s="38">
        <v>0</v>
      </c>
      <c r="AG38" s="38">
        <v>0</v>
      </c>
      <c r="AH38" s="38">
        <v>-51.69</v>
      </c>
      <c r="AI38" s="38">
        <v>7430.43</v>
      </c>
      <c r="AJ38" s="38">
        <v>0</v>
      </c>
      <c r="AK38" s="2"/>
    </row>
    <row r="39" spans="1:37" x14ac:dyDescent="0.25">
      <c r="A39" s="48" t="s">
        <v>418</v>
      </c>
      <c r="B39" s="48"/>
      <c r="C39" s="38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-62.99</v>
      </c>
      <c r="M39" s="38">
        <v>0</v>
      </c>
      <c r="N39" s="38">
        <v>0</v>
      </c>
      <c r="O39" s="38">
        <v>0</v>
      </c>
      <c r="P39" s="38">
        <v>0</v>
      </c>
      <c r="Q39" s="38">
        <v>-587.75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-148.21</v>
      </c>
      <c r="AD39" s="38"/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735</v>
      </c>
      <c r="AK39" s="1"/>
    </row>
    <row r="40" spans="1:37" x14ac:dyDescent="0.25">
      <c r="A40" s="48"/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"/>
    </row>
    <row r="41" spans="1:37" x14ac:dyDescent="0.25">
      <c r="A41" s="48" t="s">
        <v>421</v>
      </c>
      <c r="B41" s="48"/>
      <c r="C41" s="38">
        <v>-33919.199999999997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-115.31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-3.59</v>
      </c>
      <c r="AD41" s="38"/>
      <c r="AE41" s="38">
        <v>0</v>
      </c>
      <c r="AF41" s="38">
        <v>0</v>
      </c>
      <c r="AG41" s="38">
        <v>0</v>
      </c>
      <c r="AH41" s="38">
        <v>-6766.67</v>
      </c>
      <c r="AI41" s="38">
        <v>-27004.23</v>
      </c>
      <c r="AJ41" s="38">
        <v>-29.4</v>
      </c>
      <c r="AK41" s="1"/>
    </row>
    <row r="42" spans="1:37" x14ac:dyDescent="0.25">
      <c r="A42" s="48" t="s">
        <v>423</v>
      </c>
      <c r="B42" s="48"/>
      <c r="C42" s="38">
        <v>0</v>
      </c>
      <c r="D42" s="38" t="s">
        <v>387</v>
      </c>
      <c r="E42" s="38" t="s">
        <v>387</v>
      </c>
      <c r="F42" s="38" t="s">
        <v>387</v>
      </c>
      <c r="G42" s="38" t="s">
        <v>387</v>
      </c>
      <c r="H42" s="38" t="s">
        <v>387</v>
      </c>
      <c r="I42" s="38" t="s">
        <v>387</v>
      </c>
      <c r="J42" s="38" t="s">
        <v>387</v>
      </c>
      <c r="K42" s="38" t="s">
        <v>387</v>
      </c>
      <c r="L42" s="38" t="s">
        <v>387</v>
      </c>
      <c r="M42" s="38" t="s">
        <v>387</v>
      </c>
      <c r="N42" s="38" t="s">
        <v>387</v>
      </c>
      <c r="O42" s="38" t="s">
        <v>387</v>
      </c>
      <c r="P42" s="38" t="s">
        <v>387</v>
      </c>
      <c r="Q42" s="38" t="s">
        <v>387</v>
      </c>
      <c r="R42" s="38" t="s">
        <v>387</v>
      </c>
      <c r="S42" s="38" t="s">
        <v>387</v>
      </c>
      <c r="T42" s="38" t="s">
        <v>387</v>
      </c>
      <c r="U42" s="38" t="s">
        <v>387</v>
      </c>
      <c r="V42" s="38" t="s">
        <v>387</v>
      </c>
      <c r="W42" s="38" t="s">
        <v>387</v>
      </c>
      <c r="X42" s="38" t="s">
        <v>387</v>
      </c>
      <c r="Y42" s="38" t="s">
        <v>387</v>
      </c>
      <c r="Z42" s="38" t="s">
        <v>387</v>
      </c>
      <c r="AA42" s="38" t="s">
        <v>387</v>
      </c>
      <c r="AB42" s="38" t="s">
        <v>387</v>
      </c>
      <c r="AC42" s="38"/>
      <c r="AD42" s="38"/>
      <c r="AE42" s="38" t="s">
        <v>387</v>
      </c>
      <c r="AF42" s="38" t="s">
        <v>387</v>
      </c>
      <c r="AG42" s="38" t="s">
        <v>387</v>
      </c>
      <c r="AH42" s="38" t="s">
        <v>387</v>
      </c>
      <c r="AI42" s="38" t="s">
        <v>387</v>
      </c>
      <c r="AJ42" s="38" t="s">
        <v>387</v>
      </c>
      <c r="AK42" s="1"/>
    </row>
    <row r="43" spans="1:37" x14ac:dyDescent="0.25">
      <c r="A43" s="51" t="s">
        <v>425</v>
      </c>
      <c r="B43" s="51"/>
      <c r="C43" s="38">
        <v>-10474.15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-10474.15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/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</row>
    <row r="44" spans="1:37" x14ac:dyDescent="0.25">
      <c r="A44" s="51" t="s">
        <v>427</v>
      </c>
      <c r="B44" s="51"/>
      <c r="C44" s="38">
        <v>-159958.21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-56302.52</v>
      </c>
      <c r="J44" s="38">
        <v>0</v>
      </c>
      <c r="K44" s="38">
        <v>0</v>
      </c>
      <c r="L44" s="38">
        <v>-94419.3</v>
      </c>
      <c r="M44" s="38">
        <v>0</v>
      </c>
      <c r="N44" s="38">
        <v>0</v>
      </c>
      <c r="O44" s="38">
        <v>0</v>
      </c>
      <c r="P44" s="38">
        <v>0</v>
      </c>
      <c r="Q44" s="38">
        <v>-131.57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-4.0999999999999996</v>
      </c>
      <c r="AD44" s="38"/>
      <c r="AE44" s="38">
        <v>0</v>
      </c>
      <c r="AF44" s="38">
        <v>-9100.7199999999993</v>
      </c>
      <c r="AG44" s="38">
        <v>0</v>
      </c>
      <c r="AH44" s="38">
        <v>0</v>
      </c>
      <c r="AI44" s="38">
        <v>0</v>
      </c>
      <c r="AJ44" s="38">
        <v>0</v>
      </c>
      <c r="AK44" s="2"/>
    </row>
    <row r="45" spans="1:37" x14ac:dyDescent="0.25">
      <c r="A45" s="51" t="s">
        <v>429</v>
      </c>
      <c r="B45" s="51"/>
      <c r="C45" s="38">
        <v>-4926.6899999999996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-3425.49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/>
      <c r="AE45" s="38">
        <v>0</v>
      </c>
      <c r="AF45" s="38">
        <v>0</v>
      </c>
      <c r="AG45" s="38">
        <v>0</v>
      </c>
      <c r="AH45" s="38">
        <v>-1501.2</v>
      </c>
      <c r="AI45" s="38">
        <v>0</v>
      </c>
      <c r="AJ45" s="38">
        <v>0</v>
      </c>
      <c r="AK45" s="2"/>
    </row>
    <row r="46" spans="1:37" x14ac:dyDescent="0.25">
      <c r="A46" s="51" t="s">
        <v>431</v>
      </c>
      <c r="B46" s="51"/>
      <c r="C46" s="38">
        <v>-6398.64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-6396.29</v>
      </c>
      <c r="M46" s="38">
        <v>-2.36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/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</row>
    <row r="47" spans="1:37" x14ac:dyDescent="0.25">
      <c r="A47" s="51" t="s">
        <v>433</v>
      </c>
      <c r="B47" s="51"/>
      <c r="C47" s="38">
        <v>-39749.35</v>
      </c>
      <c r="D47" s="38">
        <v>0</v>
      </c>
      <c r="E47" s="38">
        <v>0</v>
      </c>
      <c r="F47" s="38">
        <v>0</v>
      </c>
      <c r="G47" s="38">
        <v>0</v>
      </c>
      <c r="H47" s="38">
        <v>-0.65</v>
      </c>
      <c r="I47" s="38">
        <v>0</v>
      </c>
      <c r="J47" s="38">
        <v>0</v>
      </c>
      <c r="K47" s="38">
        <v>-39748.699999999997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/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</row>
    <row r="48" spans="1:37" x14ac:dyDescent="0.25">
      <c r="A48" s="51" t="s">
        <v>435</v>
      </c>
      <c r="B48" s="51"/>
      <c r="C48" s="38">
        <v>-1316.32</v>
      </c>
      <c r="D48" s="38">
        <v>0</v>
      </c>
      <c r="E48" s="38">
        <v>0</v>
      </c>
      <c r="F48" s="38">
        <v>0</v>
      </c>
      <c r="G48" s="38">
        <v>0</v>
      </c>
      <c r="H48" s="38">
        <v>-46.99</v>
      </c>
      <c r="I48" s="38">
        <v>0</v>
      </c>
      <c r="J48" s="38">
        <v>0</v>
      </c>
      <c r="K48" s="38">
        <v>-1269.33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/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</row>
    <row r="49" spans="1:37" x14ac:dyDescent="0.25">
      <c r="A49" s="51" t="s">
        <v>437</v>
      </c>
      <c r="B49" s="51"/>
      <c r="C49" s="38">
        <v>-1479.29</v>
      </c>
      <c r="D49" s="38">
        <v>0</v>
      </c>
      <c r="E49" s="38">
        <v>0</v>
      </c>
      <c r="F49" s="38">
        <v>0</v>
      </c>
      <c r="G49" s="38">
        <v>0</v>
      </c>
      <c r="H49" s="38">
        <v>-1.24</v>
      </c>
      <c r="I49" s="38">
        <v>-2.1</v>
      </c>
      <c r="J49" s="38">
        <v>0</v>
      </c>
      <c r="K49" s="38">
        <v>-676.48</v>
      </c>
      <c r="L49" s="38">
        <v>-799.46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/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</row>
    <row r="50" spans="1:37" x14ac:dyDescent="0.25">
      <c r="A50" s="51" t="s">
        <v>439</v>
      </c>
      <c r="B50" s="51"/>
      <c r="C50" s="38">
        <v>-27057.79</v>
      </c>
      <c r="D50" s="38">
        <v>0</v>
      </c>
      <c r="E50" s="38">
        <v>0</v>
      </c>
      <c r="F50" s="38">
        <v>0</v>
      </c>
      <c r="G50" s="38">
        <v>-176.69</v>
      </c>
      <c r="H50" s="38">
        <v>0</v>
      </c>
      <c r="I50" s="38">
        <v>-53.81</v>
      </c>
      <c r="J50" s="38">
        <v>0</v>
      </c>
      <c r="K50" s="38">
        <v>0</v>
      </c>
      <c r="L50" s="38">
        <v>-13601.89</v>
      </c>
      <c r="M50" s="38">
        <v>-19.309999999999999</v>
      </c>
      <c r="N50" s="38">
        <v>0</v>
      </c>
      <c r="O50" s="38">
        <v>0</v>
      </c>
      <c r="P50" s="38">
        <v>0</v>
      </c>
      <c r="Q50" s="38">
        <v>-1680.15</v>
      </c>
      <c r="R50" s="38">
        <v>-577.05999999999995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-1983.39</v>
      </c>
      <c r="Y50" s="38">
        <v>-26.12</v>
      </c>
      <c r="Z50" s="38">
        <v>0</v>
      </c>
      <c r="AA50" s="38">
        <v>0</v>
      </c>
      <c r="AB50" s="38">
        <v>-177.46</v>
      </c>
      <c r="AC50" s="38">
        <v>-188.87</v>
      </c>
      <c r="AD50" s="38"/>
      <c r="AE50" s="38">
        <v>0</v>
      </c>
      <c r="AF50" s="38">
        <v>0</v>
      </c>
      <c r="AG50" s="38">
        <v>-713.3</v>
      </c>
      <c r="AH50" s="38">
        <v>-6274.75</v>
      </c>
      <c r="AI50" s="38">
        <v>-1585</v>
      </c>
      <c r="AJ50" s="38">
        <v>0</v>
      </c>
      <c r="AK50" s="2"/>
    </row>
    <row r="51" spans="1:37" x14ac:dyDescent="0.25">
      <c r="A51" s="51" t="s">
        <v>441</v>
      </c>
      <c r="B51" s="51"/>
      <c r="C51" s="38">
        <v>-5191.51</v>
      </c>
      <c r="D51" s="38">
        <v>0</v>
      </c>
      <c r="E51" s="38">
        <v>0</v>
      </c>
      <c r="F51" s="38">
        <v>0</v>
      </c>
      <c r="G51" s="38">
        <v>-11.96</v>
      </c>
      <c r="H51" s="38">
        <v>0</v>
      </c>
      <c r="I51" s="38">
        <v>-0.03</v>
      </c>
      <c r="J51" s="38">
        <v>0</v>
      </c>
      <c r="K51" s="38">
        <v>0</v>
      </c>
      <c r="L51" s="38">
        <v>-5179.51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/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</row>
    <row r="52" spans="1:37" x14ac:dyDescent="0.25">
      <c r="A52" s="51" t="s">
        <v>443</v>
      </c>
      <c r="B52" s="51"/>
      <c r="C52" s="38">
        <v>-86310.42</v>
      </c>
      <c r="D52" s="38">
        <v>0</v>
      </c>
      <c r="E52" s="38">
        <v>0</v>
      </c>
      <c r="F52" s="38">
        <v>0</v>
      </c>
      <c r="G52" s="38">
        <v>-963.75</v>
      </c>
      <c r="H52" s="38">
        <v>0</v>
      </c>
      <c r="I52" s="38">
        <v>-4.5</v>
      </c>
      <c r="J52" s="38">
        <v>-0.42</v>
      </c>
      <c r="K52" s="38">
        <v>0</v>
      </c>
      <c r="L52" s="38">
        <v>-2260.9699999999998</v>
      </c>
      <c r="M52" s="38">
        <v>-1867.61</v>
      </c>
      <c r="N52" s="38">
        <v>-37.28</v>
      </c>
      <c r="O52" s="38">
        <v>-7573.62</v>
      </c>
      <c r="P52" s="38">
        <v>0</v>
      </c>
      <c r="Q52" s="38">
        <v>-27533.82</v>
      </c>
      <c r="R52" s="38">
        <v>-3879.45</v>
      </c>
      <c r="S52" s="38">
        <v>-312.69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-1336.13</v>
      </c>
      <c r="AB52" s="38">
        <v>-3397.25</v>
      </c>
      <c r="AC52" s="38">
        <v>-1435.88</v>
      </c>
      <c r="AD52" s="38"/>
      <c r="AE52" s="38">
        <v>-1493.85</v>
      </c>
      <c r="AF52" s="38">
        <v>0</v>
      </c>
      <c r="AG52" s="38">
        <v>-1947.34</v>
      </c>
      <c r="AH52" s="38">
        <v>-29174.37</v>
      </c>
      <c r="AI52" s="38">
        <v>-2885</v>
      </c>
      <c r="AJ52" s="38">
        <v>-206.52</v>
      </c>
      <c r="AK52" s="2"/>
    </row>
    <row r="53" spans="1:37" x14ac:dyDescent="0.25">
      <c r="A53" s="51" t="s">
        <v>445</v>
      </c>
      <c r="B53" s="51"/>
      <c r="C53" s="38">
        <v>-6730.6</v>
      </c>
      <c r="D53" s="38">
        <v>0</v>
      </c>
      <c r="E53" s="38">
        <v>0</v>
      </c>
      <c r="F53" s="38">
        <v>0</v>
      </c>
      <c r="G53" s="38">
        <v>-82.43</v>
      </c>
      <c r="H53" s="38">
        <v>0</v>
      </c>
      <c r="I53" s="38">
        <v>-6.18</v>
      </c>
      <c r="J53" s="38">
        <v>-0.03</v>
      </c>
      <c r="K53" s="38">
        <v>0</v>
      </c>
      <c r="L53" s="38">
        <v>-4945.6099999999997</v>
      </c>
      <c r="M53" s="38">
        <v>0</v>
      </c>
      <c r="N53" s="38">
        <v>0</v>
      </c>
      <c r="O53" s="38">
        <v>0</v>
      </c>
      <c r="P53" s="38">
        <v>0</v>
      </c>
      <c r="Q53" s="38">
        <v>-342.87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-10.68</v>
      </c>
      <c r="AD53" s="38"/>
      <c r="AE53" s="38">
        <v>0</v>
      </c>
      <c r="AF53" s="38">
        <v>0</v>
      </c>
      <c r="AG53" s="38">
        <v>0</v>
      </c>
      <c r="AH53" s="38">
        <v>-1342.8</v>
      </c>
      <c r="AI53" s="38">
        <v>0</v>
      </c>
      <c r="AJ53" s="38">
        <v>0</v>
      </c>
      <c r="AK53" s="2"/>
    </row>
    <row r="54" spans="1:37" x14ac:dyDescent="0.25">
      <c r="A54" s="51" t="s">
        <v>447</v>
      </c>
      <c r="B54" s="51"/>
      <c r="C54" s="38">
        <v>-10983.65</v>
      </c>
      <c r="D54" s="38">
        <v>0</v>
      </c>
      <c r="E54" s="38">
        <v>0</v>
      </c>
      <c r="F54" s="38">
        <v>0</v>
      </c>
      <c r="G54" s="38">
        <v>-41.81</v>
      </c>
      <c r="H54" s="38">
        <v>0</v>
      </c>
      <c r="I54" s="38">
        <v>0</v>
      </c>
      <c r="J54" s="38">
        <v>-0.16</v>
      </c>
      <c r="K54" s="38">
        <v>0</v>
      </c>
      <c r="L54" s="38">
        <v>-268.04000000000002</v>
      </c>
      <c r="M54" s="38">
        <v>-0.13</v>
      </c>
      <c r="N54" s="38">
        <v>0</v>
      </c>
      <c r="O54" s="38">
        <v>-0.46</v>
      </c>
      <c r="P54" s="38">
        <v>0</v>
      </c>
      <c r="Q54" s="38">
        <v>-1043.3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-32.49</v>
      </c>
      <c r="AD54" s="38"/>
      <c r="AE54" s="38">
        <v>0</v>
      </c>
      <c r="AF54" s="38">
        <v>0</v>
      </c>
      <c r="AG54" s="38">
        <v>0</v>
      </c>
      <c r="AH54" s="38">
        <v>-5334.3</v>
      </c>
      <c r="AI54" s="38">
        <v>-4262.97</v>
      </c>
      <c r="AJ54" s="38">
        <v>0</v>
      </c>
      <c r="AK54" s="2"/>
    </row>
    <row r="55" spans="1:37" x14ac:dyDescent="0.25">
      <c r="A55" s="51" t="s">
        <v>449</v>
      </c>
      <c r="B55" s="51"/>
      <c r="C55" s="38">
        <v>-10278.950000000001</v>
      </c>
      <c r="D55" s="38">
        <v>0</v>
      </c>
      <c r="E55" s="38">
        <v>0</v>
      </c>
      <c r="F55" s="38">
        <v>0</v>
      </c>
      <c r="G55" s="38">
        <v>-34.07</v>
      </c>
      <c r="H55" s="38">
        <v>0</v>
      </c>
      <c r="I55" s="38">
        <v>0</v>
      </c>
      <c r="J55" s="38">
        <v>-7.0000000000000007E-2</v>
      </c>
      <c r="K55" s="38">
        <v>0</v>
      </c>
      <c r="L55" s="38">
        <v>-115.01</v>
      </c>
      <c r="M55" s="38">
        <v>-0.06</v>
      </c>
      <c r="N55" s="38">
        <v>0</v>
      </c>
      <c r="O55" s="38">
        <v>-0.2</v>
      </c>
      <c r="P55" s="38">
        <v>0</v>
      </c>
      <c r="Q55" s="38">
        <v>-805.35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-25.08</v>
      </c>
      <c r="AD55" s="38"/>
      <c r="AE55" s="38">
        <v>0</v>
      </c>
      <c r="AF55" s="38">
        <v>0</v>
      </c>
      <c r="AG55" s="38">
        <v>0</v>
      </c>
      <c r="AH55" s="38">
        <v>-6008.4</v>
      </c>
      <c r="AI55" s="38">
        <v>-3290.73</v>
      </c>
      <c r="AJ55" s="38">
        <v>0</v>
      </c>
      <c r="AK55" s="2"/>
    </row>
    <row r="56" spans="1:37" x14ac:dyDescent="0.25">
      <c r="A56" s="51" t="s">
        <v>451</v>
      </c>
      <c r="B56" s="51"/>
      <c r="C56" s="38">
        <v>-36317.040000000001</v>
      </c>
      <c r="D56" s="38">
        <v>0</v>
      </c>
      <c r="E56" s="38">
        <v>0</v>
      </c>
      <c r="F56" s="38">
        <v>0</v>
      </c>
      <c r="G56" s="38">
        <v>-156.74</v>
      </c>
      <c r="H56" s="38">
        <v>0</v>
      </c>
      <c r="I56" s="38">
        <v>0</v>
      </c>
      <c r="J56" s="38">
        <v>-0.43</v>
      </c>
      <c r="K56" s="38">
        <v>0</v>
      </c>
      <c r="L56" s="38">
        <v>-687.01</v>
      </c>
      <c r="M56" s="38">
        <v>-7.46</v>
      </c>
      <c r="N56" s="38">
        <v>-0.02</v>
      </c>
      <c r="O56" s="38">
        <v>-1.28</v>
      </c>
      <c r="P56" s="38">
        <v>0</v>
      </c>
      <c r="Q56" s="38">
        <v>-3320.69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-14.42</v>
      </c>
      <c r="Z56" s="38">
        <v>0</v>
      </c>
      <c r="AA56" s="38">
        <v>0</v>
      </c>
      <c r="AB56" s="38">
        <v>-64.23</v>
      </c>
      <c r="AC56" s="38">
        <v>-475.27</v>
      </c>
      <c r="AD56" s="38"/>
      <c r="AE56" s="38">
        <v>-588.52</v>
      </c>
      <c r="AF56" s="38">
        <v>0</v>
      </c>
      <c r="AG56" s="38">
        <v>0</v>
      </c>
      <c r="AH56" s="38">
        <v>-16650.05</v>
      </c>
      <c r="AI56" s="38">
        <v>-14335.18</v>
      </c>
      <c r="AJ56" s="38">
        <v>-15.72</v>
      </c>
      <c r="AK56" s="2"/>
    </row>
    <row r="57" spans="1:37" x14ac:dyDescent="0.25">
      <c r="A57" s="51" t="s">
        <v>453</v>
      </c>
      <c r="B57" s="51"/>
      <c r="C57" s="38">
        <v>-24858.63</v>
      </c>
      <c r="D57" s="38">
        <v>0</v>
      </c>
      <c r="E57" s="38">
        <v>0</v>
      </c>
      <c r="F57" s="38">
        <v>0</v>
      </c>
      <c r="G57" s="38">
        <v>-164.16</v>
      </c>
      <c r="H57" s="38">
        <v>0</v>
      </c>
      <c r="I57" s="38">
        <v>0</v>
      </c>
      <c r="J57" s="38">
        <v>-0.67</v>
      </c>
      <c r="K57" s="38">
        <v>0</v>
      </c>
      <c r="L57" s="38">
        <v>-1149.54</v>
      </c>
      <c r="M57" s="38">
        <v>-7.86</v>
      </c>
      <c r="N57" s="38">
        <v>0</v>
      </c>
      <c r="O57" s="38">
        <v>-1.98</v>
      </c>
      <c r="P57" s="38">
        <v>0</v>
      </c>
      <c r="Q57" s="38">
        <v>-2562.5</v>
      </c>
      <c r="R57" s="38">
        <v>0</v>
      </c>
      <c r="S57" s="38">
        <v>0</v>
      </c>
      <c r="T57" s="38">
        <v>-88.33</v>
      </c>
      <c r="U57" s="38">
        <v>0</v>
      </c>
      <c r="V57" s="38">
        <v>0</v>
      </c>
      <c r="W57" s="38">
        <v>0</v>
      </c>
      <c r="X57" s="38">
        <v>0</v>
      </c>
      <c r="Y57" s="38">
        <v>-150.91999999999999</v>
      </c>
      <c r="Z57" s="38">
        <v>0</v>
      </c>
      <c r="AA57" s="38">
        <v>-1169.1199999999999</v>
      </c>
      <c r="AB57" s="38">
        <v>0</v>
      </c>
      <c r="AC57" s="38">
        <v>-79.8</v>
      </c>
      <c r="AD57" s="38"/>
      <c r="AE57" s="38">
        <v>0</v>
      </c>
      <c r="AF57" s="38">
        <v>0</v>
      </c>
      <c r="AG57" s="38">
        <v>0</v>
      </c>
      <c r="AH57" s="38">
        <v>-8796.2999999999993</v>
      </c>
      <c r="AI57" s="38">
        <v>-10663.26</v>
      </c>
      <c r="AJ57" s="38">
        <v>-24.21</v>
      </c>
      <c r="AK57" s="2"/>
    </row>
    <row r="58" spans="1:37" x14ac:dyDescent="0.25">
      <c r="A58" s="51" t="s">
        <v>455</v>
      </c>
      <c r="B58" s="51"/>
      <c r="C58" s="38">
        <v>-142599.84</v>
      </c>
      <c r="D58" s="38">
        <v>0</v>
      </c>
      <c r="E58" s="38">
        <v>0</v>
      </c>
      <c r="F58" s="38">
        <v>0</v>
      </c>
      <c r="G58" s="38">
        <v>-480.7</v>
      </c>
      <c r="H58" s="38">
        <v>0</v>
      </c>
      <c r="I58" s="38">
        <v>-857.4</v>
      </c>
      <c r="J58" s="38">
        <v>0</v>
      </c>
      <c r="K58" s="38">
        <v>0</v>
      </c>
      <c r="L58" s="38">
        <v>-6823.42</v>
      </c>
      <c r="M58" s="38">
        <v>0</v>
      </c>
      <c r="N58" s="38">
        <v>0</v>
      </c>
      <c r="O58" s="38">
        <v>-628</v>
      </c>
      <c r="P58" s="38">
        <v>0</v>
      </c>
      <c r="Q58" s="38">
        <v>-21574.62</v>
      </c>
      <c r="R58" s="38">
        <v>0</v>
      </c>
      <c r="S58" s="38">
        <v>-0.41</v>
      </c>
      <c r="T58" s="38">
        <v>-412.19</v>
      </c>
      <c r="U58" s="38">
        <v>0</v>
      </c>
      <c r="V58" s="38">
        <v>0</v>
      </c>
      <c r="W58" s="38">
        <v>0</v>
      </c>
      <c r="X58" s="38">
        <v>-2975.08</v>
      </c>
      <c r="Y58" s="38">
        <v>-83.23</v>
      </c>
      <c r="Z58" s="38">
        <v>-25102.25</v>
      </c>
      <c r="AA58" s="38">
        <v>-14196.42</v>
      </c>
      <c r="AB58" s="38">
        <v>0</v>
      </c>
      <c r="AC58" s="38">
        <v>-671.85</v>
      </c>
      <c r="AD58" s="38"/>
      <c r="AE58" s="38">
        <v>0</v>
      </c>
      <c r="AF58" s="38">
        <v>-0.9</v>
      </c>
      <c r="AG58" s="38">
        <v>-6200.55</v>
      </c>
      <c r="AH58" s="38">
        <v>-27975.61</v>
      </c>
      <c r="AI58" s="38">
        <v>-34367.67</v>
      </c>
      <c r="AJ58" s="38">
        <v>-249.54</v>
      </c>
      <c r="AK58" s="2"/>
    </row>
    <row r="59" spans="1:37" x14ac:dyDescent="0.25">
      <c r="A59" s="51" t="s">
        <v>457</v>
      </c>
      <c r="B59" s="51"/>
      <c r="C59" s="38">
        <v>-51114.400000000001</v>
      </c>
      <c r="D59" s="38">
        <v>0</v>
      </c>
      <c r="E59" s="38">
        <v>0</v>
      </c>
      <c r="F59" s="38">
        <v>0</v>
      </c>
      <c r="G59" s="38">
        <v>-273.07</v>
      </c>
      <c r="H59" s="38">
        <v>0</v>
      </c>
      <c r="I59" s="38">
        <v>0</v>
      </c>
      <c r="J59" s="38">
        <v>-1.18</v>
      </c>
      <c r="K59" s="38">
        <v>0</v>
      </c>
      <c r="L59" s="38">
        <v>-1251.74</v>
      </c>
      <c r="M59" s="38">
        <v>-10.26</v>
      </c>
      <c r="N59" s="38">
        <v>0</v>
      </c>
      <c r="O59" s="38">
        <v>-3.51</v>
      </c>
      <c r="P59" s="38">
        <v>0</v>
      </c>
      <c r="Q59" s="38">
        <v>-4011.33</v>
      </c>
      <c r="R59" s="38">
        <v>0</v>
      </c>
      <c r="S59" s="38">
        <v>-0.41</v>
      </c>
      <c r="T59" s="38">
        <v>-88.33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-124.91</v>
      </c>
      <c r="AD59" s="38"/>
      <c r="AE59" s="38">
        <v>0</v>
      </c>
      <c r="AF59" s="38">
        <v>0</v>
      </c>
      <c r="AG59" s="38">
        <v>0</v>
      </c>
      <c r="AH59" s="38">
        <v>-9090.6</v>
      </c>
      <c r="AI59" s="38">
        <v>-36049.440000000002</v>
      </c>
      <c r="AJ59" s="38">
        <v>-209.61</v>
      </c>
      <c r="AK59" s="2"/>
    </row>
    <row r="60" spans="1:3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20.25" x14ac:dyDescent="0.25">
      <c r="A63" s="53"/>
      <c r="B63" s="5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44"/>
      <c r="B64" s="44"/>
      <c r="C64" s="45"/>
      <c r="D64" s="45"/>
      <c r="E64" s="45"/>
      <c r="F64" s="45"/>
      <c r="G64" s="45"/>
      <c r="H64" s="45"/>
      <c r="I64" s="45"/>
      <c r="J64" s="46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7"/>
    </row>
    <row r="65" spans="1:37" x14ac:dyDescent="0.25">
      <c r="A65" s="48"/>
      <c r="B65" s="4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49"/>
    </row>
    <row r="66" spans="1:37" x14ac:dyDescent="0.25">
      <c r="A66" s="48"/>
      <c r="B66" s="4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50"/>
    </row>
    <row r="67" spans="1:37" x14ac:dyDescent="0.25">
      <c r="A67" s="51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52"/>
    </row>
    <row r="68" spans="1:37" x14ac:dyDescent="0.25">
      <c r="A68" s="51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50"/>
    </row>
    <row r="69" spans="1:37" x14ac:dyDescent="0.25">
      <c r="A69" s="51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52"/>
    </row>
    <row r="70" spans="1:37" x14ac:dyDescent="0.25">
      <c r="A70" s="51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52"/>
    </row>
    <row r="71" spans="1:37" x14ac:dyDescent="0.25">
      <c r="A71" s="51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52"/>
    </row>
    <row r="72" spans="1:37" x14ac:dyDescent="0.25">
      <c r="A72" s="51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52"/>
    </row>
    <row r="73" spans="1:37" x14ac:dyDescent="0.25">
      <c r="A73" s="51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52"/>
    </row>
    <row r="74" spans="1:37" x14ac:dyDescent="0.25">
      <c r="A74" s="51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52"/>
    </row>
    <row r="75" spans="1:37" x14ac:dyDescent="0.25">
      <c r="A75" s="48"/>
      <c r="B75" s="4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50"/>
    </row>
    <row r="76" spans="1:37" x14ac:dyDescent="0.25">
      <c r="A76" s="48"/>
      <c r="B76" s="4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50"/>
    </row>
    <row r="77" spans="1:37" x14ac:dyDescent="0.25">
      <c r="A77" s="48"/>
      <c r="B77" s="4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50"/>
    </row>
    <row r="78" spans="1:37" x14ac:dyDescent="0.25">
      <c r="A78" s="51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52"/>
    </row>
    <row r="79" spans="1:37" x14ac:dyDescent="0.25">
      <c r="A79" s="51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52"/>
    </row>
    <row r="80" spans="1:37" x14ac:dyDescent="0.25">
      <c r="A80" s="48"/>
      <c r="B80" s="4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50"/>
    </row>
    <row r="81" spans="1:37" x14ac:dyDescent="0.25">
      <c r="A81" s="48"/>
      <c r="B81" s="4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50"/>
    </row>
    <row r="82" spans="1:37" x14ac:dyDescent="0.25">
      <c r="A82" s="51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52"/>
    </row>
    <row r="83" spans="1:37" x14ac:dyDescent="0.25">
      <c r="A83" s="51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52"/>
    </row>
    <row r="84" spans="1:37" x14ac:dyDescent="0.25">
      <c r="A84" s="48"/>
      <c r="B84" s="4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50"/>
    </row>
    <row r="85" spans="1:37" x14ac:dyDescent="0.25">
      <c r="A85" s="51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50"/>
    </row>
    <row r="86" spans="1:37" x14ac:dyDescent="0.25">
      <c r="A86" s="51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52"/>
    </row>
    <row r="87" spans="1:37" x14ac:dyDescent="0.25">
      <c r="A87" s="48"/>
      <c r="B87" s="4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5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AK62"/>
  <sheetViews>
    <sheetView workbookViewId="0">
      <selection activeCell="A4" sqref="A4:AJ4"/>
    </sheetView>
  </sheetViews>
  <sheetFormatPr defaultRowHeight="15" x14ac:dyDescent="0.25"/>
  <cols>
    <col min="1" max="1" width="32.140625" customWidth="1"/>
    <col min="2" max="2" width="32.28515625" customWidth="1"/>
  </cols>
  <sheetData>
    <row r="1" spans="1:37" ht="20.25" x14ac:dyDescent="0.3">
      <c r="A1" s="39" t="s">
        <v>465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</row>
    <row r="2" spans="1:37" ht="20.25" x14ac:dyDescent="0.3">
      <c r="A2" s="39"/>
      <c r="B2" s="39"/>
      <c r="C2" s="36"/>
      <c r="D2" s="36"/>
      <c r="E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6"/>
      <c r="AD2" s="36"/>
      <c r="AE2" s="157"/>
      <c r="AF2" s="2"/>
      <c r="AG2" s="36"/>
      <c r="AH2" s="2"/>
      <c r="AI2" s="2"/>
      <c r="AJ2" s="2"/>
      <c r="AK2" s="43"/>
    </row>
    <row r="3" spans="1:37" ht="63.75" x14ac:dyDescent="0.25">
      <c r="A3" s="44"/>
      <c r="B3" s="44"/>
      <c r="C3" s="45" t="s">
        <v>303</v>
      </c>
      <c r="D3" s="45" t="s">
        <v>215</v>
      </c>
      <c r="E3" s="45" t="s">
        <v>304</v>
      </c>
      <c r="F3" s="45" t="s">
        <v>305</v>
      </c>
      <c r="G3" s="45" t="s">
        <v>306</v>
      </c>
      <c r="H3" s="45" t="s">
        <v>307</v>
      </c>
      <c r="I3" s="45" t="s">
        <v>462</v>
      </c>
      <c r="J3" s="46" t="s">
        <v>309</v>
      </c>
      <c r="K3" s="46" t="s">
        <v>310</v>
      </c>
      <c r="L3" s="45" t="s">
        <v>311</v>
      </c>
      <c r="M3" s="45" t="s">
        <v>312</v>
      </c>
      <c r="N3" s="45" t="s">
        <v>313</v>
      </c>
      <c r="O3" s="45" t="s">
        <v>314</v>
      </c>
      <c r="P3" s="45" t="s">
        <v>315</v>
      </c>
      <c r="Q3" s="45" t="s">
        <v>3</v>
      </c>
      <c r="R3" s="45" t="s">
        <v>316</v>
      </c>
      <c r="S3" s="45" t="s">
        <v>317</v>
      </c>
      <c r="T3" s="45" t="s">
        <v>318</v>
      </c>
      <c r="U3" s="45" t="s">
        <v>319</v>
      </c>
      <c r="V3" s="45" t="s">
        <v>107</v>
      </c>
      <c r="W3" s="45" t="s">
        <v>320</v>
      </c>
      <c r="X3" s="45" t="s">
        <v>321</v>
      </c>
      <c r="Y3" s="45" t="s">
        <v>322</v>
      </c>
      <c r="Z3" s="45" t="s">
        <v>323</v>
      </c>
      <c r="AA3" s="45" t="s">
        <v>324</v>
      </c>
      <c r="AB3" s="45" t="s">
        <v>325</v>
      </c>
      <c r="AC3" s="45" t="s">
        <v>326</v>
      </c>
      <c r="AD3" s="45"/>
      <c r="AE3" s="45" t="s">
        <v>264</v>
      </c>
      <c r="AF3" s="45" t="s">
        <v>11</v>
      </c>
      <c r="AG3" s="45" t="s">
        <v>328</v>
      </c>
      <c r="AH3" s="45" t="s">
        <v>13</v>
      </c>
      <c r="AI3" s="45" t="s">
        <v>463</v>
      </c>
      <c r="AJ3" s="45" t="s">
        <v>329</v>
      </c>
      <c r="AK3" s="47"/>
    </row>
    <row r="4" spans="1:37" x14ac:dyDescent="0.25">
      <c r="A4" s="44"/>
      <c r="B4" s="44"/>
      <c r="C4" s="45"/>
      <c r="D4" s="45"/>
      <c r="E4" s="45"/>
      <c r="F4" s="45"/>
      <c r="G4" s="45"/>
      <c r="H4" s="45"/>
      <c r="I4" s="45"/>
      <c r="J4" s="46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7"/>
    </row>
    <row r="5" spans="1:37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</row>
    <row r="6" spans="1:37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</row>
    <row r="7" spans="1:37" x14ac:dyDescent="0.25">
      <c r="A7" s="51" t="s">
        <v>365</v>
      </c>
      <c r="B7" s="51"/>
      <c r="C7" s="38">
        <v>675334.23</v>
      </c>
      <c r="D7" s="38">
        <v>330661.92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173509.95</v>
      </c>
      <c r="R7" s="38">
        <v>0</v>
      </c>
      <c r="S7" s="38">
        <v>0</v>
      </c>
      <c r="T7" s="38">
        <v>3604.14</v>
      </c>
      <c r="U7" s="38">
        <v>50879.13</v>
      </c>
      <c r="V7" s="38">
        <v>64.91</v>
      </c>
      <c r="W7" s="38">
        <v>140.15</v>
      </c>
      <c r="X7" s="38">
        <v>19187.18</v>
      </c>
      <c r="Y7" s="38">
        <v>13335.09</v>
      </c>
      <c r="Z7" s="38">
        <v>21943.040000000001</v>
      </c>
      <c r="AA7" s="38">
        <v>2641.4</v>
      </c>
      <c r="AB7" s="38">
        <v>8837.41</v>
      </c>
      <c r="AC7" s="38">
        <v>6347.79</v>
      </c>
      <c r="AD7" s="38"/>
      <c r="AE7" s="38">
        <v>35544.949999999997</v>
      </c>
      <c r="AF7" s="38">
        <v>636.34</v>
      </c>
      <c r="AG7" s="38">
        <v>8000.84</v>
      </c>
      <c r="AH7" s="38">
        <v>0</v>
      </c>
      <c r="AI7" s="38">
        <v>0</v>
      </c>
      <c r="AJ7" s="38">
        <v>0</v>
      </c>
      <c r="AK7" s="52"/>
    </row>
    <row r="8" spans="1:37" x14ac:dyDescent="0.25">
      <c r="A8" s="51" t="s">
        <v>367</v>
      </c>
      <c r="B8" s="51"/>
      <c r="C8" s="38">
        <v>39.229999999999997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39.229999999999997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50"/>
    </row>
    <row r="9" spans="1:37" x14ac:dyDescent="0.25">
      <c r="A9" s="51" t="s">
        <v>369</v>
      </c>
      <c r="B9" s="51"/>
      <c r="C9" s="38">
        <v>787849.12</v>
      </c>
      <c r="D9" s="38">
        <v>179063.4</v>
      </c>
      <c r="E9" s="38">
        <v>4818.57</v>
      </c>
      <c r="F9" s="38">
        <v>0</v>
      </c>
      <c r="G9" s="38">
        <v>1197.4100000000001</v>
      </c>
      <c r="H9" s="38">
        <v>103.9</v>
      </c>
      <c r="I9" s="38">
        <v>29237.62</v>
      </c>
      <c r="J9" s="38">
        <v>0</v>
      </c>
      <c r="K9" s="38">
        <v>39059.69</v>
      </c>
      <c r="L9" s="38">
        <v>158674.69</v>
      </c>
      <c r="M9" s="38">
        <v>157448.71</v>
      </c>
      <c r="N9" s="38">
        <v>0</v>
      </c>
      <c r="O9" s="38">
        <v>5544.27</v>
      </c>
      <c r="P9" s="38">
        <v>10719.3</v>
      </c>
      <c r="Q9" s="38">
        <v>24743.29</v>
      </c>
      <c r="R9" s="38">
        <v>66454.179999999993</v>
      </c>
      <c r="S9" s="38">
        <v>439.1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3333.77</v>
      </c>
      <c r="Z9" s="38">
        <v>2546.96</v>
      </c>
      <c r="AA9" s="38">
        <v>33542.18</v>
      </c>
      <c r="AB9" s="38">
        <v>0</v>
      </c>
      <c r="AC9" s="38">
        <v>0</v>
      </c>
      <c r="AD9" s="38"/>
      <c r="AE9" s="38">
        <v>4146.57</v>
      </c>
      <c r="AF9" s="38">
        <v>10303.83</v>
      </c>
      <c r="AG9" s="38">
        <v>0</v>
      </c>
      <c r="AH9" s="38">
        <v>56321.09</v>
      </c>
      <c r="AI9" s="38">
        <v>150.59</v>
      </c>
      <c r="AJ9" s="38">
        <v>0</v>
      </c>
      <c r="AK9" s="52"/>
    </row>
    <row r="10" spans="1:37" x14ac:dyDescent="0.25">
      <c r="A10" s="51" t="s">
        <v>371</v>
      </c>
      <c r="B10" s="51"/>
      <c r="C10" s="38">
        <v>-690027.22</v>
      </c>
      <c r="D10" s="38">
        <v>-194505.86</v>
      </c>
      <c r="E10" s="38">
        <v>-14022.98</v>
      </c>
      <c r="F10" s="38">
        <v>0</v>
      </c>
      <c r="G10" s="38">
        <v>-4380.3999999999996</v>
      </c>
      <c r="H10" s="38">
        <v>-75.72</v>
      </c>
      <c r="I10" s="38">
        <v>-58497.31</v>
      </c>
      <c r="J10" s="38">
        <v>0</v>
      </c>
      <c r="K10" s="38">
        <v>-2719.1</v>
      </c>
      <c r="L10" s="38">
        <v>-109848.15</v>
      </c>
      <c r="M10" s="38">
        <v>-185024.98</v>
      </c>
      <c r="N10" s="38">
        <v>0</v>
      </c>
      <c r="O10" s="38">
        <v>-79.72</v>
      </c>
      <c r="P10" s="38">
        <v>-180.1</v>
      </c>
      <c r="Q10" s="38">
        <v>-82349.5</v>
      </c>
      <c r="R10" s="38">
        <v>-2218.79</v>
      </c>
      <c r="S10" s="38">
        <v>-0.79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/>
      <c r="AE10" s="38">
        <v>0</v>
      </c>
      <c r="AF10" s="38">
        <v>-1084.3499999999999</v>
      </c>
      <c r="AG10" s="38">
        <v>0</v>
      </c>
      <c r="AH10" s="38">
        <v>-35039.46</v>
      </c>
      <c r="AI10" s="38">
        <v>0</v>
      </c>
      <c r="AJ10" s="38">
        <v>0</v>
      </c>
      <c r="AK10" s="52"/>
    </row>
    <row r="11" spans="1:37" x14ac:dyDescent="0.25">
      <c r="A11" s="51" t="s">
        <v>373</v>
      </c>
      <c r="B11" s="51"/>
      <c r="C11" s="38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2956.5</v>
      </c>
      <c r="J11" s="38">
        <v>0</v>
      </c>
      <c r="K11" s="38">
        <v>0</v>
      </c>
      <c r="L11" s="38">
        <v>-10401.719999999999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/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52"/>
    </row>
    <row r="12" spans="1:37" x14ac:dyDescent="0.25">
      <c r="A12" s="51" t="s">
        <v>464</v>
      </c>
      <c r="B12" s="51"/>
      <c r="C12" s="38">
        <v>-32278.11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-18579.55</v>
      </c>
      <c r="M12" s="38">
        <v>-13597.99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/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52"/>
    </row>
    <row r="13" spans="1:37" x14ac:dyDescent="0.25">
      <c r="A13" s="51" t="s">
        <v>377</v>
      </c>
      <c r="B13" s="51"/>
      <c r="C13" s="38">
        <v>-91.13</v>
      </c>
      <c r="D13" s="38">
        <v>0</v>
      </c>
      <c r="E13" s="38">
        <v>-1533.36</v>
      </c>
      <c r="F13" s="38">
        <v>0</v>
      </c>
      <c r="G13" s="38">
        <v>5.61</v>
      </c>
      <c r="H13" s="38">
        <v>0</v>
      </c>
      <c r="I13" s="38">
        <v>-77.650000000000006</v>
      </c>
      <c r="J13" s="38">
        <v>31.67</v>
      </c>
      <c r="K13" s="38">
        <v>-0.97</v>
      </c>
      <c r="L13" s="38">
        <v>-698.66</v>
      </c>
      <c r="M13" s="38">
        <v>2414.04</v>
      </c>
      <c r="N13" s="38">
        <v>0</v>
      </c>
      <c r="O13" s="38">
        <v>0</v>
      </c>
      <c r="P13" s="38">
        <v>2.71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/>
      <c r="AE13" s="38">
        <v>0</v>
      </c>
      <c r="AF13" s="38">
        <v>-234.52</v>
      </c>
      <c r="AG13" s="38">
        <v>0</v>
      </c>
      <c r="AH13" s="38">
        <v>0</v>
      </c>
      <c r="AI13" s="38">
        <v>0</v>
      </c>
      <c r="AJ13" s="38">
        <v>0</v>
      </c>
      <c r="AK13" s="52"/>
    </row>
    <row r="14" spans="1:37" x14ac:dyDescent="0.25">
      <c r="A14" s="51" t="s">
        <v>379</v>
      </c>
      <c r="B14" s="51"/>
      <c r="C14" s="38"/>
      <c r="D14" s="38">
        <v>-3213.43</v>
      </c>
      <c r="E14" s="38">
        <v>1699.55</v>
      </c>
      <c r="F14" s="38">
        <v>0</v>
      </c>
      <c r="G14" s="38">
        <v>-59.75</v>
      </c>
      <c r="H14" s="38">
        <v>13.96</v>
      </c>
      <c r="I14" s="38">
        <v>-1082.6400000000001</v>
      </c>
      <c r="J14" s="38">
        <v>0</v>
      </c>
      <c r="K14" s="38">
        <v>-3609.63</v>
      </c>
      <c r="L14" s="38">
        <v>-18687.89</v>
      </c>
      <c r="M14" s="38">
        <v>-11552.65</v>
      </c>
      <c r="N14" s="38">
        <v>0</v>
      </c>
      <c r="O14" s="38">
        <v>1113.3499999999999</v>
      </c>
      <c r="P14" s="38">
        <v>103.6</v>
      </c>
      <c r="Q14" s="38">
        <v>3521.18</v>
      </c>
      <c r="R14" s="38">
        <v>11361.9</v>
      </c>
      <c r="S14" s="38">
        <v>65.19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8">
        <v>-3.03</v>
      </c>
      <c r="AG14" s="38">
        <v>0</v>
      </c>
      <c r="AH14" s="38">
        <v>0</v>
      </c>
      <c r="AI14" s="38">
        <v>0</v>
      </c>
      <c r="AJ14" s="38">
        <v>0</v>
      </c>
      <c r="AK14" s="52"/>
    </row>
    <row r="15" spans="1:37" x14ac:dyDescent="0.25">
      <c r="A15" s="48" t="s">
        <v>381</v>
      </c>
      <c r="B15" s="48"/>
      <c r="C15" s="38"/>
      <c r="D15" s="38">
        <v>3458.62</v>
      </c>
      <c r="E15" s="38">
        <v>-68.02</v>
      </c>
      <c r="F15" s="38">
        <v>0</v>
      </c>
      <c r="G15" s="38">
        <v>238.55</v>
      </c>
      <c r="H15" s="38">
        <v>11.13</v>
      </c>
      <c r="I15" s="38">
        <v>-392.04</v>
      </c>
      <c r="J15" s="38">
        <v>0</v>
      </c>
      <c r="K15" s="38">
        <v>-55.51</v>
      </c>
      <c r="L15" s="38">
        <v>1942.61</v>
      </c>
      <c r="M15" s="38">
        <v>453.3</v>
      </c>
      <c r="N15" s="38">
        <v>0</v>
      </c>
      <c r="O15" s="38">
        <v>0.72</v>
      </c>
      <c r="P15" s="38">
        <v>-8.68</v>
      </c>
      <c r="Q15" s="38">
        <v>650.5</v>
      </c>
      <c r="R15" s="38">
        <v>307.41000000000003</v>
      </c>
      <c r="S15" s="38">
        <v>0.54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1.46</v>
      </c>
      <c r="AB15" s="38">
        <v>0</v>
      </c>
      <c r="AC15" s="38">
        <v>-0.01</v>
      </c>
      <c r="AD15" s="38"/>
      <c r="AE15" s="38">
        <v>0</v>
      </c>
      <c r="AF15" s="38">
        <v>-6.42</v>
      </c>
      <c r="AG15" s="38">
        <v>0</v>
      </c>
      <c r="AH15" s="38">
        <v>0</v>
      </c>
      <c r="AI15" s="38">
        <v>0</v>
      </c>
      <c r="AJ15" s="38">
        <v>0</v>
      </c>
      <c r="AK15" s="50"/>
    </row>
    <row r="16" spans="1:37" x14ac:dyDescent="0.25">
      <c r="A16" s="48" t="s">
        <v>383</v>
      </c>
      <c r="B16" s="48"/>
      <c r="C16" s="38">
        <v>-24081.83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-24081.83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/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50"/>
    </row>
    <row r="17" spans="1:37" x14ac:dyDescent="0.25">
      <c r="A17" s="48" t="s">
        <v>385</v>
      </c>
      <c r="B17" s="48"/>
      <c r="C17" s="38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/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50"/>
    </row>
    <row r="18" spans="1:37" x14ac:dyDescent="0.25">
      <c r="A18" s="51" t="s">
        <v>388</v>
      </c>
      <c r="B18" s="51"/>
      <c r="C18" s="38"/>
      <c r="D18" s="38">
        <v>-315464.64</v>
      </c>
      <c r="E18" s="38">
        <v>9106.24</v>
      </c>
      <c r="F18" s="38">
        <v>16580.41</v>
      </c>
      <c r="G18" s="38">
        <v>5341.57</v>
      </c>
      <c r="H18" s="38">
        <v>0</v>
      </c>
      <c r="I18" s="38">
        <v>86903.16</v>
      </c>
      <c r="J18" s="38">
        <v>0</v>
      </c>
      <c r="K18" s="38">
        <v>6252.48</v>
      </c>
      <c r="L18" s="38">
        <v>137795.32</v>
      </c>
      <c r="M18" s="38">
        <v>54056.45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52"/>
    </row>
    <row r="19" spans="1:37" x14ac:dyDescent="0.25">
      <c r="A19" s="51" t="s">
        <v>390</v>
      </c>
      <c r="B19" s="51"/>
      <c r="C19" s="38"/>
      <c r="D19" s="38">
        <v>0</v>
      </c>
      <c r="E19" s="38">
        <v>0</v>
      </c>
      <c r="F19" s="38">
        <v>-14997.47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-602.72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/>
      <c r="AE19" s="38">
        <v>0</v>
      </c>
      <c r="AF19" s="38">
        <v>0</v>
      </c>
      <c r="AG19" s="38">
        <v>0</v>
      </c>
      <c r="AH19" s="38">
        <v>-1063.57</v>
      </c>
      <c r="AI19" s="38">
        <v>-577.66999999999996</v>
      </c>
      <c r="AJ19" s="38">
        <v>0</v>
      </c>
      <c r="AK19" s="52"/>
    </row>
    <row r="20" spans="1:37" x14ac:dyDescent="0.25">
      <c r="A20" s="48" t="s">
        <v>392</v>
      </c>
      <c r="B20" s="48"/>
      <c r="C20" s="38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/>
      <c r="AE20" s="38">
        <v>0</v>
      </c>
      <c r="AF20" s="38">
        <v>0</v>
      </c>
      <c r="AG20" s="38">
        <v>0</v>
      </c>
      <c r="AH20" s="38">
        <v>-2680.33</v>
      </c>
      <c r="AI20" s="38">
        <v>0</v>
      </c>
      <c r="AJ20" s="38">
        <v>0</v>
      </c>
      <c r="AK20" s="50"/>
    </row>
    <row r="21" spans="1:37" x14ac:dyDescent="0.25">
      <c r="A21" s="48" t="s">
        <v>394</v>
      </c>
      <c r="B21" s="48"/>
      <c r="C21" s="38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/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50"/>
    </row>
    <row r="22" spans="1:37" x14ac:dyDescent="0.25">
      <c r="A22" s="51" t="s">
        <v>396</v>
      </c>
      <c r="B22" s="51"/>
      <c r="C22" s="38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-194.5</v>
      </c>
      <c r="M22" s="38">
        <v>-3.61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38">
        <v>0</v>
      </c>
      <c r="AG22" s="38">
        <v>0</v>
      </c>
      <c r="AH22" s="38">
        <v>47.26</v>
      </c>
      <c r="AI22" s="38">
        <v>0</v>
      </c>
      <c r="AJ22" s="38">
        <v>0</v>
      </c>
      <c r="AK22" s="52"/>
    </row>
    <row r="23" spans="1:37" x14ac:dyDescent="0.25">
      <c r="A23" s="51" t="s">
        <v>398</v>
      </c>
      <c r="B23" s="51"/>
      <c r="C23" s="38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/>
      <c r="AE23" s="38">
        <v>0</v>
      </c>
      <c r="AF23" s="38">
        <v>0</v>
      </c>
      <c r="AG23" s="38">
        <v>0</v>
      </c>
      <c r="AH23" s="38">
        <v>-0.34</v>
      </c>
      <c r="AI23" s="38">
        <v>0</v>
      </c>
      <c r="AJ23" s="38">
        <v>0</v>
      </c>
      <c r="AK23" s="52"/>
    </row>
    <row r="24" spans="1:37" x14ac:dyDescent="0.25">
      <c r="A24" s="48" t="s">
        <v>399</v>
      </c>
      <c r="B24" s="48"/>
      <c r="C24" s="38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/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50"/>
    </row>
    <row r="25" spans="1:37" x14ac:dyDescent="0.25">
      <c r="A25" s="51" t="s">
        <v>396</v>
      </c>
      <c r="B25" s="51"/>
      <c r="C25" s="38"/>
      <c r="D25" s="38">
        <v>0</v>
      </c>
      <c r="E25" s="38">
        <v>0</v>
      </c>
      <c r="F25" s="38">
        <v>0</v>
      </c>
      <c r="G25" s="38">
        <v>-0.14000000000000001</v>
      </c>
      <c r="H25" s="38">
        <v>0</v>
      </c>
      <c r="I25" s="38">
        <v>0</v>
      </c>
      <c r="J25" s="38">
        <v>0</v>
      </c>
      <c r="K25" s="38">
        <v>0</v>
      </c>
      <c r="L25" s="38">
        <v>-38.08</v>
      </c>
      <c r="M25" s="38">
        <v>-950.92</v>
      </c>
      <c r="N25" s="38">
        <v>0</v>
      </c>
      <c r="O25" s="38">
        <v>0</v>
      </c>
      <c r="P25" s="38">
        <v>0</v>
      </c>
      <c r="Q25" s="38">
        <v>-9952.19</v>
      </c>
      <c r="R25" s="38">
        <v>-71011.88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-5697.45</v>
      </c>
      <c r="Y25" s="38">
        <v>-4928.92</v>
      </c>
      <c r="Z25" s="38">
        <v>0</v>
      </c>
      <c r="AA25" s="38">
        <v>-19062.37</v>
      </c>
      <c r="AB25" s="38">
        <v>-1254.26</v>
      </c>
      <c r="AC25" s="38">
        <v>-113.89</v>
      </c>
      <c r="AD25" s="38"/>
      <c r="AE25" s="38">
        <v>0</v>
      </c>
      <c r="AF25" s="38">
        <v>0</v>
      </c>
      <c r="AG25" s="38">
        <v>0</v>
      </c>
      <c r="AH25" s="38">
        <v>37357.629999999997</v>
      </c>
      <c r="AI25" s="38">
        <v>50730.42</v>
      </c>
      <c r="AJ25" s="38">
        <v>0</v>
      </c>
      <c r="AK25" s="50"/>
    </row>
    <row r="26" spans="1:37" x14ac:dyDescent="0.25">
      <c r="A26" s="51" t="s">
        <v>398</v>
      </c>
      <c r="B26" s="51"/>
      <c r="C26" s="38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/>
      <c r="AE26" s="38">
        <v>0</v>
      </c>
      <c r="AF26" s="38">
        <v>0</v>
      </c>
      <c r="AG26" s="38">
        <v>0</v>
      </c>
      <c r="AH26" s="38">
        <v>-3301.36</v>
      </c>
      <c r="AI26" s="38">
        <v>0</v>
      </c>
      <c r="AJ26" s="38">
        <v>0</v>
      </c>
      <c r="AK26" s="52"/>
    </row>
    <row r="27" spans="1:37" x14ac:dyDescent="0.25">
      <c r="A27" s="48" t="s">
        <v>401</v>
      </c>
      <c r="B27" s="48"/>
      <c r="C27" s="38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-50879.13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/>
      <c r="AE27" s="38">
        <v>0</v>
      </c>
      <c r="AF27" s="38">
        <v>0</v>
      </c>
      <c r="AG27" s="38">
        <v>0</v>
      </c>
      <c r="AH27" s="38">
        <v>50879.13</v>
      </c>
      <c r="AI27" s="38">
        <v>0</v>
      </c>
      <c r="AJ27" s="38">
        <v>0</v>
      </c>
      <c r="AK27" s="50"/>
    </row>
    <row r="28" spans="1:37" x14ac:dyDescent="0.25">
      <c r="A28" s="48" t="s">
        <v>403</v>
      </c>
      <c r="B28" s="48"/>
      <c r="C28" s="38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-64.91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/>
      <c r="AE28" s="38">
        <v>0</v>
      </c>
      <c r="AF28" s="38">
        <v>0</v>
      </c>
      <c r="AG28" s="38">
        <v>0</v>
      </c>
      <c r="AH28" s="38">
        <v>64.91</v>
      </c>
      <c r="AI28" s="38">
        <v>0</v>
      </c>
      <c r="AJ28" s="38">
        <v>0</v>
      </c>
      <c r="AK28" s="50"/>
    </row>
    <row r="29" spans="1:37" x14ac:dyDescent="0.25">
      <c r="A29" s="48" t="s">
        <v>405</v>
      </c>
      <c r="B29" s="48"/>
      <c r="C29" s="38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/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50"/>
    </row>
    <row r="30" spans="1:37" x14ac:dyDescent="0.25">
      <c r="A30" s="51" t="s">
        <v>396</v>
      </c>
      <c r="B30" s="51"/>
      <c r="C30" s="38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-40.99</v>
      </c>
      <c r="M30" s="38">
        <v>-1.24</v>
      </c>
      <c r="N30" s="38">
        <v>0</v>
      </c>
      <c r="O30" s="38">
        <v>0</v>
      </c>
      <c r="P30" s="38">
        <v>0</v>
      </c>
      <c r="Q30" s="38">
        <v>-5452.55</v>
      </c>
      <c r="R30" s="38">
        <v>-349.31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-2893.02</v>
      </c>
      <c r="Y30" s="38">
        <v>-2205.89</v>
      </c>
      <c r="Z30" s="38">
        <v>0</v>
      </c>
      <c r="AA30" s="38">
        <v>-416.69</v>
      </c>
      <c r="AB30" s="38">
        <v>-1705.39</v>
      </c>
      <c r="AC30" s="38">
        <v>-3051.69</v>
      </c>
      <c r="AD30" s="38"/>
      <c r="AE30" s="38">
        <v>-8623.85</v>
      </c>
      <c r="AF30" s="38">
        <v>0</v>
      </c>
      <c r="AG30" s="38">
        <v>0</v>
      </c>
      <c r="AH30" s="38">
        <v>6298.08</v>
      </c>
      <c r="AI30" s="38">
        <v>15630.14</v>
      </c>
      <c r="AJ30" s="38">
        <v>0</v>
      </c>
      <c r="AK30" s="52"/>
    </row>
    <row r="31" spans="1:37" x14ac:dyDescent="0.25">
      <c r="A31" s="51" t="s">
        <v>398</v>
      </c>
      <c r="B31" s="51"/>
      <c r="C31" s="38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/>
      <c r="AE31" s="38">
        <v>0</v>
      </c>
      <c r="AF31" s="38">
        <v>0</v>
      </c>
      <c r="AG31" s="38">
        <v>0</v>
      </c>
      <c r="AH31" s="38">
        <v>-436.62</v>
      </c>
      <c r="AI31" s="38">
        <v>-330.22</v>
      </c>
      <c r="AJ31" s="38">
        <v>0</v>
      </c>
      <c r="AK31" s="52"/>
    </row>
    <row r="32" spans="1:37" x14ac:dyDescent="0.25">
      <c r="A32" s="48" t="s">
        <v>409</v>
      </c>
      <c r="B32" s="48"/>
      <c r="C32" s="38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/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1"/>
    </row>
    <row r="33" spans="1:37" x14ac:dyDescent="0.25">
      <c r="A33" s="51" t="s">
        <v>396</v>
      </c>
      <c r="B33" s="51"/>
      <c r="C33" s="38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-659.17</v>
      </c>
      <c r="M33" s="38">
        <v>-101.43</v>
      </c>
      <c r="N33" s="38">
        <v>-2.04</v>
      </c>
      <c r="O33" s="38">
        <v>0</v>
      </c>
      <c r="P33" s="38">
        <v>0</v>
      </c>
      <c r="Q33" s="38">
        <v>-15439.47</v>
      </c>
      <c r="R33" s="38">
        <v>-87.61</v>
      </c>
      <c r="S33" s="38">
        <v>0</v>
      </c>
      <c r="T33" s="38">
        <v>-848.05</v>
      </c>
      <c r="U33" s="38">
        <v>0</v>
      </c>
      <c r="V33" s="38">
        <v>0</v>
      </c>
      <c r="W33" s="38">
        <v>-140.15</v>
      </c>
      <c r="X33" s="38">
        <v>-5658.29</v>
      </c>
      <c r="Y33" s="38">
        <v>-8753.7900000000009</v>
      </c>
      <c r="Z33" s="38">
        <v>0</v>
      </c>
      <c r="AA33" s="38">
        <v>-1927.68</v>
      </c>
      <c r="AB33" s="38">
        <v>-506.71</v>
      </c>
      <c r="AC33" s="38">
        <v>-429.65999999999997</v>
      </c>
      <c r="AD33" s="38"/>
      <c r="AE33" s="38">
        <v>-499.38</v>
      </c>
      <c r="AF33" s="38">
        <v>-529.35</v>
      </c>
      <c r="AG33" s="38">
        <v>0</v>
      </c>
      <c r="AH33" s="38">
        <v>-828.92</v>
      </c>
      <c r="AI33" s="38">
        <v>35609.1</v>
      </c>
      <c r="AJ33" s="38">
        <v>0</v>
      </c>
      <c r="AK33" s="2"/>
    </row>
    <row r="34" spans="1:37" x14ac:dyDescent="0.25">
      <c r="A34" s="51" t="s">
        <v>398</v>
      </c>
      <c r="B34" s="51"/>
      <c r="C34" s="38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/>
      <c r="AE34" s="38">
        <v>0</v>
      </c>
      <c r="AF34" s="38">
        <v>0</v>
      </c>
      <c r="AG34" s="38">
        <v>0</v>
      </c>
      <c r="AH34" s="38">
        <v>0</v>
      </c>
      <c r="AI34" s="38">
        <v>-286.3</v>
      </c>
      <c r="AJ34" s="38">
        <v>0</v>
      </c>
      <c r="AK34" s="2"/>
    </row>
    <row r="35" spans="1:37" x14ac:dyDescent="0.25">
      <c r="A35" s="48" t="s">
        <v>97</v>
      </c>
      <c r="B35" s="48"/>
      <c r="C35" s="38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/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1"/>
    </row>
    <row r="36" spans="1:37" x14ac:dyDescent="0.25">
      <c r="A36" s="51" t="s">
        <v>460</v>
      </c>
      <c r="B36" s="51"/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-2175.34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-13.32</v>
      </c>
      <c r="AD36" s="38"/>
      <c r="AE36" s="38">
        <v>0</v>
      </c>
      <c r="AF36" s="38">
        <v>0</v>
      </c>
      <c r="AG36" s="38">
        <v>0</v>
      </c>
      <c r="AH36" s="38">
        <v>2178.0700000000002</v>
      </c>
      <c r="AI36" s="38">
        <v>0</v>
      </c>
      <c r="AJ36" s="38">
        <v>0</v>
      </c>
      <c r="AK36" s="2"/>
    </row>
    <row r="37" spans="1:37" x14ac:dyDescent="0.25">
      <c r="A37" s="51" t="s">
        <v>414</v>
      </c>
      <c r="B37" s="51"/>
      <c r="C37" s="38"/>
      <c r="D37" s="38">
        <v>0</v>
      </c>
      <c r="E37" s="38">
        <v>0</v>
      </c>
      <c r="F37" s="38">
        <v>-1582.94</v>
      </c>
      <c r="G37" s="38">
        <v>-39.33</v>
      </c>
      <c r="H37" s="38">
        <v>0</v>
      </c>
      <c r="I37" s="38">
        <v>0</v>
      </c>
      <c r="J37" s="38">
        <v>0</v>
      </c>
      <c r="K37" s="38">
        <v>0</v>
      </c>
      <c r="L37" s="38">
        <v>-51.66</v>
      </c>
      <c r="M37" s="38">
        <v>-634.66999999999996</v>
      </c>
      <c r="N37" s="38">
        <v>-1.83</v>
      </c>
      <c r="O37" s="38">
        <v>0</v>
      </c>
      <c r="P37" s="38">
        <v>0</v>
      </c>
      <c r="Q37" s="38">
        <v>-3398.7</v>
      </c>
      <c r="R37" s="38">
        <v>-29.05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-1.05</v>
      </c>
      <c r="Y37" s="38">
        <v>-170.47</v>
      </c>
      <c r="Z37" s="38">
        <v>0</v>
      </c>
      <c r="AA37" s="38">
        <v>-1.46</v>
      </c>
      <c r="AB37" s="38">
        <v>-1388.77</v>
      </c>
      <c r="AC37" s="38">
        <v>-1362.2</v>
      </c>
      <c r="AD37" s="38"/>
      <c r="AE37" s="38">
        <v>-25661.31</v>
      </c>
      <c r="AF37" s="38">
        <v>-106.99</v>
      </c>
      <c r="AG37" s="38">
        <v>0</v>
      </c>
      <c r="AH37" s="38">
        <v>7381.47</v>
      </c>
      <c r="AI37" s="38">
        <v>19654.04</v>
      </c>
      <c r="AJ37" s="38">
        <v>0</v>
      </c>
      <c r="AK37" s="2"/>
    </row>
    <row r="38" spans="1:37" x14ac:dyDescent="0.25">
      <c r="A38" s="51" t="s">
        <v>416</v>
      </c>
      <c r="B38" s="51"/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-1.54</v>
      </c>
      <c r="M38" s="38">
        <v>-1.3</v>
      </c>
      <c r="N38" s="38">
        <v>-2.4300000000000002</v>
      </c>
      <c r="O38" s="38">
        <v>0</v>
      </c>
      <c r="P38" s="38">
        <v>0</v>
      </c>
      <c r="Q38" s="38">
        <v>-188.69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-23.12</v>
      </c>
      <c r="Y38" s="38">
        <v>-334.71</v>
      </c>
      <c r="Z38" s="38">
        <v>0</v>
      </c>
      <c r="AA38" s="38">
        <v>0</v>
      </c>
      <c r="AB38" s="38">
        <v>-335.88</v>
      </c>
      <c r="AC38" s="38">
        <v>-103.91</v>
      </c>
      <c r="AD38" s="38"/>
      <c r="AE38" s="38">
        <v>-2998.82</v>
      </c>
      <c r="AF38" s="38">
        <v>0</v>
      </c>
      <c r="AG38" s="38">
        <v>0</v>
      </c>
      <c r="AH38" s="38">
        <v>-48.04</v>
      </c>
      <c r="AI38" s="38">
        <v>5966.77</v>
      </c>
      <c r="AJ38" s="38">
        <v>0</v>
      </c>
      <c r="AK38" s="2"/>
    </row>
    <row r="39" spans="1:37" x14ac:dyDescent="0.25">
      <c r="A39" s="48" t="s">
        <v>418</v>
      </c>
      <c r="B39" s="48"/>
      <c r="C39" s="38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-13.81</v>
      </c>
      <c r="M39" s="38">
        <v>0</v>
      </c>
      <c r="N39" s="38">
        <v>0</v>
      </c>
      <c r="O39" s="38">
        <v>0</v>
      </c>
      <c r="P39" s="38">
        <v>0</v>
      </c>
      <c r="Q39" s="38">
        <v>-600.83000000000004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-103.99</v>
      </c>
      <c r="AD39" s="38"/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607.16</v>
      </c>
      <c r="AK39" s="1"/>
    </row>
    <row r="40" spans="1:37" x14ac:dyDescent="0.25">
      <c r="A40" s="48"/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"/>
    </row>
    <row r="41" spans="1:37" x14ac:dyDescent="0.25">
      <c r="A41" s="48" t="s">
        <v>421</v>
      </c>
      <c r="B41" s="48"/>
      <c r="C41" s="38">
        <v>-32184.31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-117.67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-1.24</v>
      </c>
      <c r="AD41" s="38"/>
      <c r="AE41" s="38">
        <v>0</v>
      </c>
      <c r="AF41" s="38">
        <v>0</v>
      </c>
      <c r="AG41" s="38">
        <v>0</v>
      </c>
      <c r="AH41" s="38">
        <v>-6612.3</v>
      </c>
      <c r="AI41" s="38">
        <v>-25424.91</v>
      </c>
      <c r="AJ41" s="38">
        <v>-28.19</v>
      </c>
      <c r="AK41" s="1"/>
    </row>
    <row r="42" spans="1:37" x14ac:dyDescent="0.25">
      <c r="A42" s="48" t="s">
        <v>423</v>
      </c>
      <c r="B42" s="48"/>
      <c r="C42" s="38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/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1"/>
    </row>
    <row r="43" spans="1:37" x14ac:dyDescent="0.25">
      <c r="A43" s="51" t="s">
        <v>425</v>
      </c>
      <c r="B43" s="51"/>
      <c r="C43" s="38">
        <v>-10536.27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-10536.27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/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</row>
    <row r="44" spans="1:37" x14ac:dyDescent="0.25">
      <c r="A44" s="51" t="s">
        <v>427</v>
      </c>
      <c r="B44" s="51"/>
      <c r="C44" s="38">
        <v>-160079.13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-58087.8</v>
      </c>
      <c r="J44" s="38">
        <v>0</v>
      </c>
      <c r="K44" s="38">
        <v>0</v>
      </c>
      <c r="L44" s="38">
        <v>-92946.29</v>
      </c>
      <c r="M44" s="38">
        <v>0</v>
      </c>
      <c r="N44" s="38">
        <v>0</v>
      </c>
      <c r="O44" s="38">
        <v>0</v>
      </c>
      <c r="P44" s="38">
        <v>0</v>
      </c>
      <c r="Q44" s="38">
        <v>-75.55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-0.8</v>
      </c>
      <c r="AD44" s="38"/>
      <c r="AE44" s="38">
        <v>0</v>
      </c>
      <c r="AF44" s="38">
        <v>-8968.7000000000007</v>
      </c>
      <c r="AG44" s="38">
        <v>0</v>
      </c>
      <c r="AH44" s="38">
        <v>0</v>
      </c>
      <c r="AI44" s="38">
        <v>0</v>
      </c>
      <c r="AJ44" s="38">
        <v>0</v>
      </c>
      <c r="AK44" s="2"/>
    </row>
    <row r="45" spans="1:37" x14ac:dyDescent="0.25">
      <c r="A45" s="51" t="s">
        <v>429</v>
      </c>
      <c r="B45" s="51"/>
      <c r="C45" s="38">
        <v>-4784.7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-3355.5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/>
      <c r="AE45" s="38">
        <v>0</v>
      </c>
      <c r="AF45" s="38">
        <v>0</v>
      </c>
      <c r="AG45" s="38">
        <v>0</v>
      </c>
      <c r="AH45" s="38">
        <v>-1429.2</v>
      </c>
      <c r="AI45" s="38">
        <v>0</v>
      </c>
      <c r="AJ45" s="38">
        <v>0</v>
      </c>
      <c r="AK45" s="2"/>
    </row>
    <row r="46" spans="1:37" x14ac:dyDescent="0.25">
      <c r="A46" s="51" t="s">
        <v>431</v>
      </c>
      <c r="B46" s="51"/>
      <c r="C46" s="38">
        <v>-5639.71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-5600.52</v>
      </c>
      <c r="M46" s="38">
        <v>-39.19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/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</row>
    <row r="47" spans="1:37" x14ac:dyDescent="0.25">
      <c r="A47" s="51" t="s">
        <v>433</v>
      </c>
      <c r="B47" s="51"/>
      <c r="C47" s="38">
        <v>-36978.74</v>
      </c>
      <c r="D47" s="38">
        <v>0</v>
      </c>
      <c r="E47" s="38">
        <v>0</v>
      </c>
      <c r="F47" s="38">
        <v>0</v>
      </c>
      <c r="G47" s="38">
        <v>0</v>
      </c>
      <c r="H47" s="38">
        <v>-6.93</v>
      </c>
      <c r="I47" s="38">
        <v>0</v>
      </c>
      <c r="J47" s="38">
        <v>0</v>
      </c>
      <c r="K47" s="38">
        <v>-36971.800000000003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/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</row>
    <row r="48" spans="1:37" x14ac:dyDescent="0.25">
      <c r="A48" s="51" t="s">
        <v>435</v>
      </c>
      <c r="B48" s="51"/>
      <c r="C48" s="38">
        <v>-1263.48</v>
      </c>
      <c r="D48" s="38">
        <v>0</v>
      </c>
      <c r="E48" s="38">
        <v>0</v>
      </c>
      <c r="F48" s="38">
        <v>0</v>
      </c>
      <c r="G48" s="38">
        <v>0</v>
      </c>
      <c r="H48" s="38">
        <v>-42.6</v>
      </c>
      <c r="I48" s="38">
        <v>-0.13</v>
      </c>
      <c r="J48" s="38">
        <v>0</v>
      </c>
      <c r="K48" s="38">
        <v>-1220.74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/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</row>
    <row r="49" spans="1:37" x14ac:dyDescent="0.25">
      <c r="A49" s="51" t="s">
        <v>437</v>
      </c>
      <c r="B49" s="51"/>
      <c r="C49" s="38">
        <v>-1349.72</v>
      </c>
      <c r="D49" s="38">
        <v>0</v>
      </c>
      <c r="E49" s="38">
        <v>0</v>
      </c>
      <c r="F49" s="38">
        <v>0</v>
      </c>
      <c r="G49" s="38">
        <v>0</v>
      </c>
      <c r="H49" s="38">
        <v>-3.73</v>
      </c>
      <c r="I49" s="38">
        <v>-1.91</v>
      </c>
      <c r="J49" s="38">
        <v>0</v>
      </c>
      <c r="K49" s="38">
        <v>-734.42</v>
      </c>
      <c r="L49" s="38">
        <v>-609.66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/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</row>
    <row r="50" spans="1:37" x14ac:dyDescent="0.25">
      <c r="A50" s="51" t="s">
        <v>439</v>
      </c>
      <c r="B50" s="51"/>
      <c r="C50" s="38">
        <v>-27137.59</v>
      </c>
      <c r="D50" s="38">
        <v>0</v>
      </c>
      <c r="E50" s="38">
        <v>0</v>
      </c>
      <c r="F50" s="38">
        <v>0</v>
      </c>
      <c r="G50" s="38">
        <v>-179.91</v>
      </c>
      <c r="H50" s="38">
        <v>0</v>
      </c>
      <c r="I50" s="38">
        <v>-60.08</v>
      </c>
      <c r="J50" s="38">
        <v>-0.03</v>
      </c>
      <c r="K50" s="38">
        <v>0</v>
      </c>
      <c r="L50" s="38">
        <v>-13669.3</v>
      </c>
      <c r="M50" s="38">
        <v>-66.67</v>
      </c>
      <c r="N50" s="38">
        <v>0</v>
      </c>
      <c r="O50" s="38">
        <v>-1.35</v>
      </c>
      <c r="P50" s="38">
        <v>0</v>
      </c>
      <c r="Q50" s="38">
        <v>-1478.88</v>
      </c>
      <c r="R50" s="38">
        <v>-737.8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-1965.7</v>
      </c>
      <c r="Y50" s="38">
        <v>-25.49</v>
      </c>
      <c r="Z50" s="38">
        <v>0</v>
      </c>
      <c r="AA50" s="38">
        <v>0</v>
      </c>
      <c r="AB50" s="38">
        <v>-177.46</v>
      </c>
      <c r="AC50" s="38">
        <v>-131.9</v>
      </c>
      <c r="AD50" s="38"/>
      <c r="AE50" s="38">
        <v>0</v>
      </c>
      <c r="AF50" s="38">
        <v>0</v>
      </c>
      <c r="AG50" s="38">
        <v>-634.1</v>
      </c>
      <c r="AH50" s="38">
        <v>-6423.92</v>
      </c>
      <c r="AI50" s="38">
        <v>-1585</v>
      </c>
      <c r="AJ50" s="38">
        <v>0</v>
      </c>
      <c r="AK50" s="2"/>
    </row>
    <row r="51" spans="1:37" x14ac:dyDescent="0.25">
      <c r="A51" s="51" t="s">
        <v>441</v>
      </c>
      <c r="B51" s="51"/>
      <c r="C51" s="38">
        <v>-5205.09</v>
      </c>
      <c r="D51" s="38">
        <v>0</v>
      </c>
      <c r="E51" s="38">
        <v>0</v>
      </c>
      <c r="F51" s="38">
        <v>0</v>
      </c>
      <c r="G51" s="38">
        <v>-12.1</v>
      </c>
      <c r="H51" s="38">
        <v>0</v>
      </c>
      <c r="I51" s="38">
        <v>-7.0000000000000007E-2</v>
      </c>
      <c r="J51" s="38">
        <v>0</v>
      </c>
      <c r="K51" s="38">
        <v>0</v>
      </c>
      <c r="L51" s="38">
        <v>-5192.92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/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</row>
    <row r="52" spans="1:37" x14ac:dyDescent="0.25">
      <c r="A52" s="51" t="s">
        <v>443</v>
      </c>
      <c r="B52" s="51"/>
      <c r="C52" s="38">
        <v>-84062.22</v>
      </c>
      <c r="D52" s="38">
        <v>0</v>
      </c>
      <c r="E52" s="38">
        <v>0</v>
      </c>
      <c r="F52" s="38">
        <v>0</v>
      </c>
      <c r="G52" s="38">
        <v>-911.21</v>
      </c>
      <c r="H52" s="38">
        <v>0</v>
      </c>
      <c r="I52" s="38">
        <v>-5.81</v>
      </c>
      <c r="J52" s="38">
        <v>-17.64</v>
      </c>
      <c r="K52" s="38">
        <v>0</v>
      </c>
      <c r="L52" s="38">
        <v>-2469.61</v>
      </c>
      <c r="M52" s="38">
        <v>-1760.39</v>
      </c>
      <c r="N52" s="38">
        <v>-32.869999999999997</v>
      </c>
      <c r="O52" s="38">
        <v>-6569.79</v>
      </c>
      <c r="P52" s="38">
        <v>0</v>
      </c>
      <c r="Q52" s="38">
        <v>-26914.12</v>
      </c>
      <c r="R52" s="38">
        <v>-3689.05</v>
      </c>
      <c r="S52" s="38">
        <v>-504.05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-1103.0899999999999</v>
      </c>
      <c r="AB52" s="38">
        <v>-3450.09</v>
      </c>
      <c r="AC52" s="38">
        <v>-529.28</v>
      </c>
      <c r="AD52" s="38"/>
      <c r="AE52" s="38">
        <v>-1493.85</v>
      </c>
      <c r="AF52" s="38">
        <v>0</v>
      </c>
      <c r="AG52" s="38">
        <v>-1842.99</v>
      </c>
      <c r="AH52" s="38">
        <v>-29090.7</v>
      </c>
      <c r="AI52" s="38">
        <v>-3469</v>
      </c>
      <c r="AJ52" s="38">
        <v>-208.68</v>
      </c>
      <c r="AK52" s="2"/>
    </row>
    <row r="53" spans="1:37" x14ac:dyDescent="0.25">
      <c r="A53" s="51" t="s">
        <v>445</v>
      </c>
      <c r="B53" s="51"/>
      <c r="C53" s="38">
        <v>-6526.48</v>
      </c>
      <c r="D53" s="38">
        <v>0</v>
      </c>
      <c r="E53" s="38">
        <v>0</v>
      </c>
      <c r="F53" s="38">
        <v>0</v>
      </c>
      <c r="G53" s="38">
        <v>-69.92</v>
      </c>
      <c r="H53" s="38">
        <v>0</v>
      </c>
      <c r="I53" s="38">
        <v>-7.26</v>
      </c>
      <c r="J53" s="38">
        <v>-0.24</v>
      </c>
      <c r="K53" s="38">
        <v>0</v>
      </c>
      <c r="L53" s="38">
        <v>-4723.9799999999996</v>
      </c>
      <c r="M53" s="38">
        <v>0</v>
      </c>
      <c r="N53" s="38">
        <v>0</v>
      </c>
      <c r="O53" s="38">
        <v>0</v>
      </c>
      <c r="P53" s="38">
        <v>0</v>
      </c>
      <c r="Q53" s="38">
        <v>-421.05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-4.43</v>
      </c>
      <c r="AD53" s="38"/>
      <c r="AE53" s="38">
        <v>0</v>
      </c>
      <c r="AF53" s="38">
        <v>0</v>
      </c>
      <c r="AG53" s="38">
        <v>0</v>
      </c>
      <c r="AH53" s="38">
        <v>-1299.5999999999999</v>
      </c>
      <c r="AI53" s="38">
        <v>0</v>
      </c>
      <c r="AJ53" s="38">
        <v>0</v>
      </c>
      <c r="AK53" s="2"/>
    </row>
    <row r="54" spans="1:37" x14ac:dyDescent="0.25">
      <c r="A54" s="51" t="s">
        <v>447</v>
      </c>
      <c r="B54" s="51"/>
      <c r="C54" s="38">
        <v>-10498.2</v>
      </c>
      <c r="D54" s="38">
        <v>0</v>
      </c>
      <c r="E54" s="38">
        <v>0</v>
      </c>
      <c r="F54" s="38">
        <v>0</v>
      </c>
      <c r="G54" s="38">
        <v>-40.06</v>
      </c>
      <c r="H54" s="38">
        <v>0</v>
      </c>
      <c r="I54" s="38">
        <v>0</v>
      </c>
      <c r="J54" s="38">
        <v>-0.53</v>
      </c>
      <c r="K54" s="38">
        <v>0</v>
      </c>
      <c r="L54" s="38">
        <v>-265.60000000000002</v>
      </c>
      <c r="M54" s="38">
        <v>-0.19</v>
      </c>
      <c r="N54" s="38">
        <v>0</v>
      </c>
      <c r="O54" s="38">
        <v>-0.46</v>
      </c>
      <c r="P54" s="38">
        <v>0</v>
      </c>
      <c r="Q54" s="38">
        <v>-1019.28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-10.73</v>
      </c>
      <c r="AD54" s="38"/>
      <c r="AE54" s="38">
        <v>0</v>
      </c>
      <c r="AF54" s="38">
        <v>0</v>
      </c>
      <c r="AG54" s="38">
        <v>0</v>
      </c>
      <c r="AH54" s="38">
        <v>-5184.09</v>
      </c>
      <c r="AI54" s="38">
        <v>-3977.26</v>
      </c>
      <c r="AJ54" s="38">
        <v>0</v>
      </c>
      <c r="AK54" s="2"/>
    </row>
    <row r="55" spans="1:37" x14ac:dyDescent="0.25">
      <c r="A55" s="51" t="s">
        <v>449</v>
      </c>
      <c r="B55" s="51"/>
      <c r="C55" s="38">
        <v>-9981.3700000000008</v>
      </c>
      <c r="D55" s="38">
        <v>0</v>
      </c>
      <c r="E55" s="38">
        <v>0</v>
      </c>
      <c r="F55" s="38">
        <v>0</v>
      </c>
      <c r="G55" s="38">
        <v>-32.64</v>
      </c>
      <c r="H55" s="38">
        <v>0</v>
      </c>
      <c r="I55" s="38">
        <v>0</v>
      </c>
      <c r="J55" s="38">
        <v>-0.23</v>
      </c>
      <c r="K55" s="38">
        <v>0</v>
      </c>
      <c r="L55" s="38">
        <v>-113.96</v>
      </c>
      <c r="M55" s="38">
        <v>-0.08</v>
      </c>
      <c r="N55" s="38">
        <v>0</v>
      </c>
      <c r="O55" s="38">
        <v>-0.2</v>
      </c>
      <c r="P55" s="38">
        <v>0</v>
      </c>
      <c r="Q55" s="38">
        <v>-778.71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-8.1999999999999993</v>
      </c>
      <c r="AD55" s="38"/>
      <c r="AE55" s="38">
        <v>0</v>
      </c>
      <c r="AF55" s="38">
        <v>0</v>
      </c>
      <c r="AG55" s="38">
        <v>0</v>
      </c>
      <c r="AH55" s="38">
        <v>-5977.18</v>
      </c>
      <c r="AI55" s="38">
        <v>-3070.17</v>
      </c>
      <c r="AJ55" s="38">
        <v>0</v>
      </c>
      <c r="AK55" s="2"/>
    </row>
    <row r="56" spans="1:37" x14ac:dyDescent="0.25">
      <c r="A56" s="51" t="s">
        <v>451</v>
      </c>
      <c r="B56" s="51"/>
      <c r="C56" s="38">
        <v>-34213.339999999997</v>
      </c>
      <c r="D56" s="38">
        <v>0</v>
      </c>
      <c r="E56" s="38">
        <v>0</v>
      </c>
      <c r="F56" s="38">
        <v>0</v>
      </c>
      <c r="G56" s="38">
        <v>-150.21</v>
      </c>
      <c r="H56" s="38">
        <v>0</v>
      </c>
      <c r="I56" s="38">
        <v>0</v>
      </c>
      <c r="J56" s="38">
        <v>-1.47</v>
      </c>
      <c r="K56" s="38">
        <v>0</v>
      </c>
      <c r="L56" s="38">
        <v>-685.79</v>
      </c>
      <c r="M56" s="38">
        <v>-8.57</v>
      </c>
      <c r="N56" s="38">
        <v>-0.06</v>
      </c>
      <c r="O56" s="38">
        <v>-1.29</v>
      </c>
      <c r="P56" s="38">
        <v>0</v>
      </c>
      <c r="Q56" s="38">
        <v>-3266.07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-21.15</v>
      </c>
      <c r="Z56" s="38">
        <v>0</v>
      </c>
      <c r="AA56" s="38">
        <v>0</v>
      </c>
      <c r="AB56" s="38">
        <v>-18.850000000000001</v>
      </c>
      <c r="AC56" s="38">
        <v>-199.47</v>
      </c>
      <c r="AD56" s="38"/>
      <c r="AE56" s="38">
        <v>-414.31</v>
      </c>
      <c r="AF56" s="38">
        <v>0</v>
      </c>
      <c r="AG56" s="38">
        <v>0</v>
      </c>
      <c r="AH56" s="38">
        <v>-16060.05</v>
      </c>
      <c r="AI56" s="38">
        <v>-13374.39</v>
      </c>
      <c r="AJ56" s="38">
        <v>-11.66</v>
      </c>
      <c r="AK56" s="2"/>
    </row>
    <row r="57" spans="1:37" x14ac:dyDescent="0.25">
      <c r="A57" s="51" t="s">
        <v>453</v>
      </c>
      <c r="B57" s="51"/>
      <c r="C57" s="38">
        <v>-23375.040000000001</v>
      </c>
      <c r="D57" s="38">
        <v>0</v>
      </c>
      <c r="E57" s="38">
        <v>0</v>
      </c>
      <c r="F57" s="38">
        <v>0</v>
      </c>
      <c r="G57" s="38">
        <v>-157.31</v>
      </c>
      <c r="H57" s="38">
        <v>0</v>
      </c>
      <c r="I57" s="38">
        <v>0</v>
      </c>
      <c r="J57" s="38">
        <v>-2.27</v>
      </c>
      <c r="K57" s="38">
        <v>0</v>
      </c>
      <c r="L57" s="38">
        <v>-1139.06</v>
      </c>
      <c r="M57" s="38">
        <v>-11.23</v>
      </c>
      <c r="N57" s="38">
        <v>0</v>
      </c>
      <c r="O57" s="38">
        <v>-1.99</v>
      </c>
      <c r="P57" s="38">
        <v>0</v>
      </c>
      <c r="Q57" s="38">
        <v>-2455.2800000000002</v>
      </c>
      <c r="R57" s="38">
        <v>0</v>
      </c>
      <c r="S57" s="38">
        <v>0</v>
      </c>
      <c r="T57" s="38">
        <v>-87.11</v>
      </c>
      <c r="U57" s="38">
        <v>0</v>
      </c>
      <c r="V57" s="38">
        <v>0</v>
      </c>
      <c r="W57" s="38">
        <v>0</v>
      </c>
      <c r="X57" s="38">
        <v>0</v>
      </c>
      <c r="Y57" s="38">
        <v>-147.24</v>
      </c>
      <c r="Z57" s="38">
        <v>0</v>
      </c>
      <c r="AA57" s="38">
        <v>-965.14</v>
      </c>
      <c r="AB57" s="38">
        <v>0</v>
      </c>
      <c r="AC57" s="38">
        <v>-25.85</v>
      </c>
      <c r="AD57" s="38"/>
      <c r="AE57" s="38">
        <v>0</v>
      </c>
      <c r="AF57" s="38">
        <v>0</v>
      </c>
      <c r="AG57" s="38">
        <v>0</v>
      </c>
      <c r="AH57" s="38">
        <v>-8416.02</v>
      </c>
      <c r="AI57" s="38">
        <v>-9948.58</v>
      </c>
      <c r="AJ57" s="38">
        <v>-17.96</v>
      </c>
      <c r="AK57" s="2"/>
    </row>
    <row r="58" spans="1:37" x14ac:dyDescent="0.25">
      <c r="A58" s="51" t="s">
        <v>455</v>
      </c>
      <c r="B58" s="51"/>
      <c r="C58" s="38">
        <v>-135960.34</v>
      </c>
      <c r="D58" s="38">
        <v>0</v>
      </c>
      <c r="E58" s="38">
        <v>0</v>
      </c>
      <c r="F58" s="38">
        <v>0</v>
      </c>
      <c r="G58" s="38">
        <v>-482.77</v>
      </c>
      <c r="H58" s="38">
        <v>0</v>
      </c>
      <c r="I58" s="38">
        <v>-884.59</v>
      </c>
      <c r="J58" s="38">
        <v>-5.22</v>
      </c>
      <c r="K58" s="38">
        <v>0</v>
      </c>
      <c r="L58" s="38">
        <v>-7082.33</v>
      </c>
      <c r="M58" s="38">
        <v>0</v>
      </c>
      <c r="N58" s="38">
        <v>0</v>
      </c>
      <c r="O58" s="38">
        <v>-628</v>
      </c>
      <c r="P58" s="38">
        <v>0</v>
      </c>
      <c r="Q58" s="38">
        <v>-20672.650000000001</v>
      </c>
      <c r="R58" s="38">
        <v>0</v>
      </c>
      <c r="S58" s="38">
        <v>0</v>
      </c>
      <c r="T58" s="38">
        <v>-406.52</v>
      </c>
      <c r="U58" s="38">
        <v>0</v>
      </c>
      <c r="V58" s="38">
        <v>0</v>
      </c>
      <c r="W58" s="38">
        <v>0</v>
      </c>
      <c r="X58" s="38">
        <v>-2948.55</v>
      </c>
      <c r="Y58" s="38">
        <v>-81.2</v>
      </c>
      <c r="Z58" s="38">
        <v>-24490</v>
      </c>
      <c r="AA58" s="38">
        <v>-12708.61</v>
      </c>
      <c r="AB58" s="38">
        <v>0</v>
      </c>
      <c r="AC58" s="38">
        <v>-217.63</v>
      </c>
      <c r="AD58" s="38"/>
      <c r="AE58" s="38">
        <v>0</v>
      </c>
      <c r="AF58" s="38">
        <v>-6.81</v>
      </c>
      <c r="AG58" s="38">
        <v>-5523.75</v>
      </c>
      <c r="AH58" s="38">
        <v>-27572.31</v>
      </c>
      <c r="AI58" s="38">
        <v>-32064.25</v>
      </c>
      <c r="AJ58" s="38">
        <v>-185.14</v>
      </c>
      <c r="AK58" s="2"/>
    </row>
    <row r="59" spans="1:37" x14ac:dyDescent="0.25">
      <c r="A59" s="51" t="s">
        <v>457</v>
      </c>
      <c r="B59" s="51"/>
      <c r="C59" s="38">
        <v>-48373.08</v>
      </c>
      <c r="D59" s="38">
        <v>0</v>
      </c>
      <c r="E59" s="38">
        <v>0</v>
      </c>
      <c r="F59" s="38">
        <v>0</v>
      </c>
      <c r="G59" s="38">
        <v>-267.38</v>
      </c>
      <c r="H59" s="38">
        <v>0</v>
      </c>
      <c r="I59" s="38">
        <v>0</v>
      </c>
      <c r="J59" s="38">
        <v>-4.0199999999999996</v>
      </c>
      <c r="K59" s="38">
        <v>0</v>
      </c>
      <c r="L59" s="38">
        <v>-1342.37</v>
      </c>
      <c r="M59" s="38">
        <v>-14.68</v>
      </c>
      <c r="N59" s="38">
        <v>0</v>
      </c>
      <c r="O59" s="38">
        <v>-3.53</v>
      </c>
      <c r="P59" s="38">
        <v>0</v>
      </c>
      <c r="Q59" s="38">
        <v>-3761.9</v>
      </c>
      <c r="R59" s="38">
        <v>0</v>
      </c>
      <c r="S59" s="38">
        <v>0</v>
      </c>
      <c r="T59" s="38">
        <v>-87.11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-39.6</v>
      </c>
      <c r="AD59" s="38"/>
      <c r="AE59" s="38">
        <v>0</v>
      </c>
      <c r="AF59" s="38">
        <v>0</v>
      </c>
      <c r="AG59" s="38">
        <v>0</v>
      </c>
      <c r="AH59" s="38">
        <v>-9063.64</v>
      </c>
      <c r="AI59" s="38">
        <v>-33633.31</v>
      </c>
      <c r="AJ59" s="38">
        <v>-155.52000000000001</v>
      </c>
      <c r="AK59" s="2"/>
    </row>
    <row r="60" spans="1:3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>
        <v>0</v>
      </c>
      <c r="AD60" s="37"/>
      <c r="AE60" s="37"/>
      <c r="AF60" s="37"/>
      <c r="AG60" s="37"/>
      <c r="AH60" s="37"/>
      <c r="AI60" s="37"/>
      <c r="AJ60" s="37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AK60"/>
  <sheetViews>
    <sheetView workbookViewId="0">
      <selection activeCell="A4" sqref="A4:AJ4"/>
    </sheetView>
  </sheetViews>
  <sheetFormatPr defaultRowHeight="15" x14ac:dyDescent="0.25"/>
  <cols>
    <col min="1" max="2" width="32.5703125" customWidth="1"/>
  </cols>
  <sheetData>
    <row r="1" spans="1:37" ht="20.25" x14ac:dyDescent="0.3">
      <c r="A1" s="39" t="s">
        <v>466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</row>
    <row r="2" spans="1:37" ht="20.25" x14ac:dyDescent="0.3">
      <c r="A2" s="39"/>
      <c r="B2" s="39"/>
      <c r="C2" s="36"/>
      <c r="D2" s="36"/>
      <c r="E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6"/>
      <c r="AD2" s="36"/>
      <c r="AE2" s="157"/>
      <c r="AF2" s="2"/>
      <c r="AG2" s="36"/>
      <c r="AH2" s="2"/>
      <c r="AI2" s="2"/>
      <c r="AJ2" s="2"/>
      <c r="AK2" s="43"/>
    </row>
    <row r="3" spans="1:37" ht="63.75" x14ac:dyDescent="0.25">
      <c r="A3" s="44"/>
      <c r="B3" s="44"/>
      <c r="C3" s="45" t="s">
        <v>303</v>
      </c>
      <c r="D3" s="45" t="s">
        <v>215</v>
      </c>
      <c r="E3" s="45" t="s">
        <v>304</v>
      </c>
      <c r="F3" s="45" t="s">
        <v>305</v>
      </c>
      <c r="G3" s="45" t="s">
        <v>306</v>
      </c>
      <c r="H3" s="45" t="s">
        <v>307</v>
      </c>
      <c r="I3" s="45" t="s">
        <v>462</v>
      </c>
      <c r="J3" s="46" t="s">
        <v>309</v>
      </c>
      <c r="K3" s="46" t="s">
        <v>310</v>
      </c>
      <c r="L3" s="45" t="s">
        <v>311</v>
      </c>
      <c r="M3" s="45" t="s">
        <v>312</v>
      </c>
      <c r="N3" s="45" t="s">
        <v>313</v>
      </c>
      <c r="O3" s="45" t="s">
        <v>314</v>
      </c>
      <c r="P3" s="45" t="s">
        <v>315</v>
      </c>
      <c r="Q3" s="45" t="s">
        <v>3</v>
      </c>
      <c r="R3" s="45" t="s">
        <v>316</v>
      </c>
      <c r="S3" s="45" t="s">
        <v>317</v>
      </c>
      <c r="T3" s="45" t="s">
        <v>318</v>
      </c>
      <c r="U3" s="45" t="s">
        <v>319</v>
      </c>
      <c r="V3" s="45" t="s">
        <v>107</v>
      </c>
      <c r="W3" s="45" t="s">
        <v>320</v>
      </c>
      <c r="X3" s="45" t="s">
        <v>321</v>
      </c>
      <c r="Y3" s="45" t="s">
        <v>322</v>
      </c>
      <c r="Z3" s="45" t="s">
        <v>323</v>
      </c>
      <c r="AA3" s="45" t="s">
        <v>324</v>
      </c>
      <c r="AB3" s="45" t="s">
        <v>325</v>
      </c>
      <c r="AC3" s="45" t="s">
        <v>326</v>
      </c>
      <c r="AD3" s="45"/>
      <c r="AE3" s="45" t="s">
        <v>264</v>
      </c>
      <c r="AF3" s="45" t="s">
        <v>11</v>
      </c>
      <c r="AG3" s="45" t="s">
        <v>328</v>
      </c>
      <c r="AH3" s="45" t="s">
        <v>13</v>
      </c>
      <c r="AI3" s="41" t="s">
        <v>463</v>
      </c>
      <c r="AJ3" s="45" t="s">
        <v>329</v>
      </c>
      <c r="AK3" s="47"/>
    </row>
    <row r="4" spans="1:37" x14ac:dyDescent="0.25">
      <c r="A4" s="44"/>
      <c r="B4" s="44"/>
      <c r="C4" s="45"/>
      <c r="D4" s="45"/>
      <c r="E4" s="45"/>
      <c r="F4" s="45"/>
      <c r="G4" s="45"/>
      <c r="H4" s="45"/>
      <c r="I4" s="45"/>
      <c r="J4" s="46"/>
      <c r="K4" s="46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1"/>
      <c r="AJ4" s="45"/>
      <c r="AK4" s="47"/>
    </row>
    <row r="5" spans="1:37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</row>
    <row r="6" spans="1:37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</row>
    <row r="7" spans="1:37" x14ac:dyDescent="0.25">
      <c r="A7" s="51" t="s">
        <v>365</v>
      </c>
      <c r="B7" s="51"/>
      <c r="C7" s="38">
        <v>679680.27</v>
      </c>
      <c r="D7" s="38">
        <v>349634.68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173649.62</v>
      </c>
      <c r="R7" s="38">
        <v>0</v>
      </c>
      <c r="S7" s="38">
        <v>0</v>
      </c>
      <c r="T7" s="38">
        <v>3370.56</v>
      </c>
      <c r="U7" s="38">
        <v>47082.61</v>
      </c>
      <c r="V7" s="38">
        <v>54.37</v>
      </c>
      <c r="W7" s="38">
        <v>165.75</v>
      </c>
      <c r="X7" s="38">
        <v>18409.39</v>
      </c>
      <c r="Y7" s="38">
        <v>10842.36</v>
      </c>
      <c r="Z7" s="38">
        <v>15634.09</v>
      </c>
      <c r="AA7" s="38">
        <v>1951.18</v>
      </c>
      <c r="AB7" s="38">
        <v>7053.25</v>
      </c>
      <c r="AC7" s="38">
        <v>5143.03</v>
      </c>
      <c r="AD7" s="38"/>
      <c r="AE7" s="38">
        <v>38719.870000000003</v>
      </c>
      <c r="AF7" s="38">
        <v>724.86</v>
      </c>
      <c r="AG7" s="38">
        <v>7244.65</v>
      </c>
      <c r="AH7" s="38">
        <v>0</v>
      </c>
      <c r="AI7" s="38">
        <v>0</v>
      </c>
      <c r="AJ7" s="38">
        <v>0</v>
      </c>
      <c r="AK7" s="52"/>
    </row>
    <row r="8" spans="1:37" x14ac:dyDescent="0.25">
      <c r="A8" s="51" t="s">
        <v>367</v>
      </c>
      <c r="B8" s="51"/>
      <c r="C8" s="38">
        <v>10.93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10.93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/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50"/>
    </row>
    <row r="9" spans="1:37" x14ac:dyDescent="0.25">
      <c r="A9" s="51" t="s">
        <v>369</v>
      </c>
      <c r="B9" s="51"/>
      <c r="C9" s="38">
        <v>736068.64</v>
      </c>
      <c r="D9" s="38">
        <v>148670.78</v>
      </c>
      <c r="E9" s="38">
        <v>22041.360000000001</v>
      </c>
      <c r="F9" s="38">
        <v>0</v>
      </c>
      <c r="G9" s="38">
        <v>825.24</v>
      </c>
      <c r="H9" s="38">
        <v>68.849999999999994</v>
      </c>
      <c r="I9" s="38">
        <v>28188.06</v>
      </c>
      <c r="J9" s="38">
        <v>0</v>
      </c>
      <c r="K9" s="38">
        <v>32459.11</v>
      </c>
      <c r="L9" s="38">
        <v>112518.85</v>
      </c>
      <c r="M9" s="38">
        <v>134802.07</v>
      </c>
      <c r="N9" s="38">
        <v>0</v>
      </c>
      <c r="O9" s="38">
        <v>9087.91</v>
      </c>
      <c r="P9" s="38">
        <v>10960.77</v>
      </c>
      <c r="Q9" s="38">
        <v>23421.61</v>
      </c>
      <c r="R9" s="38">
        <v>111962.89</v>
      </c>
      <c r="S9" s="38">
        <v>614.29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5585.46</v>
      </c>
      <c r="Z9" s="38">
        <v>2778.45</v>
      </c>
      <c r="AA9" s="38">
        <v>35421.39</v>
      </c>
      <c r="AB9" s="38">
        <v>0</v>
      </c>
      <c r="AC9" s="38">
        <v>0</v>
      </c>
      <c r="AD9" s="38"/>
      <c r="AE9" s="38">
        <v>0</v>
      </c>
      <c r="AF9" s="38">
        <v>10791.95</v>
      </c>
      <c r="AG9" s="38">
        <v>0</v>
      </c>
      <c r="AH9" s="38">
        <v>45728.5</v>
      </c>
      <c r="AI9" s="38">
        <v>141.11000000000001</v>
      </c>
      <c r="AJ9" s="38">
        <v>0</v>
      </c>
      <c r="AK9" s="52"/>
    </row>
    <row r="10" spans="1:37" x14ac:dyDescent="0.25">
      <c r="A10" s="51" t="s">
        <v>371</v>
      </c>
      <c r="B10" s="51"/>
      <c r="C10" s="38">
        <v>-646730.80000000005</v>
      </c>
      <c r="D10" s="38">
        <v>-206404.43</v>
      </c>
      <c r="E10" s="38">
        <v>-34656.300000000003</v>
      </c>
      <c r="F10" s="38">
        <v>0</v>
      </c>
      <c r="G10" s="38">
        <v>-4494.38</v>
      </c>
      <c r="H10" s="38">
        <v>-3.55</v>
      </c>
      <c r="I10" s="38">
        <v>-53217.3</v>
      </c>
      <c r="J10" s="38">
        <v>0</v>
      </c>
      <c r="K10" s="38">
        <v>-2786.02</v>
      </c>
      <c r="L10" s="38">
        <v>-71353.22</v>
      </c>
      <c r="M10" s="38">
        <v>-156853.76000000001</v>
      </c>
      <c r="N10" s="38">
        <v>0</v>
      </c>
      <c r="O10" s="38">
        <v>-110.03</v>
      </c>
      <c r="P10" s="38">
        <v>-165.77</v>
      </c>
      <c r="Q10" s="38">
        <v>-78439.210000000006</v>
      </c>
      <c r="R10" s="38">
        <v>-1294.3499999999999</v>
      </c>
      <c r="S10" s="38">
        <v>-0.08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/>
      <c r="AE10" s="38">
        <v>0</v>
      </c>
      <c r="AF10" s="38">
        <v>-1503.02</v>
      </c>
      <c r="AG10" s="38">
        <v>0</v>
      </c>
      <c r="AH10" s="38">
        <v>-35449.4</v>
      </c>
      <c r="AI10" s="38">
        <v>0</v>
      </c>
      <c r="AJ10" s="38">
        <v>0</v>
      </c>
      <c r="AK10" s="52"/>
    </row>
    <row r="11" spans="1:37" x14ac:dyDescent="0.25">
      <c r="A11" s="51" t="s">
        <v>373</v>
      </c>
      <c r="B11" s="51"/>
      <c r="C11" s="38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1675.35</v>
      </c>
      <c r="J11" s="38">
        <v>0</v>
      </c>
      <c r="K11" s="38">
        <v>0</v>
      </c>
      <c r="L11" s="38">
        <v>-9863.7000000000007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/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52"/>
    </row>
    <row r="12" spans="1:37" x14ac:dyDescent="0.25">
      <c r="A12" s="51" t="s">
        <v>464</v>
      </c>
      <c r="B12" s="51"/>
      <c r="C12" s="38">
        <v>-31130.67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-12772.16</v>
      </c>
      <c r="M12" s="38">
        <v>-18257.95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/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52"/>
    </row>
    <row r="13" spans="1:37" x14ac:dyDescent="0.25">
      <c r="A13" s="51" t="s">
        <v>377</v>
      </c>
      <c r="B13" s="51"/>
      <c r="C13" s="38"/>
      <c r="D13" s="38">
        <v>-0.09</v>
      </c>
      <c r="E13" s="38">
        <v>2222.88</v>
      </c>
      <c r="F13" s="38">
        <v>0</v>
      </c>
      <c r="G13" s="38">
        <v>131.28</v>
      </c>
      <c r="H13" s="38">
        <v>-0.56000000000000005</v>
      </c>
      <c r="I13" s="38">
        <v>-71.62</v>
      </c>
      <c r="J13" s="38">
        <v>10.72</v>
      </c>
      <c r="K13" s="38">
        <v>-0.59</v>
      </c>
      <c r="L13" s="38">
        <v>-736.27</v>
      </c>
      <c r="M13" s="38">
        <v>-1432.14</v>
      </c>
      <c r="N13" s="38">
        <v>0</v>
      </c>
      <c r="O13" s="38">
        <v>-1.41</v>
      </c>
      <c r="P13" s="38">
        <v>9.39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/>
      <c r="AE13" s="38">
        <v>0</v>
      </c>
      <c r="AF13" s="38">
        <v>-209.11</v>
      </c>
      <c r="AG13" s="38">
        <v>0</v>
      </c>
      <c r="AH13" s="38">
        <v>0</v>
      </c>
      <c r="AI13" s="38">
        <v>0</v>
      </c>
      <c r="AJ13" s="38">
        <v>0</v>
      </c>
      <c r="AK13" s="52"/>
    </row>
    <row r="14" spans="1:37" x14ac:dyDescent="0.25">
      <c r="A14" s="51" t="s">
        <v>379</v>
      </c>
      <c r="B14" s="51"/>
      <c r="C14" s="38"/>
      <c r="D14" s="38">
        <v>5469.6</v>
      </c>
      <c r="E14" s="38">
        <v>271.83</v>
      </c>
      <c r="F14" s="38">
        <v>0</v>
      </c>
      <c r="G14" s="38">
        <v>169.88</v>
      </c>
      <c r="H14" s="38">
        <v>-16.170000000000002</v>
      </c>
      <c r="I14" s="38">
        <v>497.71</v>
      </c>
      <c r="J14" s="38">
        <v>0</v>
      </c>
      <c r="K14" s="38">
        <v>4374.43</v>
      </c>
      <c r="L14" s="38">
        <v>-12053.28</v>
      </c>
      <c r="M14" s="38">
        <v>-5596.41</v>
      </c>
      <c r="N14" s="38">
        <v>0</v>
      </c>
      <c r="O14" s="38">
        <v>-2422.98</v>
      </c>
      <c r="P14" s="38">
        <v>-208.87</v>
      </c>
      <c r="Q14" s="38">
        <v>-842.49</v>
      </c>
      <c r="R14" s="38">
        <v>-5111.49</v>
      </c>
      <c r="S14" s="38">
        <v>-30.21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8">
        <v>224.02</v>
      </c>
      <c r="AG14" s="38">
        <v>0</v>
      </c>
      <c r="AH14" s="38">
        <v>0</v>
      </c>
      <c r="AI14" s="38">
        <v>0</v>
      </c>
      <c r="AJ14" s="38">
        <v>0</v>
      </c>
      <c r="AK14" s="52"/>
    </row>
    <row r="15" spans="1:37" x14ac:dyDescent="0.25">
      <c r="A15" s="48" t="s">
        <v>381</v>
      </c>
      <c r="B15" s="48"/>
      <c r="C15" s="158"/>
      <c r="D15" s="158">
        <v>-255.12</v>
      </c>
      <c r="E15" s="158">
        <v>-5.59</v>
      </c>
      <c r="F15" s="158">
        <v>0</v>
      </c>
      <c r="G15" s="158">
        <v>-151.66999999999999</v>
      </c>
      <c r="H15" s="158">
        <v>-0.81</v>
      </c>
      <c r="I15" s="158">
        <v>-306.55</v>
      </c>
      <c r="J15" s="158">
        <v>-0.17</v>
      </c>
      <c r="K15" s="158">
        <v>26.59</v>
      </c>
      <c r="L15" s="158">
        <v>810.01</v>
      </c>
      <c r="M15" s="158">
        <v>1874.16</v>
      </c>
      <c r="N15" s="158">
        <v>0</v>
      </c>
      <c r="O15" s="158">
        <v>30.93</v>
      </c>
      <c r="P15" s="158">
        <v>49.12</v>
      </c>
      <c r="Q15" s="158">
        <v>1456.31</v>
      </c>
      <c r="R15" s="158">
        <v>1440.08</v>
      </c>
      <c r="S15" s="158">
        <v>-92.82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0.38</v>
      </c>
      <c r="AB15" s="158">
        <v>0</v>
      </c>
      <c r="AC15" s="158">
        <v>0</v>
      </c>
      <c r="AD15" s="158"/>
      <c r="AE15" s="158">
        <v>0</v>
      </c>
      <c r="AF15" s="158">
        <v>-359.53</v>
      </c>
      <c r="AG15" s="158">
        <v>0</v>
      </c>
      <c r="AH15" s="158">
        <v>0</v>
      </c>
      <c r="AI15" s="158">
        <v>0</v>
      </c>
      <c r="AJ15" s="158">
        <v>0</v>
      </c>
      <c r="AK15" s="50"/>
    </row>
    <row r="16" spans="1:37" x14ac:dyDescent="0.25">
      <c r="A16" s="48" t="s">
        <v>383</v>
      </c>
      <c r="B16" s="48"/>
      <c r="C16" s="158">
        <v>-23023.02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-23023.02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0</v>
      </c>
      <c r="AD16" s="158"/>
      <c r="AE16" s="158">
        <v>0</v>
      </c>
      <c r="AF16" s="158">
        <v>0</v>
      </c>
      <c r="AG16" s="158">
        <v>0</v>
      </c>
      <c r="AH16" s="158">
        <v>0</v>
      </c>
      <c r="AI16" s="158">
        <v>0</v>
      </c>
      <c r="AJ16" s="158">
        <v>0</v>
      </c>
      <c r="AK16" s="50"/>
    </row>
    <row r="17" spans="1:37" x14ac:dyDescent="0.25">
      <c r="A17" s="48" t="s">
        <v>385</v>
      </c>
      <c r="B17" s="4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50"/>
    </row>
    <row r="18" spans="1:37" x14ac:dyDescent="0.25">
      <c r="A18" s="51" t="s">
        <v>388</v>
      </c>
      <c r="B18" s="51"/>
      <c r="C18" s="38"/>
      <c r="D18" s="38">
        <v>-297115.42</v>
      </c>
      <c r="E18" s="38">
        <v>10125.84</v>
      </c>
      <c r="F18" s="38">
        <v>15523.87</v>
      </c>
      <c r="G18" s="38">
        <v>5444.74</v>
      </c>
      <c r="H18" s="38">
        <v>0</v>
      </c>
      <c r="I18" s="38">
        <v>81205.820000000007</v>
      </c>
      <c r="J18" s="38">
        <v>0</v>
      </c>
      <c r="K18" s="38">
        <v>5972.65</v>
      </c>
      <c r="L18" s="38">
        <v>129603.31</v>
      </c>
      <c r="M18" s="38">
        <v>50500.27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52"/>
    </row>
    <row r="19" spans="1:37" x14ac:dyDescent="0.25">
      <c r="A19" s="51" t="s">
        <v>390</v>
      </c>
      <c r="B19" s="51"/>
      <c r="C19" s="38">
        <v>-15908.15</v>
      </c>
      <c r="D19" s="38">
        <v>0</v>
      </c>
      <c r="E19" s="38">
        <v>0</v>
      </c>
      <c r="F19" s="38">
        <v>-13880.04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-386.87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/>
      <c r="AE19" s="38">
        <v>0</v>
      </c>
      <c r="AF19" s="38">
        <v>0</v>
      </c>
      <c r="AG19" s="38">
        <v>0</v>
      </c>
      <c r="AH19" s="38">
        <v>-1063.57</v>
      </c>
      <c r="AI19" s="38">
        <v>-577.66999999999996</v>
      </c>
      <c r="AJ19" s="38">
        <v>0</v>
      </c>
      <c r="AK19" s="52"/>
    </row>
    <row r="20" spans="1:37" x14ac:dyDescent="0.25">
      <c r="A20" s="48" t="s">
        <v>392</v>
      </c>
      <c r="B20" s="48"/>
      <c r="C20" s="158">
        <v>-2336.5700000000002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8"/>
      <c r="AE20" s="158">
        <v>0</v>
      </c>
      <c r="AF20" s="158">
        <v>0</v>
      </c>
      <c r="AG20" s="158">
        <v>0</v>
      </c>
      <c r="AH20" s="158">
        <v>-2336.5700000000002</v>
      </c>
      <c r="AI20" s="158">
        <v>0</v>
      </c>
      <c r="AJ20" s="158">
        <v>0</v>
      </c>
      <c r="AK20" s="50"/>
    </row>
    <row r="21" spans="1:37" x14ac:dyDescent="0.25">
      <c r="A21" s="48" t="s">
        <v>394</v>
      </c>
      <c r="B21" s="4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50"/>
    </row>
    <row r="22" spans="1:37" x14ac:dyDescent="0.25">
      <c r="A22" s="51" t="s">
        <v>396</v>
      </c>
      <c r="B22" s="51"/>
      <c r="C22" s="38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-289.17</v>
      </c>
      <c r="M22" s="38">
        <v>-6.78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38">
        <v>0</v>
      </c>
      <c r="AG22" s="38">
        <v>0</v>
      </c>
      <c r="AH22" s="38">
        <v>82.37</v>
      </c>
      <c r="AI22" s="38">
        <v>0</v>
      </c>
      <c r="AJ22" s="38">
        <v>0</v>
      </c>
      <c r="AK22" s="52"/>
    </row>
    <row r="23" spans="1:37" x14ac:dyDescent="0.25">
      <c r="A23" s="51" t="s">
        <v>398</v>
      </c>
      <c r="B23" s="51"/>
      <c r="C23" s="38">
        <v>-5.23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/>
      <c r="AE23" s="38">
        <v>0</v>
      </c>
      <c r="AF23" s="38">
        <v>0</v>
      </c>
      <c r="AG23" s="38">
        <v>0</v>
      </c>
      <c r="AH23" s="38">
        <v>-5.23</v>
      </c>
      <c r="AI23" s="38">
        <v>0</v>
      </c>
      <c r="AJ23" s="38">
        <v>0</v>
      </c>
      <c r="AK23" s="52"/>
    </row>
    <row r="24" spans="1:37" x14ac:dyDescent="0.25">
      <c r="A24" s="48" t="s">
        <v>399</v>
      </c>
      <c r="B24" s="4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50"/>
    </row>
    <row r="25" spans="1:37" x14ac:dyDescent="0.25">
      <c r="A25" s="51" t="s">
        <v>396</v>
      </c>
      <c r="B25" s="51"/>
      <c r="C25" s="38"/>
      <c r="D25" s="38">
        <v>0</v>
      </c>
      <c r="E25" s="38">
        <v>0</v>
      </c>
      <c r="F25" s="38">
        <v>0</v>
      </c>
      <c r="G25" s="38">
        <v>-0.05</v>
      </c>
      <c r="H25" s="38">
        <v>0</v>
      </c>
      <c r="I25" s="38">
        <v>0</v>
      </c>
      <c r="J25" s="38">
        <v>0</v>
      </c>
      <c r="K25" s="38">
        <v>0</v>
      </c>
      <c r="L25" s="38">
        <v>-26.17</v>
      </c>
      <c r="M25" s="38">
        <v>-812.43</v>
      </c>
      <c r="N25" s="38">
        <v>0</v>
      </c>
      <c r="O25" s="38">
        <v>0</v>
      </c>
      <c r="P25" s="38">
        <v>0</v>
      </c>
      <c r="Q25" s="38">
        <v>-9514.7999999999993</v>
      </c>
      <c r="R25" s="38">
        <v>-101757.23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-5837.39</v>
      </c>
      <c r="Y25" s="38">
        <v>-4818.21</v>
      </c>
      <c r="Z25" s="38">
        <v>0</v>
      </c>
      <c r="AA25" s="38">
        <v>-21274.97</v>
      </c>
      <c r="AB25" s="38">
        <v>-556.70000000000005</v>
      </c>
      <c r="AC25" s="38">
        <v>-12.28</v>
      </c>
      <c r="AD25" s="38"/>
      <c r="AE25" s="38">
        <v>0</v>
      </c>
      <c r="AF25" s="38">
        <v>0</v>
      </c>
      <c r="AG25" s="38">
        <v>0</v>
      </c>
      <c r="AH25" s="38">
        <v>52115.37</v>
      </c>
      <c r="AI25" s="38">
        <v>48899.9</v>
      </c>
      <c r="AJ25" s="38">
        <v>0</v>
      </c>
      <c r="AK25" s="50"/>
    </row>
    <row r="26" spans="1:37" x14ac:dyDescent="0.25">
      <c r="A26" s="51" t="s">
        <v>398</v>
      </c>
      <c r="B26" s="51"/>
      <c r="C26" s="38">
        <v>-4504.8100000000004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/>
      <c r="AE26" s="38">
        <v>0</v>
      </c>
      <c r="AF26" s="38">
        <v>0</v>
      </c>
      <c r="AG26" s="38">
        <v>0</v>
      </c>
      <c r="AH26" s="38">
        <v>-4504.8100000000004</v>
      </c>
      <c r="AI26" s="38">
        <v>0</v>
      </c>
      <c r="AJ26" s="38">
        <v>0</v>
      </c>
      <c r="AK26" s="52"/>
    </row>
    <row r="27" spans="1:37" x14ac:dyDescent="0.25">
      <c r="A27" s="48" t="s">
        <v>401</v>
      </c>
      <c r="B27" s="48"/>
      <c r="C27" s="158"/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-47082.61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/>
      <c r="AE27" s="158">
        <v>0</v>
      </c>
      <c r="AF27" s="158">
        <v>0</v>
      </c>
      <c r="AG27" s="158">
        <v>0</v>
      </c>
      <c r="AH27" s="158">
        <v>47082.61</v>
      </c>
      <c r="AI27" s="158">
        <v>0</v>
      </c>
      <c r="AJ27" s="158">
        <v>0</v>
      </c>
      <c r="AK27" s="50"/>
    </row>
    <row r="28" spans="1:37" x14ac:dyDescent="0.25">
      <c r="A28" s="48" t="s">
        <v>403</v>
      </c>
      <c r="B28" s="48"/>
      <c r="C28" s="158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-54.37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/>
      <c r="AE28" s="158">
        <v>0</v>
      </c>
      <c r="AF28" s="158">
        <v>0</v>
      </c>
      <c r="AG28" s="158">
        <v>0</v>
      </c>
      <c r="AH28" s="158">
        <v>54.37</v>
      </c>
      <c r="AI28" s="158">
        <v>0</v>
      </c>
      <c r="AJ28" s="158">
        <v>0</v>
      </c>
      <c r="AK28" s="50"/>
    </row>
    <row r="29" spans="1:37" x14ac:dyDescent="0.25">
      <c r="A29" s="48" t="s">
        <v>405</v>
      </c>
      <c r="B29" s="4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50"/>
    </row>
    <row r="30" spans="1:37" x14ac:dyDescent="0.25">
      <c r="A30" s="51" t="s">
        <v>396</v>
      </c>
      <c r="B30" s="51"/>
      <c r="C30" s="38"/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-41.4</v>
      </c>
      <c r="M30" s="38">
        <v>-11.22</v>
      </c>
      <c r="N30" s="38">
        <v>0</v>
      </c>
      <c r="O30" s="38">
        <v>0</v>
      </c>
      <c r="P30" s="38">
        <v>0</v>
      </c>
      <c r="Q30" s="38">
        <v>-7978.67</v>
      </c>
      <c r="R30" s="38">
        <v>-334.01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-2649.48</v>
      </c>
      <c r="Y30" s="38">
        <v>-2926.21</v>
      </c>
      <c r="Z30" s="38">
        <v>0</v>
      </c>
      <c r="AA30" s="38">
        <v>-353.64</v>
      </c>
      <c r="AB30" s="38">
        <v>-497.93</v>
      </c>
      <c r="AC30" s="38">
        <v>-2947.82</v>
      </c>
      <c r="AD30" s="38"/>
      <c r="AE30" s="38">
        <v>-8201.27</v>
      </c>
      <c r="AF30" s="38">
        <v>0</v>
      </c>
      <c r="AG30" s="38">
        <v>0</v>
      </c>
      <c r="AH30" s="38">
        <v>7140.41</v>
      </c>
      <c r="AI30" s="38">
        <v>15686.24</v>
      </c>
      <c r="AJ30" s="38">
        <v>0</v>
      </c>
      <c r="AK30" s="52"/>
    </row>
    <row r="31" spans="1:37" x14ac:dyDescent="0.25">
      <c r="A31" s="51" t="s">
        <v>398</v>
      </c>
      <c r="B31" s="51"/>
      <c r="C31" s="38">
        <v>-1231.82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/>
      <c r="AE31" s="38">
        <v>0</v>
      </c>
      <c r="AF31" s="38">
        <v>0</v>
      </c>
      <c r="AG31" s="38">
        <v>0</v>
      </c>
      <c r="AH31" s="38">
        <v>-419.13</v>
      </c>
      <c r="AI31" s="38">
        <v>-812.69</v>
      </c>
      <c r="AJ31" s="38">
        <v>0</v>
      </c>
      <c r="AK31" s="52"/>
    </row>
    <row r="32" spans="1:37" x14ac:dyDescent="0.25">
      <c r="A32" s="48" t="s">
        <v>409</v>
      </c>
      <c r="B32" s="4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"/>
    </row>
    <row r="33" spans="1:37" x14ac:dyDescent="0.25">
      <c r="A33" s="51" t="s">
        <v>396</v>
      </c>
      <c r="B33" s="51"/>
      <c r="C33" s="38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-1381.7</v>
      </c>
      <c r="M33" s="38">
        <v>-122.56</v>
      </c>
      <c r="N33" s="38">
        <v>-2.5499999999999998</v>
      </c>
      <c r="O33" s="38">
        <v>0</v>
      </c>
      <c r="P33" s="38">
        <v>0</v>
      </c>
      <c r="Q33" s="38">
        <v>-14359.5</v>
      </c>
      <c r="R33" s="38">
        <v>-78.81</v>
      </c>
      <c r="S33" s="38">
        <v>0</v>
      </c>
      <c r="T33" s="38">
        <v>-662.15</v>
      </c>
      <c r="U33" s="38">
        <v>0</v>
      </c>
      <c r="V33" s="38">
        <v>0</v>
      </c>
      <c r="W33" s="38">
        <v>-165.75</v>
      </c>
      <c r="X33" s="38">
        <v>-5076.41</v>
      </c>
      <c r="Y33" s="38">
        <v>-8067.43</v>
      </c>
      <c r="Z33" s="38">
        <v>0</v>
      </c>
      <c r="AA33" s="38">
        <v>-1956.32</v>
      </c>
      <c r="AB33" s="38">
        <v>-599.30999999999995</v>
      </c>
      <c r="AC33" s="38">
        <v>-154.1</v>
      </c>
      <c r="AD33" s="38"/>
      <c r="AE33" s="38">
        <v>-433.93</v>
      </c>
      <c r="AF33" s="38">
        <v>-724.86</v>
      </c>
      <c r="AG33" s="38">
        <v>0</v>
      </c>
      <c r="AH33" s="38">
        <v>-406.52</v>
      </c>
      <c r="AI33" s="38">
        <v>32214.12</v>
      </c>
      <c r="AJ33" s="38">
        <v>0</v>
      </c>
      <c r="AK33" s="2"/>
    </row>
    <row r="34" spans="1:37" x14ac:dyDescent="0.25">
      <c r="A34" s="51" t="s">
        <v>398</v>
      </c>
      <c r="B34" s="51"/>
      <c r="C34" s="38">
        <v>-379.8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/>
      <c r="AE34" s="38">
        <v>0</v>
      </c>
      <c r="AF34" s="38">
        <v>0</v>
      </c>
      <c r="AG34" s="38">
        <v>0</v>
      </c>
      <c r="AH34" s="38">
        <v>0</v>
      </c>
      <c r="AI34" s="38">
        <v>-379.8</v>
      </c>
      <c r="AJ34" s="38">
        <v>0</v>
      </c>
      <c r="AK34" s="2"/>
    </row>
    <row r="35" spans="1:37" x14ac:dyDescent="0.25">
      <c r="A35" s="48" t="s">
        <v>97</v>
      </c>
      <c r="B35" s="4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"/>
    </row>
    <row r="36" spans="1:37" x14ac:dyDescent="0.25">
      <c r="A36" s="51" t="s">
        <v>460</v>
      </c>
      <c r="B36" s="51"/>
      <c r="C36" s="38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-2143.86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-26.24</v>
      </c>
      <c r="AD36" s="38"/>
      <c r="AE36" s="38">
        <v>0</v>
      </c>
      <c r="AF36" s="38">
        <v>0</v>
      </c>
      <c r="AG36" s="38">
        <v>0</v>
      </c>
      <c r="AH36" s="38">
        <v>2152.35</v>
      </c>
      <c r="AI36" s="38">
        <v>0</v>
      </c>
      <c r="AJ36" s="38">
        <v>0</v>
      </c>
      <c r="AK36" s="2"/>
    </row>
    <row r="37" spans="1:37" x14ac:dyDescent="0.25">
      <c r="A37" s="51" t="s">
        <v>414</v>
      </c>
      <c r="B37" s="51"/>
      <c r="C37" s="38"/>
      <c r="D37" s="38">
        <v>0</v>
      </c>
      <c r="E37" s="38">
        <v>0</v>
      </c>
      <c r="F37" s="38">
        <v>-1643.83</v>
      </c>
      <c r="G37" s="38">
        <v>-85.82</v>
      </c>
      <c r="H37" s="38">
        <v>0</v>
      </c>
      <c r="I37" s="38">
        <v>0</v>
      </c>
      <c r="J37" s="38">
        <v>0</v>
      </c>
      <c r="K37" s="38">
        <v>0</v>
      </c>
      <c r="L37" s="38">
        <v>-48.52</v>
      </c>
      <c r="M37" s="38">
        <v>-697.76</v>
      </c>
      <c r="N37" s="38">
        <v>-5.48</v>
      </c>
      <c r="O37" s="38">
        <v>0</v>
      </c>
      <c r="P37" s="38">
        <v>0</v>
      </c>
      <c r="Q37" s="38">
        <v>-3472.68</v>
      </c>
      <c r="R37" s="38">
        <v>-16.600000000000001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-2.58</v>
      </c>
      <c r="Y37" s="38">
        <v>-11.06</v>
      </c>
      <c r="Z37" s="38">
        <v>0</v>
      </c>
      <c r="AA37" s="38">
        <v>-0.38</v>
      </c>
      <c r="AB37" s="38">
        <v>-2225.54</v>
      </c>
      <c r="AC37" s="38">
        <v>-1242.1600000000001</v>
      </c>
      <c r="AD37" s="38"/>
      <c r="AE37" s="38">
        <v>-25271.74</v>
      </c>
      <c r="AF37" s="38">
        <v>0</v>
      </c>
      <c r="AG37" s="38">
        <v>0</v>
      </c>
      <c r="AH37" s="38">
        <v>7230.86</v>
      </c>
      <c r="AI37" s="38">
        <v>19127.669999999998</v>
      </c>
      <c r="AJ37" s="38">
        <v>0</v>
      </c>
      <c r="AK37" s="2"/>
    </row>
    <row r="38" spans="1:37" x14ac:dyDescent="0.25">
      <c r="A38" s="51" t="s">
        <v>416</v>
      </c>
      <c r="B38" s="51"/>
      <c r="C38" s="38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-4.9000000000000004</v>
      </c>
      <c r="M38" s="38">
        <v>0</v>
      </c>
      <c r="N38" s="38">
        <v>-2.8</v>
      </c>
      <c r="O38" s="38">
        <v>0</v>
      </c>
      <c r="P38" s="38">
        <v>0</v>
      </c>
      <c r="Q38" s="38">
        <v>-158.94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-22</v>
      </c>
      <c r="Y38" s="38">
        <v>-350.61</v>
      </c>
      <c r="Z38" s="38">
        <v>0</v>
      </c>
      <c r="AA38" s="38">
        <v>0</v>
      </c>
      <c r="AB38" s="38">
        <v>-322.52</v>
      </c>
      <c r="AC38" s="38">
        <v>-162.74</v>
      </c>
      <c r="AD38" s="38"/>
      <c r="AE38" s="38">
        <v>-2571.77</v>
      </c>
      <c r="AF38" s="38">
        <v>0</v>
      </c>
      <c r="AG38" s="38">
        <v>0</v>
      </c>
      <c r="AH38" s="38">
        <v>-46.83</v>
      </c>
      <c r="AI38" s="38">
        <v>5582.25</v>
      </c>
      <c r="AJ38" s="38">
        <v>0</v>
      </c>
      <c r="AK38" s="2"/>
    </row>
    <row r="39" spans="1:37" x14ac:dyDescent="0.25">
      <c r="A39" s="48" t="s">
        <v>418</v>
      </c>
      <c r="B39" s="48"/>
      <c r="C39" s="158"/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-4.5999999999999996</v>
      </c>
      <c r="M39" s="158">
        <v>0</v>
      </c>
      <c r="N39" s="158">
        <v>0</v>
      </c>
      <c r="O39" s="158">
        <v>0</v>
      </c>
      <c r="P39" s="158">
        <v>0</v>
      </c>
      <c r="Q39" s="158">
        <v>-678.47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/>
      <c r="AE39" s="158">
        <v>0</v>
      </c>
      <c r="AF39" s="158">
        <v>0</v>
      </c>
      <c r="AG39" s="158">
        <v>0</v>
      </c>
      <c r="AH39" s="158">
        <v>0</v>
      </c>
      <c r="AI39" s="158">
        <v>0</v>
      </c>
      <c r="AJ39" s="158">
        <v>677.49</v>
      </c>
      <c r="AK39" s="1"/>
    </row>
    <row r="40" spans="1:37" x14ac:dyDescent="0.25">
      <c r="A40" s="48"/>
      <c r="B40" s="4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"/>
    </row>
    <row r="41" spans="1:37" x14ac:dyDescent="0.25">
      <c r="A41" s="48" t="s">
        <v>421</v>
      </c>
      <c r="B41" s="48"/>
      <c r="C41" s="158">
        <v>-31343.54</v>
      </c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-118.6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8">
        <v>0</v>
      </c>
      <c r="AB41" s="158">
        <v>0</v>
      </c>
      <c r="AC41" s="158">
        <v>0</v>
      </c>
      <c r="AD41" s="158"/>
      <c r="AE41" s="158">
        <v>0</v>
      </c>
      <c r="AF41" s="158">
        <v>0</v>
      </c>
      <c r="AG41" s="158">
        <v>0</v>
      </c>
      <c r="AH41" s="158">
        <v>-7106.09</v>
      </c>
      <c r="AI41" s="158">
        <v>-24091.759999999998</v>
      </c>
      <c r="AJ41" s="158">
        <v>-27.1</v>
      </c>
      <c r="AK41" s="1"/>
    </row>
    <row r="42" spans="1:37" x14ac:dyDescent="0.25">
      <c r="A42" s="48" t="s">
        <v>423</v>
      </c>
      <c r="B42" s="4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"/>
    </row>
    <row r="43" spans="1:37" x14ac:dyDescent="0.25">
      <c r="A43" s="51" t="s">
        <v>425</v>
      </c>
      <c r="B43" s="51"/>
      <c r="C43" s="38">
        <v>-10544.09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-10544.09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/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</row>
    <row r="44" spans="1:37" x14ac:dyDescent="0.25">
      <c r="A44" s="51" t="s">
        <v>427</v>
      </c>
      <c r="B44" s="51"/>
      <c r="C44" s="38">
        <v>-156494.94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-57022.66</v>
      </c>
      <c r="J44" s="38">
        <v>0</v>
      </c>
      <c r="K44" s="38">
        <v>0</v>
      </c>
      <c r="L44" s="38">
        <v>-90536.79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/>
      <c r="AE44" s="38">
        <v>0</v>
      </c>
      <c r="AF44" s="38">
        <v>-8935.49</v>
      </c>
      <c r="AG44" s="38">
        <v>0</v>
      </c>
      <c r="AH44" s="38">
        <v>0</v>
      </c>
      <c r="AI44" s="38">
        <v>0</v>
      </c>
      <c r="AJ44" s="38">
        <v>0</v>
      </c>
      <c r="AK44" s="2"/>
    </row>
    <row r="45" spans="1:37" x14ac:dyDescent="0.25">
      <c r="A45" s="51" t="s">
        <v>429</v>
      </c>
      <c r="B45" s="51"/>
      <c r="C45" s="38">
        <v>-4794.5600000000004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-3407.12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/>
      <c r="AE45" s="38">
        <v>0</v>
      </c>
      <c r="AF45" s="38">
        <v>0</v>
      </c>
      <c r="AG45" s="38">
        <v>0</v>
      </c>
      <c r="AH45" s="38">
        <v>-1387.44</v>
      </c>
      <c r="AI45" s="38">
        <v>0</v>
      </c>
      <c r="AJ45" s="38">
        <v>0</v>
      </c>
      <c r="AK45" s="2"/>
    </row>
    <row r="46" spans="1:37" x14ac:dyDescent="0.25">
      <c r="A46" s="51" t="s">
        <v>431</v>
      </c>
      <c r="B46" s="51"/>
      <c r="C46" s="38">
        <v>-5669.54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-5123.8999999999996</v>
      </c>
      <c r="M46" s="38">
        <v>-545.64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/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</row>
    <row r="47" spans="1:37" x14ac:dyDescent="0.25">
      <c r="A47" s="51" t="s">
        <v>433</v>
      </c>
      <c r="B47" s="51"/>
      <c r="C47" s="38">
        <v>-37747.71</v>
      </c>
      <c r="D47" s="38">
        <v>0</v>
      </c>
      <c r="E47" s="38">
        <v>0</v>
      </c>
      <c r="F47" s="38">
        <v>0</v>
      </c>
      <c r="G47" s="38">
        <v>0</v>
      </c>
      <c r="H47" s="38">
        <v>-2.99</v>
      </c>
      <c r="I47" s="38">
        <v>0</v>
      </c>
      <c r="J47" s="38">
        <v>0</v>
      </c>
      <c r="K47" s="38">
        <v>-37744.720000000001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/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</row>
    <row r="48" spans="1:37" x14ac:dyDescent="0.25">
      <c r="A48" s="51" t="s">
        <v>435</v>
      </c>
      <c r="B48" s="51"/>
      <c r="C48" s="38">
        <v>-1377.44</v>
      </c>
      <c r="D48" s="38">
        <v>0</v>
      </c>
      <c r="E48" s="38">
        <v>0</v>
      </c>
      <c r="F48" s="38">
        <v>0</v>
      </c>
      <c r="G48" s="38">
        <v>-0.05</v>
      </c>
      <c r="H48" s="38">
        <v>-38.869999999999997</v>
      </c>
      <c r="I48" s="38">
        <v>-0.23</v>
      </c>
      <c r="J48" s="38">
        <v>0</v>
      </c>
      <c r="K48" s="38">
        <v>-1338.29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/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</row>
    <row r="49" spans="1:37" x14ac:dyDescent="0.25">
      <c r="A49" s="51" t="s">
        <v>437</v>
      </c>
      <c r="B49" s="51"/>
      <c r="C49" s="38">
        <v>-1810.18</v>
      </c>
      <c r="D49" s="38">
        <v>0</v>
      </c>
      <c r="E49" s="38">
        <v>0</v>
      </c>
      <c r="F49" s="38">
        <v>0</v>
      </c>
      <c r="G49" s="38">
        <v>0</v>
      </c>
      <c r="H49" s="38">
        <v>-5.91</v>
      </c>
      <c r="I49" s="38">
        <v>-2.99</v>
      </c>
      <c r="J49" s="38">
        <v>0</v>
      </c>
      <c r="K49" s="38">
        <v>-963.16</v>
      </c>
      <c r="L49" s="38">
        <v>-838.13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/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</row>
    <row r="50" spans="1:37" x14ac:dyDescent="0.25">
      <c r="A50" s="51" t="s">
        <v>439</v>
      </c>
      <c r="B50" s="51"/>
      <c r="C50" s="38">
        <v>-26791.31</v>
      </c>
      <c r="D50" s="38">
        <v>0</v>
      </c>
      <c r="E50" s="38">
        <v>0</v>
      </c>
      <c r="F50" s="38">
        <v>0</v>
      </c>
      <c r="G50" s="38">
        <v>-147.25</v>
      </c>
      <c r="H50" s="38">
        <v>0</v>
      </c>
      <c r="I50" s="38">
        <v>-58.64</v>
      </c>
      <c r="J50" s="38">
        <v>-0.14000000000000001</v>
      </c>
      <c r="K50" s="38">
        <v>0</v>
      </c>
      <c r="L50" s="38">
        <v>-13250.01</v>
      </c>
      <c r="M50" s="38">
        <v>-69.8</v>
      </c>
      <c r="N50" s="38">
        <v>0</v>
      </c>
      <c r="O50" s="38">
        <v>-1.57</v>
      </c>
      <c r="P50" s="38">
        <v>0</v>
      </c>
      <c r="Q50" s="38">
        <v>-1416.45</v>
      </c>
      <c r="R50" s="38">
        <v>-1040.71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-1928.62</v>
      </c>
      <c r="Y50" s="38">
        <v>-25.49</v>
      </c>
      <c r="Z50" s="38">
        <v>0</v>
      </c>
      <c r="AA50" s="38">
        <v>0</v>
      </c>
      <c r="AB50" s="38">
        <v>-177.46</v>
      </c>
      <c r="AC50" s="38">
        <v>-106.9</v>
      </c>
      <c r="AD50" s="38"/>
      <c r="AE50" s="38">
        <v>0</v>
      </c>
      <c r="AF50" s="38">
        <v>0</v>
      </c>
      <c r="AG50" s="38">
        <v>-562.61</v>
      </c>
      <c r="AH50" s="38">
        <v>-6420.68</v>
      </c>
      <c r="AI50" s="38">
        <v>-1585</v>
      </c>
      <c r="AJ50" s="38">
        <v>0</v>
      </c>
      <c r="AK50" s="2"/>
    </row>
    <row r="51" spans="1:37" x14ac:dyDescent="0.25">
      <c r="A51" s="51" t="s">
        <v>441</v>
      </c>
      <c r="B51" s="51"/>
      <c r="C51" s="38">
        <v>-4210.6899999999996</v>
      </c>
      <c r="D51" s="38">
        <v>0</v>
      </c>
      <c r="E51" s="38">
        <v>0</v>
      </c>
      <c r="F51" s="38">
        <v>0</v>
      </c>
      <c r="G51" s="38">
        <v>-11.91</v>
      </c>
      <c r="H51" s="38">
        <v>0</v>
      </c>
      <c r="I51" s="38">
        <v>-0.16</v>
      </c>
      <c r="J51" s="38">
        <v>0</v>
      </c>
      <c r="K51" s="38">
        <v>0</v>
      </c>
      <c r="L51" s="38">
        <v>-4198.62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/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</row>
    <row r="52" spans="1:37" x14ac:dyDescent="0.25">
      <c r="A52" s="51" t="s">
        <v>443</v>
      </c>
      <c r="B52" s="51"/>
      <c r="C52" s="38">
        <v>-83377.850000000006</v>
      </c>
      <c r="D52" s="38">
        <v>0</v>
      </c>
      <c r="E52" s="38">
        <v>0</v>
      </c>
      <c r="F52" s="38">
        <v>0</v>
      </c>
      <c r="G52" s="38">
        <v>-863.79</v>
      </c>
      <c r="H52" s="38">
        <v>0</v>
      </c>
      <c r="I52" s="38">
        <v>-10.87</v>
      </c>
      <c r="J52" s="38">
        <v>-2.23</v>
      </c>
      <c r="K52" s="38">
        <v>0</v>
      </c>
      <c r="L52" s="38">
        <v>-2195.0100000000002</v>
      </c>
      <c r="M52" s="38">
        <v>-2065.42</v>
      </c>
      <c r="N52" s="38">
        <v>0</v>
      </c>
      <c r="O52" s="38">
        <v>-6574.06</v>
      </c>
      <c r="P52" s="38">
        <v>0</v>
      </c>
      <c r="Q52" s="38">
        <v>-28009.200000000001</v>
      </c>
      <c r="R52" s="38">
        <v>-3769.76</v>
      </c>
      <c r="S52" s="38">
        <v>-490.78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-1103.01</v>
      </c>
      <c r="AB52" s="38">
        <v>-2664.56</v>
      </c>
      <c r="AC52" s="38">
        <v>-242.54</v>
      </c>
      <c r="AD52" s="38"/>
      <c r="AE52" s="38">
        <v>-1493.85</v>
      </c>
      <c r="AF52" s="38">
        <v>0</v>
      </c>
      <c r="AG52" s="38">
        <v>-1752.42</v>
      </c>
      <c r="AH52" s="38">
        <v>-28462.68</v>
      </c>
      <c r="AI52" s="38">
        <v>-3469</v>
      </c>
      <c r="AJ52" s="38">
        <v>-208.68</v>
      </c>
      <c r="AK52" s="2"/>
    </row>
    <row r="53" spans="1:37" x14ac:dyDescent="0.25">
      <c r="A53" s="51" t="s">
        <v>445</v>
      </c>
      <c r="B53" s="51"/>
      <c r="C53" s="38">
        <v>-6456.2</v>
      </c>
      <c r="D53" s="38">
        <v>0</v>
      </c>
      <c r="E53" s="38">
        <v>0</v>
      </c>
      <c r="F53" s="38">
        <v>0</v>
      </c>
      <c r="G53" s="38">
        <v>-79.95</v>
      </c>
      <c r="H53" s="38">
        <v>0</v>
      </c>
      <c r="I53" s="38">
        <v>-7.56</v>
      </c>
      <c r="J53" s="38">
        <v>-0.14000000000000001</v>
      </c>
      <c r="K53" s="38">
        <v>0</v>
      </c>
      <c r="L53" s="38">
        <v>-4620.42</v>
      </c>
      <c r="M53" s="38">
        <v>0</v>
      </c>
      <c r="N53" s="38">
        <v>0</v>
      </c>
      <c r="O53" s="38">
        <v>0</v>
      </c>
      <c r="P53" s="38">
        <v>0</v>
      </c>
      <c r="Q53" s="38">
        <v>-463.29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/>
      <c r="AE53" s="38">
        <v>0</v>
      </c>
      <c r="AF53" s="38">
        <v>0</v>
      </c>
      <c r="AG53" s="38">
        <v>0</v>
      </c>
      <c r="AH53" s="38">
        <v>-1284.8399999999999</v>
      </c>
      <c r="AI53" s="38">
        <v>0</v>
      </c>
      <c r="AJ53" s="38">
        <v>0</v>
      </c>
      <c r="AK53" s="2"/>
    </row>
    <row r="54" spans="1:37" x14ac:dyDescent="0.25">
      <c r="A54" s="51" t="s">
        <v>447</v>
      </c>
      <c r="B54" s="51"/>
      <c r="C54" s="38">
        <v>-10283.33</v>
      </c>
      <c r="D54" s="38">
        <v>0</v>
      </c>
      <c r="E54" s="38">
        <v>0</v>
      </c>
      <c r="F54" s="38">
        <v>0</v>
      </c>
      <c r="G54" s="38">
        <v>-20.170000000000002</v>
      </c>
      <c r="H54" s="38">
        <v>0</v>
      </c>
      <c r="I54" s="38">
        <v>0</v>
      </c>
      <c r="J54" s="38">
        <v>-0.42</v>
      </c>
      <c r="K54" s="38">
        <v>0</v>
      </c>
      <c r="L54" s="38">
        <v>-238.61</v>
      </c>
      <c r="M54" s="38">
        <v>-1.84</v>
      </c>
      <c r="N54" s="38">
        <v>0</v>
      </c>
      <c r="O54" s="38">
        <v>-0.55000000000000004</v>
      </c>
      <c r="P54" s="38">
        <v>0</v>
      </c>
      <c r="Q54" s="38">
        <v>-907.66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/>
      <c r="AE54" s="38">
        <v>0</v>
      </c>
      <c r="AF54" s="38">
        <v>0</v>
      </c>
      <c r="AG54" s="38">
        <v>0</v>
      </c>
      <c r="AH54" s="38">
        <v>-5357.6</v>
      </c>
      <c r="AI54" s="38">
        <v>-3756.48</v>
      </c>
      <c r="AJ54" s="38">
        <v>0</v>
      </c>
      <c r="AK54" s="2"/>
    </row>
    <row r="55" spans="1:37" x14ac:dyDescent="0.25">
      <c r="A55" s="51" t="s">
        <v>449</v>
      </c>
      <c r="B55" s="51"/>
      <c r="C55" s="38">
        <v>-9864.51</v>
      </c>
      <c r="D55" s="38">
        <v>0</v>
      </c>
      <c r="E55" s="38">
        <v>0</v>
      </c>
      <c r="F55" s="38">
        <v>0</v>
      </c>
      <c r="G55" s="38">
        <v>-16.440000000000001</v>
      </c>
      <c r="H55" s="38">
        <v>0</v>
      </c>
      <c r="I55" s="38">
        <v>0</v>
      </c>
      <c r="J55" s="38">
        <v>-0.18</v>
      </c>
      <c r="K55" s="38">
        <v>0</v>
      </c>
      <c r="L55" s="38">
        <v>-102.38</v>
      </c>
      <c r="M55" s="38">
        <v>-0.79</v>
      </c>
      <c r="N55" s="38">
        <v>0</v>
      </c>
      <c r="O55" s="38">
        <v>-0.23</v>
      </c>
      <c r="P55" s="38">
        <v>0</v>
      </c>
      <c r="Q55" s="38">
        <v>-689.24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/>
      <c r="AE55" s="38">
        <v>0</v>
      </c>
      <c r="AF55" s="38">
        <v>0</v>
      </c>
      <c r="AG55" s="38">
        <v>0</v>
      </c>
      <c r="AH55" s="38">
        <v>-6155.5</v>
      </c>
      <c r="AI55" s="38">
        <v>-2899.75</v>
      </c>
      <c r="AJ55" s="38">
        <v>0</v>
      </c>
      <c r="AK55" s="2"/>
    </row>
    <row r="56" spans="1:37" x14ac:dyDescent="0.25">
      <c r="A56" s="51" t="s">
        <v>451</v>
      </c>
      <c r="B56" s="51"/>
      <c r="C56" s="38">
        <v>-33512.839999999997</v>
      </c>
      <c r="D56" s="38">
        <v>0</v>
      </c>
      <c r="E56" s="38">
        <v>0</v>
      </c>
      <c r="F56" s="38">
        <v>0</v>
      </c>
      <c r="G56" s="38">
        <v>-75.62</v>
      </c>
      <c r="H56" s="38">
        <v>0</v>
      </c>
      <c r="I56" s="38">
        <v>0</v>
      </c>
      <c r="J56" s="38">
        <v>-1.1599999999999999</v>
      </c>
      <c r="K56" s="38">
        <v>0</v>
      </c>
      <c r="L56" s="38">
        <v>-608.64</v>
      </c>
      <c r="M56" s="38">
        <v>-60.49</v>
      </c>
      <c r="N56" s="38">
        <v>-0.09</v>
      </c>
      <c r="O56" s="38">
        <v>-1.52</v>
      </c>
      <c r="P56" s="38">
        <v>0</v>
      </c>
      <c r="Q56" s="38">
        <v>-2800.91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-13.77</v>
      </c>
      <c r="Z56" s="38">
        <v>0</v>
      </c>
      <c r="AA56" s="38">
        <v>0</v>
      </c>
      <c r="AB56" s="38">
        <v>-9.23</v>
      </c>
      <c r="AC56" s="38">
        <v>-248.25</v>
      </c>
      <c r="AD56" s="38"/>
      <c r="AE56" s="38">
        <v>-747.32</v>
      </c>
      <c r="AF56" s="38">
        <v>0</v>
      </c>
      <c r="AG56" s="38">
        <v>0</v>
      </c>
      <c r="AH56" s="38">
        <v>-16299.92</v>
      </c>
      <c r="AI56" s="38">
        <v>-12632</v>
      </c>
      <c r="AJ56" s="38">
        <v>-13.91</v>
      </c>
      <c r="AK56" s="2"/>
    </row>
    <row r="57" spans="1:37" x14ac:dyDescent="0.25">
      <c r="A57" s="51" t="s">
        <v>453</v>
      </c>
      <c r="B57" s="51"/>
      <c r="C57" s="38">
        <v>-22538.85</v>
      </c>
      <c r="D57" s="38">
        <v>0</v>
      </c>
      <c r="E57" s="38">
        <v>0</v>
      </c>
      <c r="F57" s="38">
        <v>0</v>
      </c>
      <c r="G57" s="38">
        <v>-79.2</v>
      </c>
      <c r="H57" s="38">
        <v>0</v>
      </c>
      <c r="I57" s="38">
        <v>0</v>
      </c>
      <c r="J57" s="38">
        <v>-1.8</v>
      </c>
      <c r="K57" s="38">
        <v>0</v>
      </c>
      <c r="L57" s="38">
        <v>-1023.32</v>
      </c>
      <c r="M57" s="38">
        <v>-110.4</v>
      </c>
      <c r="N57" s="38">
        <v>0</v>
      </c>
      <c r="O57" s="38">
        <v>-2.34</v>
      </c>
      <c r="P57" s="38">
        <v>0</v>
      </c>
      <c r="Q57" s="38">
        <v>-2209.1799999999998</v>
      </c>
      <c r="R57" s="38">
        <v>0</v>
      </c>
      <c r="S57" s="38">
        <v>0</v>
      </c>
      <c r="T57" s="38">
        <v>-84.68</v>
      </c>
      <c r="U57" s="38">
        <v>0</v>
      </c>
      <c r="V57" s="38">
        <v>0</v>
      </c>
      <c r="W57" s="38">
        <v>0</v>
      </c>
      <c r="X57" s="38">
        <v>0</v>
      </c>
      <c r="Y57" s="38">
        <v>-138.58000000000001</v>
      </c>
      <c r="Z57" s="38">
        <v>0</v>
      </c>
      <c r="AA57" s="38">
        <v>-965.14</v>
      </c>
      <c r="AB57" s="38">
        <v>0</v>
      </c>
      <c r="AC57" s="38">
        <v>0</v>
      </c>
      <c r="AD57" s="38"/>
      <c r="AE57" s="38">
        <v>0</v>
      </c>
      <c r="AF57" s="38">
        <v>0</v>
      </c>
      <c r="AG57" s="38">
        <v>0</v>
      </c>
      <c r="AH57" s="38">
        <v>-8506.43</v>
      </c>
      <c r="AI57" s="38">
        <v>-9396.35</v>
      </c>
      <c r="AJ57" s="38">
        <v>-21.42</v>
      </c>
      <c r="AK57" s="2"/>
    </row>
    <row r="58" spans="1:37" x14ac:dyDescent="0.25">
      <c r="A58" s="51" t="s">
        <v>455</v>
      </c>
      <c r="B58" s="51"/>
      <c r="C58" s="38">
        <v>-124960.4</v>
      </c>
      <c r="D58" s="38">
        <v>0</v>
      </c>
      <c r="E58" s="38">
        <v>0</v>
      </c>
      <c r="F58" s="38">
        <v>0</v>
      </c>
      <c r="G58" s="38">
        <v>-426.6</v>
      </c>
      <c r="H58" s="38">
        <v>0</v>
      </c>
      <c r="I58" s="38">
        <v>-868.37</v>
      </c>
      <c r="J58" s="38">
        <v>-1.29</v>
      </c>
      <c r="K58" s="38">
        <v>0</v>
      </c>
      <c r="L58" s="38">
        <v>-6924.51</v>
      </c>
      <c r="M58" s="38">
        <v>0</v>
      </c>
      <c r="N58" s="38">
        <v>0</v>
      </c>
      <c r="O58" s="38">
        <v>-628</v>
      </c>
      <c r="P58" s="38">
        <v>0</v>
      </c>
      <c r="Q58" s="38">
        <v>-19787.27</v>
      </c>
      <c r="R58" s="38">
        <v>0</v>
      </c>
      <c r="S58" s="38">
        <v>-0.2</v>
      </c>
      <c r="T58" s="38">
        <v>-395.18</v>
      </c>
      <c r="U58" s="38">
        <v>0</v>
      </c>
      <c r="V58" s="38">
        <v>0</v>
      </c>
      <c r="W58" s="38">
        <v>0</v>
      </c>
      <c r="X58" s="38">
        <v>-2892.92</v>
      </c>
      <c r="Y58" s="38">
        <v>-76.459999999999994</v>
      </c>
      <c r="Z58" s="38">
        <v>-18412.54</v>
      </c>
      <c r="AA58" s="38">
        <v>-11719.49</v>
      </c>
      <c r="AB58" s="38">
        <v>0</v>
      </c>
      <c r="AC58" s="38">
        <v>0</v>
      </c>
      <c r="AD58" s="38"/>
      <c r="AE58" s="38">
        <v>0</v>
      </c>
      <c r="AF58" s="38">
        <v>-8.83</v>
      </c>
      <c r="AG58" s="38">
        <v>-4929.62</v>
      </c>
      <c r="AH58" s="38">
        <v>-27383.85</v>
      </c>
      <c r="AI58" s="38">
        <v>-30284.42</v>
      </c>
      <c r="AJ58" s="38">
        <v>-220.86</v>
      </c>
      <c r="AK58" s="2"/>
    </row>
    <row r="59" spans="1:37" x14ac:dyDescent="0.25">
      <c r="A59" s="51" t="s">
        <v>457</v>
      </c>
      <c r="B59" s="51"/>
      <c r="C59" s="38">
        <v>-46243.97</v>
      </c>
      <c r="D59" s="38">
        <v>0</v>
      </c>
      <c r="E59" s="38">
        <v>0</v>
      </c>
      <c r="F59" s="38">
        <v>0</v>
      </c>
      <c r="G59" s="38">
        <v>-118.24</v>
      </c>
      <c r="H59" s="38">
        <v>0</v>
      </c>
      <c r="I59" s="38">
        <v>0</v>
      </c>
      <c r="J59" s="38">
        <v>-3.19</v>
      </c>
      <c r="K59" s="38">
        <v>0</v>
      </c>
      <c r="L59" s="38">
        <v>-1289.6400000000001</v>
      </c>
      <c r="M59" s="38">
        <v>-144.25</v>
      </c>
      <c r="N59" s="38">
        <v>0</v>
      </c>
      <c r="O59" s="38">
        <v>-4.1500000000000004</v>
      </c>
      <c r="P59" s="38">
        <v>0</v>
      </c>
      <c r="Q59" s="38">
        <v>-3657.96</v>
      </c>
      <c r="R59" s="38">
        <v>0</v>
      </c>
      <c r="S59" s="38">
        <v>-0.2</v>
      </c>
      <c r="T59" s="38">
        <v>-84.68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/>
      <c r="AE59" s="38">
        <v>0</v>
      </c>
      <c r="AF59" s="38">
        <v>0</v>
      </c>
      <c r="AG59" s="38">
        <v>0</v>
      </c>
      <c r="AH59" s="38">
        <v>-8989.76</v>
      </c>
      <c r="AI59" s="38">
        <v>-31766.38</v>
      </c>
      <c r="AJ59" s="38">
        <v>-185.52</v>
      </c>
      <c r="AK59" s="2"/>
    </row>
    <row r="60" spans="1:37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6"/>
  <sheetViews>
    <sheetView zoomScale="82" zoomScaleNormal="82" workbookViewId="0">
      <pane ySplit="1" topLeftCell="A2" activePane="bottomLeft" state="frozen"/>
      <selection pane="bottomLeft" activeCell="O32" sqref="O32"/>
    </sheetView>
  </sheetViews>
  <sheetFormatPr defaultRowHeight="15" x14ac:dyDescent="0.25"/>
  <cols>
    <col min="6" max="6" width="17.85546875" customWidth="1"/>
    <col min="7" max="7" width="58.42578125" customWidth="1"/>
    <col min="8" max="9" width="12" customWidth="1"/>
    <col min="10" max="10" width="11" customWidth="1"/>
    <col min="11" max="11" width="8.5703125" customWidth="1"/>
    <col min="12" max="12" width="8.85546875" customWidth="1"/>
    <col min="13" max="13" width="7.28515625" customWidth="1"/>
  </cols>
  <sheetData>
    <row r="1" spans="1:14" ht="178.5" customHeight="1" x14ac:dyDescent="0.25">
      <c r="A1" s="124" t="s">
        <v>467</v>
      </c>
      <c r="B1" s="124" t="s">
        <v>468</v>
      </c>
      <c r="C1" s="124" t="s">
        <v>12</v>
      </c>
      <c r="D1" s="124" t="s">
        <v>13</v>
      </c>
      <c r="E1" s="124" t="s">
        <v>14</v>
      </c>
      <c r="F1" s="125" t="s">
        <v>469</v>
      </c>
      <c r="G1" s="113" t="s">
        <v>19</v>
      </c>
      <c r="H1" s="62" t="s">
        <v>21</v>
      </c>
      <c r="I1" s="30" t="s">
        <v>470</v>
      </c>
      <c r="J1" s="124" t="s">
        <v>467</v>
      </c>
      <c r="K1" s="124" t="s">
        <v>468</v>
      </c>
      <c r="L1" s="124" t="s">
        <v>12</v>
      </c>
      <c r="M1" s="124" t="s">
        <v>13</v>
      </c>
      <c r="N1" s="124" t="s">
        <v>14</v>
      </c>
    </row>
    <row r="2" spans="1:14" ht="24.75" customHeight="1" x14ac:dyDescent="0.25">
      <c r="F2" s="75"/>
      <c r="G2" s="83" t="s">
        <v>70</v>
      </c>
      <c r="H2" s="75"/>
      <c r="I2" s="75"/>
    </row>
    <row r="3" spans="1:14" ht="24.75" customHeight="1" thickBot="1" x14ac:dyDescent="0.3">
      <c r="F3" s="75"/>
      <c r="G3" s="83"/>
      <c r="H3" s="75"/>
      <c r="I3" s="75"/>
    </row>
    <row r="4" spans="1:14" x14ac:dyDescent="0.25">
      <c r="F4" s="79"/>
      <c r="G4" s="91" t="s">
        <v>72</v>
      </c>
      <c r="H4" s="78"/>
      <c r="I4" s="78"/>
    </row>
    <row r="5" spans="1:14" x14ac:dyDescent="0.25">
      <c r="F5" s="79"/>
      <c r="G5" s="92" t="s">
        <v>74</v>
      </c>
      <c r="H5" s="78"/>
      <c r="I5" s="78"/>
    </row>
    <row r="6" spans="1:14" x14ac:dyDescent="0.25">
      <c r="F6" s="79"/>
      <c r="G6" s="92" t="s">
        <v>76</v>
      </c>
      <c r="H6" s="78"/>
      <c r="I6" s="78"/>
    </row>
    <row r="7" spans="1:14" x14ac:dyDescent="0.25">
      <c r="F7" s="79"/>
      <c r="G7" s="94" t="s">
        <v>78</v>
      </c>
      <c r="H7" s="78"/>
      <c r="I7" s="78"/>
    </row>
    <row r="8" spans="1:14" x14ac:dyDescent="0.25">
      <c r="F8" s="79"/>
      <c r="G8" s="95" t="s">
        <v>80</v>
      </c>
      <c r="H8" s="78"/>
      <c r="I8" s="78"/>
    </row>
    <row r="9" spans="1:14" x14ac:dyDescent="0.25">
      <c r="F9" s="79"/>
      <c r="G9" s="96" t="s">
        <v>82</v>
      </c>
      <c r="H9" s="78"/>
      <c r="I9" s="78"/>
      <c r="J9" s="4"/>
      <c r="K9" s="4"/>
      <c r="L9" s="4"/>
    </row>
    <row r="10" spans="1:14" x14ac:dyDescent="0.25">
      <c r="F10" s="79"/>
      <c r="G10" s="96" t="s">
        <v>84</v>
      </c>
      <c r="H10" s="78"/>
      <c r="I10" s="78"/>
      <c r="J10" s="4"/>
      <c r="K10" s="4"/>
      <c r="L10" s="4"/>
    </row>
    <row r="11" spans="1:14" x14ac:dyDescent="0.25">
      <c r="F11" s="79"/>
      <c r="G11" s="101" t="s">
        <v>78</v>
      </c>
      <c r="H11" s="78"/>
      <c r="I11" s="78"/>
      <c r="J11" s="4"/>
      <c r="K11" s="4"/>
      <c r="L11" s="4"/>
    </row>
    <row r="12" spans="1:14" x14ac:dyDescent="0.25">
      <c r="F12" s="79"/>
      <c r="G12" s="101" t="s">
        <v>87</v>
      </c>
      <c r="H12" s="78"/>
      <c r="I12" s="78"/>
      <c r="J12" s="4"/>
      <c r="K12" s="4"/>
      <c r="L12" s="4"/>
    </row>
    <row r="13" spans="1:14" x14ac:dyDescent="0.25">
      <c r="F13" s="79"/>
      <c r="G13" s="26" t="s">
        <v>89</v>
      </c>
      <c r="H13" s="78"/>
      <c r="I13" s="78"/>
      <c r="J13" s="4"/>
      <c r="K13" s="4"/>
      <c r="L13" s="4"/>
    </row>
    <row r="14" spans="1:14" x14ac:dyDescent="0.25">
      <c r="F14" s="79"/>
      <c r="G14" s="105" t="s">
        <v>91</v>
      </c>
      <c r="H14" s="78"/>
      <c r="I14" s="128"/>
    </row>
    <row r="15" spans="1:14" x14ac:dyDescent="0.25">
      <c r="F15" s="79"/>
      <c r="G15" s="105" t="s">
        <v>93</v>
      </c>
      <c r="H15" s="78"/>
      <c r="I15" s="128"/>
    </row>
    <row r="16" spans="1:14" x14ac:dyDescent="0.25">
      <c r="F16" s="79"/>
      <c r="G16" s="106" t="s">
        <v>95</v>
      </c>
      <c r="H16" s="78"/>
      <c r="I16" s="128"/>
    </row>
    <row r="17" spans="1:12" x14ac:dyDescent="0.25">
      <c r="F17" s="79"/>
      <c r="G17" s="26" t="s">
        <v>97</v>
      </c>
      <c r="H17" s="78"/>
      <c r="I17" s="78"/>
    </row>
    <row r="18" spans="1:12" x14ac:dyDescent="0.25">
      <c r="F18" s="79"/>
      <c r="G18" s="105" t="s">
        <v>99</v>
      </c>
      <c r="H18" s="78"/>
      <c r="I18" s="128"/>
    </row>
    <row r="19" spans="1:12" x14ac:dyDescent="0.25">
      <c r="F19" s="79"/>
      <c r="G19" s="105" t="s">
        <v>101</v>
      </c>
      <c r="H19" s="78"/>
      <c r="I19" s="128"/>
    </row>
    <row r="20" spans="1:12" x14ac:dyDescent="0.25">
      <c r="F20" s="79"/>
      <c r="G20" s="105" t="s">
        <v>103</v>
      </c>
      <c r="H20" s="78"/>
      <c r="I20" s="128"/>
    </row>
    <row r="21" spans="1:12" x14ac:dyDescent="0.25">
      <c r="F21" s="79"/>
      <c r="G21" s="106" t="s">
        <v>105</v>
      </c>
      <c r="H21" s="78"/>
      <c r="I21" s="128"/>
    </row>
    <row r="22" spans="1:12" x14ac:dyDescent="0.25">
      <c r="F22" s="79"/>
      <c r="G22" s="93" t="s">
        <v>14</v>
      </c>
      <c r="H22" s="78"/>
      <c r="I22" s="128"/>
    </row>
    <row r="23" spans="1:12" x14ac:dyDescent="0.25">
      <c r="F23" s="79"/>
      <c r="G23" s="93" t="s">
        <v>110</v>
      </c>
      <c r="H23" s="78"/>
      <c r="I23" s="128"/>
    </row>
    <row r="24" spans="1:12" ht="15.75" thickBot="1" x14ac:dyDescent="0.3">
      <c r="C24" s="127"/>
      <c r="D24" s="127"/>
      <c r="E24" s="127"/>
      <c r="F24" s="79"/>
      <c r="G24" s="97" t="s">
        <v>112</v>
      </c>
      <c r="H24" s="78"/>
      <c r="I24" s="78"/>
    </row>
    <row r="25" spans="1:12" x14ac:dyDescent="0.25">
      <c r="F25" s="79"/>
      <c r="G25" s="96" t="s">
        <v>114</v>
      </c>
      <c r="H25" s="78"/>
      <c r="I25" s="78"/>
      <c r="J25" s="4"/>
      <c r="K25" s="4"/>
      <c r="L25" s="4"/>
    </row>
    <row r="26" spans="1:12" ht="15.75" thickBot="1" x14ac:dyDescent="0.3">
      <c r="A26" s="126"/>
      <c r="B26" s="126"/>
      <c r="C26" s="126"/>
      <c r="D26" s="126"/>
      <c r="E26" s="126"/>
      <c r="F26" s="90" t="s">
        <v>471</v>
      </c>
      <c r="G26" s="98" t="s">
        <v>116</v>
      </c>
      <c r="H26" s="78"/>
      <c r="I26" s="7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L80"/>
  <sheetViews>
    <sheetView topLeftCell="P4" zoomScale="74" zoomScaleNormal="74" workbookViewId="0">
      <selection activeCell="AH25" sqref="AH25:AH26"/>
    </sheetView>
  </sheetViews>
  <sheetFormatPr defaultRowHeight="15" x14ac:dyDescent="0.25"/>
  <cols>
    <col min="1" max="2" width="33.42578125" customWidth="1"/>
    <col min="3" max="3" width="10.42578125" customWidth="1"/>
    <col min="4" max="4" width="18.85546875" customWidth="1"/>
    <col min="5" max="5" width="12.7109375" customWidth="1"/>
    <col min="6" max="6" width="14.5703125" customWidth="1"/>
    <col min="8" max="8" width="13.85546875" customWidth="1"/>
    <col min="9" max="9" width="16.140625" customWidth="1"/>
    <col min="12" max="12" width="13.42578125" customWidth="1"/>
    <col min="14" max="14" width="12.7109375" customWidth="1"/>
    <col min="15" max="15" width="14" customWidth="1"/>
    <col min="16" max="16" width="15.28515625" customWidth="1"/>
    <col min="17" max="17" width="12.140625" customWidth="1"/>
    <col min="20" max="20" width="12.7109375" customWidth="1"/>
    <col min="21" max="21" width="13.85546875" customWidth="1"/>
    <col min="22" max="22" width="14.28515625" customWidth="1"/>
    <col min="23" max="23" width="13.7109375" customWidth="1"/>
    <col min="25" max="25" width="12.7109375" customWidth="1"/>
    <col min="26" max="26" width="11.5703125" customWidth="1"/>
    <col min="27" max="27" width="13.5703125" customWidth="1"/>
    <col min="28" max="28" width="14.85546875" customWidth="1"/>
    <col min="30" max="30" width="15.42578125" customWidth="1"/>
  </cols>
  <sheetData>
    <row r="1" spans="1:38" ht="20.25" x14ac:dyDescent="0.3">
      <c r="A1" s="39" t="s">
        <v>301</v>
      </c>
      <c r="B1" s="39" t="s">
        <v>302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  <c r="AL1" s="40"/>
    </row>
    <row r="2" spans="1:38" ht="20.25" x14ac:dyDescent="0.3">
      <c r="A2" s="39"/>
      <c r="B2" s="39"/>
      <c r="C2" s="36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85"/>
      <c r="AE2" s="41"/>
      <c r="AF2" s="41"/>
      <c r="AG2" s="41"/>
      <c r="AH2" s="41"/>
      <c r="AI2" s="41"/>
      <c r="AJ2" s="41"/>
      <c r="AK2" s="2"/>
      <c r="AL2" s="43"/>
    </row>
    <row r="3" spans="1:38" ht="62.25" customHeight="1" thickBot="1" x14ac:dyDescent="0.3">
      <c r="A3" s="86"/>
      <c r="B3" s="86"/>
      <c r="C3" s="87" t="s">
        <v>303</v>
      </c>
      <c r="D3" s="87" t="s">
        <v>215</v>
      </c>
      <c r="E3" s="87" t="s">
        <v>304</v>
      </c>
      <c r="F3" s="87" t="s">
        <v>305</v>
      </c>
      <c r="G3" s="87" t="s">
        <v>306</v>
      </c>
      <c r="H3" s="87" t="s">
        <v>307</v>
      </c>
      <c r="I3" s="87" t="s">
        <v>308</v>
      </c>
      <c r="J3" s="88" t="s">
        <v>309</v>
      </c>
      <c r="K3" s="88" t="s">
        <v>310</v>
      </c>
      <c r="L3" s="87" t="s">
        <v>311</v>
      </c>
      <c r="M3" s="87" t="s">
        <v>312</v>
      </c>
      <c r="N3" s="87" t="s">
        <v>313</v>
      </c>
      <c r="O3" s="87" t="s">
        <v>314</v>
      </c>
      <c r="P3" s="87" t="s">
        <v>315</v>
      </c>
      <c r="Q3" s="87" t="s">
        <v>3</v>
      </c>
      <c r="R3" s="87" t="s">
        <v>316</v>
      </c>
      <c r="S3" s="87" t="s">
        <v>317</v>
      </c>
      <c r="T3" s="87" t="s">
        <v>318</v>
      </c>
      <c r="U3" s="87" t="s">
        <v>319</v>
      </c>
      <c r="V3" s="87" t="s">
        <v>107</v>
      </c>
      <c r="W3" s="87" t="s">
        <v>320</v>
      </c>
      <c r="X3" s="87" t="s">
        <v>321</v>
      </c>
      <c r="Y3" s="87" t="s">
        <v>322</v>
      </c>
      <c r="Z3" s="87" t="s">
        <v>323</v>
      </c>
      <c r="AA3" s="87" t="s">
        <v>324</v>
      </c>
      <c r="AB3" s="87" t="s">
        <v>325</v>
      </c>
      <c r="AC3" s="87" t="s">
        <v>326</v>
      </c>
      <c r="AD3" s="87" t="s">
        <v>327</v>
      </c>
      <c r="AE3" s="87" t="s">
        <v>264</v>
      </c>
      <c r="AF3" s="87" t="s">
        <v>11</v>
      </c>
      <c r="AG3" s="87" t="s">
        <v>328</v>
      </c>
      <c r="AH3" s="87" t="s">
        <v>13</v>
      </c>
      <c r="AI3" s="87" t="s">
        <v>14</v>
      </c>
      <c r="AJ3" s="87" t="s">
        <v>329</v>
      </c>
      <c r="AK3" s="89"/>
      <c r="AL3" s="89"/>
    </row>
    <row r="4" spans="1:38" ht="62.25" customHeight="1" thickBot="1" x14ac:dyDescent="0.3">
      <c r="A4" s="86"/>
      <c r="B4" s="86"/>
      <c r="C4" s="87" t="s">
        <v>330</v>
      </c>
      <c r="D4" s="87" t="s">
        <v>331</v>
      </c>
      <c r="E4" s="87" t="s">
        <v>332</v>
      </c>
      <c r="F4" s="87" t="s">
        <v>333</v>
      </c>
      <c r="G4" s="87" t="s">
        <v>306</v>
      </c>
      <c r="H4" s="87" t="s">
        <v>334</v>
      </c>
      <c r="I4" s="87" t="s">
        <v>335</v>
      </c>
      <c r="J4" s="88" t="s">
        <v>336</v>
      </c>
      <c r="K4" s="88" t="s">
        <v>310</v>
      </c>
      <c r="L4" s="87" t="s">
        <v>337</v>
      </c>
      <c r="M4" s="87" t="s">
        <v>338</v>
      </c>
      <c r="N4" s="87" t="s">
        <v>339</v>
      </c>
      <c r="O4" s="87" t="s">
        <v>340</v>
      </c>
      <c r="P4" s="87" t="s">
        <v>341</v>
      </c>
      <c r="Q4" s="87" t="s">
        <v>342</v>
      </c>
      <c r="R4" s="87" t="s">
        <v>343</v>
      </c>
      <c r="S4" s="87" t="s">
        <v>344</v>
      </c>
      <c r="T4" s="87" t="s">
        <v>345</v>
      </c>
      <c r="U4" s="87" t="s">
        <v>346</v>
      </c>
      <c r="V4" s="87" t="s">
        <v>347</v>
      </c>
      <c r="W4" s="87" t="s">
        <v>348</v>
      </c>
      <c r="X4" s="87" t="s">
        <v>349</v>
      </c>
      <c r="Y4" s="87" t="s">
        <v>350</v>
      </c>
      <c r="Z4" s="87" t="s">
        <v>351</v>
      </c>
      <c r="AA4" s="87" t="s">
        <v>352</v>
      </c>
      <c r="AB4" s="87" t="s">
        <v>353</v>
      </c>
      <c r="AC4" s="87" t="s">
        <v>326</v>
      </c>
      <c r="AD4" s="87" t="s">
        <v>354</v>
      </c>
      <c r="AE4" s="87" t="s">
        <v>355</v>
      </c>
      <c r="AF4" s="87" t="s">
        <v>356</v>
      </c>
      <c r="AG4" s="87" t="s">
        <v>357</v>
      </c>
      <c r="AH4" s="87" t="s">
        <v>358</v>
      </c>
      <c r="AI4" s="87" t="s">
        <v>359</v>
      </c>
      <c r="AJ4" s="87" t="s">
        <v>360</v>
      </c>
      <c r="AK4" s="89"/>
      <c r="AL4" s="89"/>
    </row>
    <row r="5" spans="1:38" x14ac:dyDescent="0.25">
      <c r="A5" s="48" t="s">
        <v>361</v>
      </c>
      <c r="B5" s="48" t="s">
        <v>362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  <c r="AL5" s="49"/>
    </row>
    <row r="6" spans="1:38" x14ac:dyDescent="0.25">
      <c r="A6" s="48" t="s">
        <v>363</v>
      </c>
      <c r="B6" s="48" t="s">
        <v>364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  <c r="AL6" s="50"/>
    </row>
    <row r="7" spans="1:38" x14ac:dyDescent="0.25">
      <c r="A7" s="51" t="s">
        <v>365</v>
      </c>
      <c r="B7" s="51" t="s">
        <v>366</v>
      </c>
      <c r="C7" s="38">
        <v>586574.21</v>
      </c>
      <c r="D7" s="38">
        <v>243628.84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155071.34</v>
      </c>
      <c r="R7" s="38">
        <v>0</v>
      </c>
      <c r="S7" s="38">
        <v>0</v>
      </c>
      <c r="T7" s="38">
        <v>6194.84</v>
      </c>
      <c r="U7" s="38">
        <v>50035.69</v>
      </c>
      <c r="V7" s="38">
        <v>53.5</v>
      </c>
      <c r="W7" s="38">
        <v>110.11</v>
      </c>
      <c r="X7" s="38">
        <v>17605.849999999999</v>
      </c>
      <c r="Y7" s="38">
        <v>22375.39</v>
      </c>
      <c r="Z7" s="38">
        <v>22210.47</v>
      </c>
      <c r="AA7" s="38">
        <v>2727.64</v>
      </c>
      <c r="AB7" s="38">
        <v>9115.07</v>
      </c>
      <c r="AC7" s="38">
        <v>13414.26</v>
      </c>
      <c r="AD7" s="38">
        <v>0</v>
      </c>
      <c r="AE7" s="38">
        <v>33562.410000000003</v>
      </c>
      <c r="AF7" s="38">
        <v>234.12</v>
      </c>
      <c r="AG7" s="38">
        <v>10234.68</v>
      </c>
      <c r="AH7" s="38">
        <v>0</v>
      </c>
      <c r="AI7" s="38">
        <v>0</v>
      </c>
      <c r="AJ7" s="38">
        <v>0</v>
      </c>
      <c r="AK7" s="2"/>
      <c r="AL7" s="2"/>
    </row>
    <row r="8" spans="1:38" x14ac:dyDescent="0.25">
      <c r="A8" s="51" t="s">
        <v>367</v>
      </c>
      <c r="B8" s="51" t="s">
        <v>368</v>
      </c>
      <c r="C8" s="38">
        <v>2.59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2.59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2"/>
      <c r="AL8" s="2"/>
    </row>
    <row r="9" spans="1:38" x14ac:dyDescent="0.25">
      <c r="A9" s="51" t="s">
        <v>369</v>
      </c>
      <c r="B9" s="51" t="s">
        <v>370</v>
      </c>
      <c r="C9" s="38">
        <v>675226.83</v>
      </c>
      <c r="D9" s="38">
        <v>202718.68</v>
      </c>
      <c r="E9" s="38">
        <v>2584.25</v>
      </c>
      <c r="F9" s="38">
        <v>0</v>
      </c>
      <c r="G9" s="38">
        <v>946.68</v>
      </c>
      <c r="H9" s="38">
        <v>87.85</v>
      </c>
      <c r="I9" s="38">
        <v>18738.330000000002</v>
      </c>
      <c r="J9" s="38">
        <v>0</v>
      </c>
      <c r="K9" s="38">
        <v>40967.879999999997</v>
      </c>
      <c r="L9" s="38">
        <v>103811.53</v>
      </c>
      <c r="M9" s="38">
        <v>73011.47</v>
      </c>
      <c r="N9" s="38">
        <v>0</v>
      </c>
      <c r="O9" s="38">
        <v>5899.31</v>
      </c>
      <c r="P9" s="38">
        <v>10342.83</v>
      </c>
      <c r="Q9" s="38">
        <v>14522.53</v>
      </c>
      <c r="R9" s="38">
        <v>66935.87</v>
      </c>
      <c r="S9" s="38">
        <v>424.63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6311.01</v>
      </c>
      <c r="Z9" s="38">
        <v>2578</v>
      </c>
      <c r="AA9" s="38">
        <v>52938.54</v>
      </c>
      <c r="AB9" s="38">
        <v>0</v>
      </c>
      <c r="AC9" s="38">
        <v>0</v>
      </c>
      <c r="AD9" s="38">
        <v>0</v>
      </c>
      <c r="AE9" s="38">
        <v>4876</v>
      </c>
      <c r="AF9" s="38">
        <v>11136.94</v>
      </c>
      <c r="AG9" s="38">
        <v>0</v>
      </c>
      <c r="AH9" s="38">
        <v>56280.99</v>
      </c>
      <c r="AI9" s="38">
        <v>113.52</v>
      </c>
      <c r="AJ9" s="38">
        <v>0</v>
      </c>
      <c r="AK9" s="2"/>
      <c r="AL9" s="2"/>
    </row>
    <row r="10" spans="1:38" x14ac:dyDescent="0.25">
      <c r="A10" s="51" t="s">
        <v>371</v>
      </c>
      <c r="B10" s="51" t="s">
        <v>372</v>
      </c>
      <c r="C10" s="38">
        <v>-496705.22</v>
      </c>
      <c r="D10" s="38">
        <v>-120770.02</v>
      </c>
      <c r="E10" s="38">
        <v>-28912.9</v>
      </c>
      <c r="F10" s="38">
        <v>0</v>
      </c>
      <c r="G10" s="38">
        <v>-4020.49</v>
      </c>
      <c r="H10" s="38">
        <v>0</v>
      </c>
      <c r="I10" s="38">
        <v>-51884.57</v>
      </c>
      <c r="J10" s="38">
        <v>0</v>
      </c>
      <c r="K10" s="38">
        <v>-2472.5700000000002</v>
      </c>
      <c r="L10" s="38">
        <v>-75283.740000000005</v>
      </c>
      <c r="M10" s="38">
        <v>-115552.91</v>
      </c>
      <c r="N10" s="38">
        <v>0</v>
      </c>
      <c r="O10" s="38">
        <v>-15.86</v>
      </c>
      <c r="P10" s="38">
        <v>-113.61</v>
      </c>
      <c r="Q10" s="38">
        <v>-57669.02</v>
      </c>
      <c r="R10" s="38">
        <v>-420.48</v>
      </c>
      <c r="S10" s="38">
        <v>-0.16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-2115.5300000000002</v>
      </c>
      <c r="AG10" s="38">
        <v>0</v>
      </c>
      <c r="AH10" s="38">
        <v>-37473.360000000001</v>
      </c>
      <c r="AI10" s="38"/>
      <c r="AJ10" s="38">
        <v>0</v>
      </c>
      <c r="AK10" s="2"/>
      <c r="AL10" s="2"/>
    </row>
    <row r="11" spans="1:38" x14ac:dyDescent="0.25">
      <c r="A11" s="51" t="s">
        <v>373</v>
      </c>
      <c r="B11" s="51" t="s">
        <v>374</v>
      </c>
      <c r="C11" s="38">
        <v>-9924.6200000000008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1642.5</v>
      </c>
      <c r="J11" s="38">
        <v>0</v>
      </c>
      <c r="K11" s="38">
        <v>0</v>
      </c>
      <c r="L11" s="38">
        <v>-12195.12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2"/>
      <c r="AL11" s="2"/>
    </row>
    <row r="12" spans="1:38" x14ac:dyDescent="0.25">
      <c r="A12" s="51" t="s">
        <v>375</v>
      </c>
      <c r="B12" s="51" t="s">
        <v>376</v>
      </c>
      <c r="C12" s="38">
        <v>-24876.02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-15809.57</v>
      </c>
      <c r="M12" s="38">
        <v>-8965.89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2"/>
      <c r="AL12" s="2"/>
    </row>
    <row r="13" spans="1:38" x14ac:dyDescent="0.25">
      <c r="A13" s="51" t="s">
        <v>377</v>
      </c>
      <c r="B13" s="51" t="s">
        <v>378</v>
      </c>
      <c r="C13" s="38">
        <v>206.1</v>
      </c>
      <c r="D13" s="38">
        <v>0</v>
      </c>
      <c r="E13" s="38">
        <v>1285.23</v>
      </c>
      <c r="F13" s="38">
        <v>0</v>
      </c>
      <c r="G13" s="38">
        <v>0</v>
      </c>
      <c r="H13" s="38">
        <v>0</v>
      </c>
      <c r="I13" s="38">
        <v>-103.17</v>
      </c>
      <c r="J13" s="38">
        <v>184.16</v>
      </c>
      <c r="K13" s="38">
        <v>0</v>
      </c>
      <c r="L13" s="38">
        <v>-47.56</v>
      </c>
      <c r="M13" s="38">
        <v>-1152.31</v>
      </c>
      <c r="N13" s="38">
        <v>0</v>
      </c>
      <c r="O13" s="38">
        <v>0</v>
      </c>
      <c r="P13" s="38">
        <v>2.23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37.520000000000003</v>
      </c>
      <c r="AG13" s="38">
        <v>0</v>
      </c>
      <c r="AH13" s="38">
        <v>0</v>
      </c>
      <c r="AI13" s="38">
        <v>0</v>
      </c>
      <c r="AJ13" s="38">
        <v>0</v>
      </c>
      <c r="AK13" s="2"/>
      <c r="AL13" s="2"/>
    </row>
    <row r="14" spans="1:38" x14ac:dyDescent="0.25">
      <c r="A14" s="51" t="s">
        <v>379</v>
      </c>
      <c r="B14" s="51" t="s">
        <v>380</v>
      </c>
      <c r="C14" s="38">
        <v>16300.88</v>
      </c>
      <c r="D14" s="38">
        <v>-1090.0899999999999</v>
      </c>
      <c r="E14" s="38">
        <v>-531.96</v>
      </c>
      <c r="F14" s="38">
        <v>0</v>
      </c>
      <c r="G14" s="38">
        <v>-2.12</v>
      </c>
      <c r="H14" s="38">
        <v>-37.97</v>
      </c>
      <c r="I14" s="38">
        <v>1368.99</v>
      </c>
      <c r="J14" s="38">
        <v>0</v>
      </c>
      <c r="K14" s="38">
        <v>1499.29</v>
      </c>
      <c r="L14" s="38">
        <v>8253.41</v>
      </c>
      <c r="M14" s="38">
        <v>6910.58</v>
      </c>
      <c r="N14" s="38">
        <v>0</v>
      </c>
      <c r="O14" s="38">
        <v>1032.8699999999999</v>
      </c>
      <c r="P14" s="38">
        <v>130.62</v>
      </c>
      <c r="Q14" s="38">
        <v>6.66</v>
      </c>
      <c r="R14" s="38">
        <v>-1243.2</v>
      </c>
      <c r="S14" s="38">
        <v>-54.41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58.2</v>
      </c>
      <c r="AG14" s="38">
        <v>0</v>
      </c>
      <c r="AH14" s="38">
        <v>0</v>
      </c>
      <c r="AI14" s="38">
        <v>0</v>
      </c>
      <c r="AJ14" s="38">
        <v>0</v>
      </c>
      <c r="AK14" s="2"/>
      <c r="AL14" s="2"/>
    </row>
    <row r="15" spans="1:38" x14ac:dyDescent="0.25">
      <c r="A15" s="48" t="s">
        <v>381</v>
      </c>
      <c r="B15" s="48" t="s">
        <v>382</v>
      </c>
      <c r="C15" s="38">
        <v>2495.9499999999998</v>
      </c>
      <c r="D15" s="38">
        <v>1213.07</v>
      </c>
      <c r="E15" s="38">
        <v>-366.54</v>
      </c>
      <c r="F15" s="38">
        <v>0</v>
      </c>
      <c r="G15" s="38">
        <v>181.45</v>
      </c>
      <c r="H15" s="38">
        <v>-0.65</v>
      </c>
      <c r="I15" s="38">
        <v>-162.97999999999999</v>
      </c>
      <c r="J15" s="38">
        <v>0.03</v>
      </c>
      <c r="K15" s="38">
        <v>-183.78</v>
      </c>
      <c r="L15" s="38">
        <v>-1241.17</v>
      </c>
      <c r="M15" s="38">
        <v>466.34</v>
      </c>
      <c r="N15" s="38">
        <v>0</v>
      </c>
      <c r="O15" s="38">
        <v>0</v>
      </c>
      <c r="P15" s="38">
        <v>6.89</v>
      </c>
      <c r="Q15" s="38">
        <v>853.43</v>
      </c>
      <c r="R15" s="38">
        <v>1946.46</v>
      </c>
      <c r="S15" s="38">
        <v>-6.47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-49.13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-161.01</v>
      </c>
      <c r="AG15" s="38">
        <v>0</v>
      </c>
      <c r="AH15" s="38">
        <v>0</v>
      </c>
      <c r="AI15" s="38">
        <v>0</v>
      </c>
      <c r="AJ15" s="38">
        <v>0</v>
      </c>
      <c r="AK15" s="1"/>
      <c r="AL15" s="1"/>
    </row>
    <row r="16" spans="1:38" x14ac:dyDescent="0.25">
      <c r="A16" s="48" t="s">
        <v>383</v>
      </c>
      <c r="B16" s="48" t="s">
        <v>384</v>
      </c>
      <c r="C16" s="38">
        <v>-20987.38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-20987.38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1"/>
      <c r="AL16" s="1"/>
    </row>
    <row r="17" spans="1:38" x14ac:dyDescent="0.25">
      <c r="A17" s="48" t="s">
        <v>385</v>
      </c>
      <c r="B17" s="48" t="s">
        <v>386</v>
      </c>
      <c r="C17" s="38" t="s">
        <v>387</v>
      </c>
      <c r="D17" s="38" t="s">
        <v>387</v>
      </c>
      <c r="E17" s="38" t="s">
        <v>387</v>
      </c>
      <c r="F17" s="38" t="s">
        <v>387</v>
      </c>
      <c r="G17" s="38" t="s">
        <v>387</v>
      </c>
      <c r="H17" s="38" t="s">
        <v>387</v>
      </c>
      <c r="I17" s="38" t="s">
        <v>387</v>
      </c>
      <c r="J17" s="38" t="s">
        <v>387</v>
      </c>
      <c r="K17" s="38" t="s">
        <v>387</v>
      </c>
      <c r="L17" s="38" t="s">
        <v>387</v>
      </c>
      <c r="M17" s="38" t="s">
        <v>387</v>
      </c>
      <c r="N17" s="38" t="s">
        <v>387</v>
      </c>
      <c r="O17" s="38" t="s">
        <v>387</v>
      </c>
      <c r="P17" s="38" t="s">
        <v>387</v>
      </c>
      <c r="Q17" s="38" t="s">
        <v>387</v>
      </c>
      <c r="R17" s="38" t="s">
        <v>387</v>
      </c>
      <c r="S17" s="38" t="s">
        <v>387</v>
      </c>
      <c r="T17" s="38" t="s">
        <v>387</v>
      </c>
      <c r="U17" s="38" t="s">
        <v>387</v>
      </c>
      <c r="V17" s="38" t="s">
        <v>387</v>
      </c>
      <c r="W17" s="38" t="s">
        <v>387</v>
      </c>
      <c r="X17" s="38" t="s">
        <v>387</v>
      </c>
      <c r="Y17" s="38" t="s">
        <v>387</v>
      </c>
      <c r="Z17" s="38" t="s">
        <v>387</v>
      </c>
      <c r="AA17" s="38" t="s">
        <v>387</v>
      </c>
      <c r="AB17" s="38" t="s">
        <v>387</v>
      </c>
      <c r="AC17" s="38" t="s">
        <v>387</v>
      </c>
      <c r="AD17" s="38" t="s">
        <v>387</v>
      </c>
      <c r="AE17" s="38" t="s">
        <v>387</v>
      </c>
      <c r="AF17" s="38" t="s">
        <v>387</v>
      </c>
      <c r="AG17" s="38" t="s">
        <v>387</v>
      </c>
      <c r="AH17" s="38" t="s">
        <v>387</v>
      </c>
      <c r="AI17" s="38" t="s">
        <v>387</v>
      </c>
      <c r="AJ17" s="38" t="s">
        <v>387</v>
      </c>
      <c r="AK17" s="1"/>
      <c r="AL17" s="1"/>
    </row>
    <row r="18" spans="1:38" x14ac:dyDescent="0.25">
      <c r="A18" s="51" t="s">
        <v>388</v>
      </c>
      <c r="B18" s="51" t="s">
        <v>389</v>
      </c>
      <c r="C18" s="38">
        <v>1111.3</v>
      </c>
      <c r="D18" s="38">
        <v>-325700.49</v>
      </c>
      <c r="E18" s="38">
        <v>25941.919999999998</v>
      </c>
      <c r="F18" s="38">
        <v>15662.45</v>
      </c>
      <c r="G18" s="38">
        <v>5555.14</v>
      </c>
      <c r="H18" s="38">
        <v>0</v>
      </c>
      <c r="I18" s="38">
        <v>88088.59</v>
      </c>
      <c r="J18" s="38">
        <v>0</v>
      </c>
      <c r="K18" s="38">
        <v>4915.47</v>
      </c>
      <c r="L18" s="38">
        <v>138729.32</v>
      </c>
      <c r="M18" s="38">
        <v>47918.91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2"/>
      <c r="AL18" s="2"/>
    </row>
    <row r="19" spans="1:38" x14ac:dyDescent="0.25">
      <c r="A19" s="51" t="s">
        <v>390</v>
      </c>
      <c r="B19" s="51" t="s">
        <v>391</v>
      </c>
      <c r="C19" s="38">
        <v>-16173.1</v>
      </c>
      <c r="D19" s="38">
        <v>0</v>
      </c>
      <c r="E19" s="38">
        <v>0</v>
      </c>
      <c r="F19" s="38">
        <v>-14096.22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-371.83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-1093.32</v>
      </c>
      <c r="AI19" s="38">
        <v>-611.74</v>
      </c>
      <c r="AJ19" s="38">
        <v>0</v>
      </c>
      <c r="AK19" s="2"/>
      <c r="AL19" s="2"/>
    </row>
    <row r="20" spans="1:38" x14ac:dyDescent="0.25">
      <c r="A20" s="48" t="s">
        <v>392</v>
      </c>
      <c r="B20" s="48" t="s">
        <v>393</v>
      </c>
      <c r="C20" s="38">
        <v>-2321.66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-2321.66</v>
      </c>
      <c r="AI20" s="38">
        <v>0</v>
      </c>
      <c r="AJ20" s="38">
        <v>0</v>
      </c>
      <c r="AK20" s="1"/>
      <c r="AL20" s="1"/>
    </row>
    <row r="21" spans="1:38" x14ac:dyDescent="0.25">
      <c r="A21" s="48" t="s">
        <v>394</v>
      </c>
      <c r="B21" s="48" t="s">
        <v>395</v>
      </c>
      <c r="C21" s="38"/>
      <c r="D21" s="38" t="s">
        <v>387</v>
      </c>
      <c r="E21" s="38" t="s">
        <v>387</v>
      </c>
      <c r="F21" s="38" t="s">
        <v>387</v>
      </c>
      <c r="G21" s="38" t="s">
        <v>387</v>
      </c>
      <c r="H21" s="38" t="s">
        <v>387</v>
      </c>
      <c r="I21" s="38" t="s">
        <v>387</v>
      </c>
      <c r="J21" s="38" t="s">
        <v>387</v>
      </c>
      <c r="K21" s="38" t="s">
        <v>387</v>
      </c>
      <c r="L21" s="38" t="s">
        <v>387</v>
      </c>
      <c r="M21" s="38" t="s">
        <v>387</v>
      </c>
      <c r="N21" s="38" t="s">
        <v>387</v>
      </c>
      <c r="O21" s="38" t="s">
        <v>387</v>
      </c>
      <c r="P21" s="38" t="s">
        <v>387</v>
      </c>
      <c r="Q21" s="38" t="s">
        <v>387</v>
      </c>
      <c r="R21" s="38" t="s">
        <v>387</v>
      </c>
      <c r="S21" s="38" t="s">
        <v>387</v>
      </c>
      <c r="T21" s="38" t="s">
        <v>387</v>
      </c>
      <c r="U21" s="38" t="s">
        <v>387</v>
      </c>
      <c r="V21" s="38" t="s">
        <v>387</v>
      </c>
      <c r="W21" s="38" t="s">
        <v>387</v>
      </c>
      <c r="X21" s="38" t="s">
        <v>387</v>
      </c>
      <c r="Y21" s="38" t="s">
        <v>387</v>
      </c>
      <c r="Z21" s="38" t="s">
        <v>387</v>
      </c>
      <c r="AA21" s="38" t="s">
        <v>387</v>
      </c>
      <c r="AB21" s="38" t="s">
        <v>387</v>
      </c>
      <c r="AC21" s="38" t="s">
        <v>387</v>
      </c>
      <c r="AD21" s="38" t="s">
        <v>387</v>
      </c>
      <c r="AE21" s="38" t="s">
        <v>387</v>
      </c>
      <c r="AF21" s="38" t="s">
        <v>387</v>
      </c>
      <c r="AG21" s="38" t="s">
        <v>387</v>
      </c>
      <c r="AH21" s="38" t="s">
        <v>387</v>
      </c>
      <c r="AI21" s="38" t="s">
        <v>387</v>
      </c>
      <c r="AJ21" s="38" t="s">
        <v>387</v>
      </c>
      <c r="AK21" s="1"/>
      <c r="AL21" s="1"/>
    </row>
    <row r="22" spans="1:38" x14ac:dyDescent="0.25">
      <c r="A22" s="51" t="s">
        <v>396</v>
      </c>
      <c r="B22" s="51" t="s">
        <v>397</v>
      </c>
      <c r="C22" s="38">
        <v>-127.21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-125.44</v>
      </c>
      <c r="M22" s="38">
        <v>-47.44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45.67</v>
      </c>
      <c r="AI22" s="38">
        <v>0</v>
      </c>
      <c r="AJ22" s="38">
        <v>0</v>
      </c>
      <c r="AK22" s="2"/>
      <c r="AL22" s="2"/>
    </row>
    <row r="23" spans="1:38" x14ac:dyDescent="0.25">
      <c r="A23" s="51" t="s">
        <v>398</v>
      </c>
      <c r="B23" s="51" t="s">
        <v>391</v>
      </c>
      <c r="C23" s="38">
        <v>-7.12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 t="s">
        <v>387</v>
      </c>
      <c r="M23" s="38" t="s">
        <v>387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-7.12</v>
      </c>
      <c r="AI23" s="38">
        <v>0</v>
      </c>
      <c r="AJ23" s="38">
        <v>0</v>
      </c>
      <c r="AK23" s="2"/>
      <c r="AL23" s="2"/>
    </row>
    <row r="24" spans="1:38" x14ac:dyDescent="0.25">
      <c r="A24" s="48" t="s">
        <v>399</v>
      </c>
      <c r="B24" s="48" t="s">
        <v>400</v>
      </c>
      <c r="C24" s="38"/>
      <c r="D24" s="38" t="s">
        <v>387</v>
      </c>
      <c r="E24" s="38" t="s">
        <v>387</v>
      </c>
      <c r="F24" s="38" t="s">
        <v>387</v>
      </c>
      <c r="G24" s="38" t="s">
        <v>387</v>
      </c>
      <c r="H24" s="38" t="s">
        <v>387</v>
      </c>
      <c r="I24" s="38" t="s">
        <v>387</v>
      </c>
      <c r="J24" s="38" t="s">
        <v>387</v>
      </c>
      <c r="K24" s="38" t="s">
        <v>387</v>
      </c>
      <c r="L24" s="38" t="s">
        <v>387</v>
      </c>
      <c r="M24" s="38" t="s">
        <v>387</v>
      </c>
      <c r="N24" s="38" t="s">
        <v>387</v>
      </c>
      <c r="O24" s="38" t="s">
        <v>387</v>
      </c>
      <c r="P24" s="38" t="s">
        <v>387</v>
      </c>
      <c r="Q24" s="38" t="s">
        <v>387</v>
      </c>
      <c r="R24" s="38" t="s">
        <v>387</v>
      </c>
      <c r="S24" s="38" t="s">
        <v>387</v>
      </c>
      <c r="T24" s="38" t="s">
        <v>387</v>
      </c>
      <c r="U24" s="38" t="s">
        <v>387</v>
      </c>
      <c r="V24" s="38" t="s">
        <v>387</v>
      </c>
      <c r="W24" s="38" t="s">
        <v>387</v>
      </c>
      <c r="X24" s="38" t="s">
        <v>387</v>
      </c>
      <c r="Y24" s="38" t="s">
        <v>387</v>
      </c>
      <c r="Z24" s="38" t="s">
        <v>387</v>
      </c>
      <c r="AA24" s="38" t="s">
        <v>387</v>
      </c>
      <c r="AB24" s="38" t="s">
        <v>387</v>
      </c>
      <c r="AC24" s="38" t="s">
        <v>387</v>
      </c>
      <c r="AD24" s="38" t="s">
        <v>387</v>
      </c>
      <c r="AE24" s="38" t="s">
        <v>387</v>
      </c>
      <c r="AF24" s="38" t="s">
        <v>387</v>
      </c>
      <c r="AG24" s="38" t="s">
        <v>387</v>
      </c>
      <c r="AH24" s="38" t="s">
        <v>387</v>
      </c>
      <c r="AI24" s="38" t="s">
        <v>387</v>
      </c>
      <c r="AJ24" s="38" t="s">
        <v>387</v>
      </c>
      <c r="AK24" s="1"/>
      <c r="AL24" s="1"/>
    </row>
    <row r="25" spans="1:38" x14ac:dyDescent="0.25">
      <c r="A25" s="51" t="s">
        <v>396</v>
      </c>
      <c r="B25" s="51" t="s">
        <v>397</v>
      </c>
      <c r="C25" s="38">
        <v>-28600.66</v>
      </c>
      <c r="D25" s="38">
        <v>0</v>
      </c>
      <c r="E25" s="38">
        <v>0</v>
      </c>
      <c r="F25" s="38">
        <v>0</v>
      </c>
      <c r="G25" s="38">
        <v>-0.17</v>
      </c>
      <c r="H25" s="38">
        <v>0</v>
      </c>
      <c r="I25" s="38">
        <v>0</v>
      </c>
      <c r="J25" s="38">
        <v>0</v>
      </c>
      <c r="K25" s="38">
        <v>0</v>
      </c>
      <c r="L25" s="38">
        <v>-83.47</v>
      </c>
      <c r="M25" s="38">
        <v>-574.80999999999995</v>
      </c>
      <c r="N25" s="38">
        <v>0</v>
      </c>
      <c r="O25" s="38">
        <v>0</v>
      </c>
      <c r="P25" s="38">
        <v>0</v>
      </c>
      <c r="Q25" s="38">
        <v>-3994.78</v>
      </c>
      <c r="R25" s="38">
        <v>-61841.29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-3386.07</v>
      </c>
      <c r="Y25" s="38">
        <v>-8690.08</v>
      </c>
      <c r="Z25" s="38">
        <v>0</v>
      </c>
      <c r="AA25" s="38">
        <v>-33818.839999999997</v>
      </c>
      <c r="AB25" s="38">
        <v>-1604.03</v>
      </c>
      <c r="AC25" s="38">
        <v>-7.61</v>
      </c>
      <c r="AD25" s="38">
        <v>-307.24</v>
      </c>
      <c r="AE25" s="38">
        <v>0</v>
      </c>
      <c r="AF25" s="38">
        <v>0</v>
      </c>
      <c r="AG25" s="38">
        <v>0</v>
      </c>
      <c r="AH25" s="38">
        <v>38777.25</v>
      </c>
      <c r="AI25" s="38">
        <v>46930.5</v>
      </c>
      <c r="AJ25" s="38">
        <v>0</v>
      </c>
      <c r="AK25" s="2"/>
      <c r="AL25" s="2"/>
    </row>
    <row r="26" spans="1:38" x14ac:dyDescent="0.25">
      <c r="A26" s="51" t="s">
        <v>398</v>
      </c>
      <c r="B26" s="51" t="s">
        <v>391</v>
      </c>
      <c r="C26" s="38">
        <v>-3351.48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 t="s">
        <v>387</v>
      </c>
      <c r="M26" s="38" t="s">
        <v>387</v>
      </c>
      <c r="N26" s="38" t="s">
        <v>387</v>
      </c>
      <c r="O26" s="38" t="s">
        <v>387</v>
      </c>
      <c r="P26" s="38" t="s">
        <v>387</v>
      </c>
      <c r="Q26" s="38" t="s">
        <v>387</v>
      </c>
      <c r="R26" s="38" t="s">
        <v>387</v>
      </c>
      <c r="S26" s="38" t="s">
        <v>387</v>
      </c>
      <c r="T26" s="38" t="s">
        <v>387</v>
      </c>
      <c r="U26" s="38" t="s">
        <v>387</v>
      </c>
      <c r="V26" s="38" t="s">
        <v>387</v>
      </c>
      <c r="W26" s="38" t="s">
        <v>387</v>
      </c>
      <c r="X26" s="38" t="s">
        <v>387</v>
      </c>
      <c r="Y26" s="38" t="s">
        <v>387</v>
      </c>
      <c r="Z26" s="38" t="s">
        <v>387</v>
      </c>
      <c r="AA26" s="38" t="s">
        <v>387</v>
      </c>
      <c r="AB26" s="38" t="s">
        <v>387</v>
      </c>
      <c r="AC26" s="38" t="s">
        <v>387</v>
      </c>
      <c r="AD26" s="38" t="s">
        <v>387</v>
      </c>
      <c r="AE26" s="38" t="s">
        <v>387</v>
      </c>
      <c r="AF26" s="38" t="s">
        <v>387</v>
      </c>
      <c r="AG26" s="38" t="s">
        <v>387</v>
      </c>
      <c r="AH26" s="38">
        <v>-3351.48</v>
      </c>
      <c r="AI26" s="38">
        <v>0</v>
      </c>
      <c r="AJ26" s="38">
        <v>0</v>
      </c>
      <c r="AK26" s="2"/>
      <c r="AL26" s="2"/>
    </row>
    <row r="27" spans="1:38" x14ac:dyDescent="0.25">
      <c r="A27" s="48" t="s">
        <v>401</v>
      </c>
      <c r="B27" s="48" t="s">
        <v>402</v>
      </c>
      <c r="C27" s="38" t="s">
        <v>387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-50035.69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50035.69</v>
      </c>
      <c r="AI27" s="38">
        <v>0</v>
      </c>
      <c r="AJ27" s="38">
        <v>0</v>
      </c>
      <c r="AK27" s="1"/>
      <c r="AL27" s="1"/>
    </row>
    <row r="28" spans="1:38" x14ac:dyDescent="0.25">
      <c r="A28" s="48" t="s">
        <v>403</v>
      </c>
      <c r="B28" s="48" t="s">
        <v>404</v>
      </c>
      <c r="C28" s="38" t="s">
        <v>387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-53.5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53.5</v>
      </c>
      <c r="AI28" s="38">
        <v>0</v>
      </c>
      <c r="AJ28" s="38">
        <v>0</v>
      </c>
      <c r="AK28" s="1"/>
      <c r="AL28" s="1"/>
    </row>
    <row r="29" spans="1:38" x14ac:dyDescent="0.25">
      <c r="A29" s="48" t="s">
        <v>405</v>
      </c>
      <c r="B29" s="48" t="s">
        <v>406</v>
      </c>
      <c r="C29" s="38"/>
      <c r="D29" s="38" t="s">
        <v>387</v>
      </c>
      <c r="E29" s="38" t="s">
        <v>387</v>
      </c>
      <c r="F29" s="38" t="s">
        <v>387</v>
      </c>
      <c r="G29" s="38" t="s">
        <v>387</v>
      </c>
      <c r="H29" s="38" t="s">
        <v>387</v>
      </c>
      <c r="I29" s="38" t="s">
        <v>387</v>
      </c>
      <c r="J29" s="38" t="s">
        <v>387</v>
      </c>
      <c r="K29" s="38" t="s">
        <v>387</v>
      </c>
      <c r="L29" s="38" t="s">
        <v>387</v>
      </c>
      <c r="M29" s="38" t="s">
        <v>387</v>
      </c>
      <c r="N29" s="38" t="s">
        <v>387</v>
      </c>
      <c r="O29" s="38" t="s">
        <v>387</v>
      </c>
      <c r="P29" s="38" t="s">
        <v>387</v>
      </c>
      <c r="Q29" s="38" t="s">
        <v>387</v>
      </c>
      <c r="R29" s="38" t="s">
        <v>387</v>
      </c>
      <c r="S29" s="38" t="s">
        <v>387</v>
      </c>
      <c r="T29" s="38" t="s">
        <v>387</v>
      </c>
      <c r="U29" s="38" t="s">
        <v>387</v>
      </c>
      <c r="V29" s="38" t="s">
        <v>387</v>
      </c>
      <c r="W29" s="38" t="s">
        <v>387</v>
      </c>
      <c r="X29" s="38" t="s">
        <v>387</v>
      </c>
      <c r="Y29" s="38" t="s">
        <v>387</v>
      </c>
      <c r="Z29" s="38" t="s">
        <v>387</v>
      </c>
      <c r="AA29" s="38" t="s">
        <v>387</v>
      </c>
      <c r="AB29" s="38" t="s">
        <v>387</v>
      </c>
      <c r="AC29" s="38" t="s">
        <v>387</v>
      </c>
      <c r="AD29" s="38" t="s">
        <v>387</v>
      </c>
      <c r="AE29" s="38" t="s">
        <v>387</v>
      </c>
      <c r="AF29" s="38" t="s">
        <v>387</v>
      </c>
      <c r="AG29" s="38" t="s">
        <v>387</v>
      </c>
      <c r="AH29" s="38" t="s">
        <v>387</v>
      </c>
      <c r="AI29" s="38" t="s">
        <v>387</v>
      </c>
      <c r="AJ29" s="38" t="s">
        <v>387</v>
      </c>
      <c r="AK29" s="1"/>
      <c r="AL29" s="1"/>
    </row>
    <row r="30" spans="1:38" x14ac:dyDescent="0.25">
      <c r="A30" s="51" t="s">
        <v>396</v>
      </c>
      <c r="B30" s="51" t="s">
        <v>407</v>
      </c>
      <c r="C30" s="38">
        <v>-2906.43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-15.87</v>
      </c>
      <c r="M30" s="38">
        <v>-0.87</v>
      </c>
      <c r="N30" s="38">
        <v>0</v>
      </c>
      <c r="O30" s="38">
        <v>0</v>
      </c>
      <c r="P30" s="38">
        <v>0</v>
      </c>
      <c r="Q30" s="38">
        <v>-11106.74</v>
      </c>
      <c r="R30" s="38">
        <v>-38.54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-3456.23</v>
      </c>
      <c r="Y30" s="38">
        <v>-5684.52</v>
      </c>
      <c r="Z30" s="38">
        <v>0</v>
      </c>
      <c r="AA30" s="38">
        <v>-450.61</v>
      </c>
      <c r="AB30" s="38">
        <v>-671.53</v>
      </c>
      <c r="AC30" s="38">
        <v>-3344.06</v>
      </c>
      <c r="AD30" s="38">
        <v>-854.21</v>
      </c>
      <c r="AE30" s="38">
        <v>-5380.99</v>
      </c>
      <c r="AF30" s="38">
        <v>0</v>
      </c>
      <c r="AG30" s="38">
        <v>0</v>
      </c>
      <c r="AH30" s="38">
        <v>9277.49</v>
      </c>
      <c r="AI30" s="38">
        <v>18820.259999999998</v>
      </c>
      <c r="AJ30" s="38">
        <v>0</v>
      </c>
      <c r="AK30" s="2"/>
      <c r="AL30" s="2"/>
    </row>
    <row r="31" spans="1:38" x14ac:dyDescent="0.25">
      <c r="A31" s="51" t="s">
        <v>398</v>
      </c>
      <c r="B31" s="51" t="s">
        <v>408</v>
      </c>
      <c r="C31" s="38">
        <v>-1034.3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-436.72</v>
      </c>
      <c r="AI31" s="38">
        <v>-597.58000000000004</v>
      </c>
      <c r="AJ31" s="38">
        <v>0</v>
      </c>
      <c r="AK31" s="2"/>
      <c r="AL31" s="2"/>
    </row>
    <row r="32" spans="1:38" x14ac:dyDescent="0.25">
      <c r="A32" s="48" t="s">
        <v>409</v>
      </c>
      <c r="B32" s="48" t="s">
        <v>410</v>
      </c>
      <c r="C32" s="38">
        <v>0</v>
      </c>
      <c r="D32" s="38" t="s">
        <v>387</v>
      </c>
      <c r="E32" s="38" t="s">
        <v>387</v>
      </c>
      <c r="F32" s="38" t="s">
        <v>387</v>
      </c>
      <c r="G32" s="38" t="s">
        <v>387</v>
      </c>
      <c r="H32" s="38" t="s">
        <v>387</v>
      </c>
      <c r="I32" s="38" t="s">
        <v>387</v>
      </c>
      <c r="J32" s="38" t="s">
        <v>387</v>
      </c>
      <c r="K32" s="38" t="s">
        <v>387</v>
      </c>
      <c r="L32" s="38" t="s">
        <v>387</v>
      </c>
      <c r="M32" s="38" t="s">
        <v>387</v>
      </c>
      <c r="N32" s="38" t="s">
        <v>387</v>
      </c>
      <c r="O32" s="38" t="s">
        <v>387</v>
      </c>
      <c r="P32" s="38" t="s">
        <v>387</v>
      </c>
      <c r="Q32" s="38" t="s">
        <v>387</v>
      </c>
      <c r="R32" s="38" t="s">
        <v>387</v>
      </c>
      <c r="S32" s="38" t="s">
        <v>387</v>
      </c>
      <c r="T32" s="38" t="s">
        <v>387</v>
      </c>
      <c r="U32" s="38" t="s">
        <v>387</v>
      </c>
      <c r="V32" s="38" t="s">
        <v>387</v>
      </c>
      <c r="W32" s="38" t="s">
        <v>387</v>
      </c>
      <c r="X32" s="38" t="s">
        <v>387</v>
      </c>
      <c r="Y32" s="38" t="s">
        <v>387</v>
      </c>
      <c r="Z32" s="38" t="s">
        <v>387</v>
      </c>
      <c r="AA32" s="38" t="s">
        <v>387</v>
      </c>
      <c r="AB32" s="38" t="s">
        <v>387</v>
      </c>
      <c r="AC32" s="38" t="s">
        <v>387</v>
      </c>
      <c r="AD32" s="38" t="s">
        <v>387</v>
      </c>
      <c r="AE32" s="38" t="s">
        <v>387</v>
      </c>
      <c r="AF32" s="38" t="s">
        <v>387</v>
      </c>
      <c r="AG32" s="38" t="s">
        <v>387</v>
      </c>
      <c r="AH32" s="38" t="s">
        <v>387</v>
      </c>
      <c r="AI32" s="38" t="s">
        <v>387</v>
      </c>
      <c r="AJ32" s="38" t="s">
        <v>387</v>
      </c>
      <c r="AK32" s="1"/>
      <c r="AL32" s="1"/>
    </row>
    <row r="33" spans="1:38" x14ac:dyDescent="0.25">
      <c r="A33" s="51"/>
      <c r="B33" s="51" t="s">
        <v>407</v>
      </c>
      <c r="C33" s="38">
        <v>-496.99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-625.57000000000005</v>
      </c>
      <c r="M33" s="38">
        <v>-163.21</v>
      </c>
      <c r="N33" s="38">
        <v>-1.1299999999999999</v>
      </c>
      <c r="O33" s="38">
        <v>0</v>
      </c>
      <c r="P33" s="38">
        <v>0</v>
      </c>
      <c r="Q33" s="38">
        <v>-12675.35</v>
      </c>
      <c r="R33" s="38">
        <v>-110.08</v>
      </c>
      <c r="S33" s="38">
        <v>0</v>
      </c>
      <c r="T33" s="38">
        <v>-2160.71</v>
      </c>
      <c r="U33" s="38">
        <v>0</v>
      </c>
      <c r="V33" s="38">
        <v>0</v>
      </c>
      <c r="W33" s="38">
        <v>-110.11</v>
      </c>
      <c r="X33" s="38">
        <v>-5808.52</v>
      </c>
      <c r="Y33" s="38">
        <v>-11846.23</v>
      </c>
      <c r="Z33" s="38">
        <v>0</v>
      </c>
      <c r="AA33" s="38">
        <v>-2341.59</v>
      </c>
      <c r="AB33" s="38">
        <v>-756.22</v>
      </c>
      <c r="AC33" s="38">
        <v>-62.05</v>
      </c>
      <c r="AD33" s="38">
        <v>-974.85</v>
      </c>
      <c r="AE33" s="38">
        <v>-524.5</v>
      </c>
      <c r="AF33" s="38">
        <v>-220.7</v>
      </c>
      <c r="AG33" s="38">
        <v>0</v>
      </c>
      <c r="AH33" s="38">
        <v>-1058.96</v>
      </c>
      <c r="AI33" s="38">
        <v>38942.78</v>
      </c>
      <c r="AJ33" s="38">
        <v>0</v>
      </c>
      <c r="AK33" s="2"/>
      <c r="AL33" s="2"/>
    </row>
    <row r="34" spans="1:38" x14ac:dyDescent="0.25">
      <c r="A34" s="51" t="s">
        <v>398</v>
      </c>
      <c r="B34" s="51" t="s">
        <v>411</v>
      </c>
      <c r="C34" s="38">
        <v>-257.19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-257.19</v>
      </c>
      <c r="AJ34" s="38">
        <v>0</v>
      </c>
      <c r="AK34" s="2"/>
      <c r="AL34" s="2"/>
    </row>
    <row r="35" spans="1:38" x14ac:dyDescent="0.25">
      <c r="A35" s="48" t="s">
        <v>97</v>
      </c>
      <c r="B35" s="48" t="s">
        <v>412</v>
      </c>
      <c r="C35" s="38"/>
      <c r="D35" s="38" t="s">
        <v>387</v>
      </c>
      <c r="E35" s="38" t="s">
        <v>387</v>
      </c>
      <c r="F35" s="38" t="s">
        <v>387</v>
      </c>
      <c r="G35" s="38" t="s">
        <v>387</v>
      </c>
      <c r="H35" s="38" t="s">
        <v>387</v>
      </c>
      <c r="I35" s="38" t="s">
        <v>387</v>
      </c>
      <c r="J35" s="38" t="s">
        <v>387</v>
      </c>
      <c r="K35" s="38" t="s">
        <v>387</v>
      </c>
      <c r="L35" s="38" t="s">
        <v>387</v>
      </c>
      <c r="M35" s="38" t="s">
        <v>387</v>
      </c>
      <c r="N35" s="38" t="s">
        <v>387</v>
      </c>
      <c r="O35" s="38" t="s">
        <v>387</v>
      </c>
      <c r="P35" s="38" t="s">
        <v>387</v>
      </c>
      <c r="Q35" s="38" t="s">
        <v>387</v>
      </c>
      <c r="R35" s="38" t="s">
        <v>387</v>
      </c>
      <c r="S35" s="38" t="s">
        <v>387</v>
      </c>
      <c r="T35" s="38" t="s">
        <v>387</v>
      </c>
      <c r="U35" s="38" t="s">
        <v>387</v>
      </c>
      <c r="V35" s="38" t="s">
        <v>387</v>
      </c>
      <c r="W35" s="38" t="s">
        <v>387</v>
      </c>
      <c r="X35" s="38" t="s">
        <v>387</v>
      </c>
      <c r="Y35" s="38" t="s">
        <v>387</v>
      </c>
      <c r="Z35" s="38" t="s">
        <v>387</v>
      </c>
      <c r="AA35" s="38" t="s">
        <v>387</v>
      </c>
      <c r="AB35" s="38" t="s">
        <v>387</v>
      </c>
      <c r="AC35" s="38" t="s">
        <v>387</v>
      </c>
      <c r="AD35" s="38" t="s">
        <v>387</v>
      </c>
      <c r="AE35" s="38" t="s">
        <v>387</v>
      </c>
      <c r="AF35" s="38" t="s">
        <v>387</v>
      </c>
      <c r="AG35" s="38" t="s">
        <v>387</v>
      </c>
      <c r="AH35" s="38" t="s">
        <v>387</v>
      </c>
      <c r="AI35" s="38" t="s">
        <v>387</v>
      </c>
      <c r="AJ35" s="38" t="s">
        <v>387</v>
      </c>
      <c r="AK35" s="1"/>
      <c r="AL35" s="1"/>
    </row>
    <row r="36" spans="1:38" x14ac:dyDescent="0.25">
      <c r="A36" s="51"/>
      <c r="B36" s="51" t="s">
        <v>413</v>
      </c>
      <c r="C36" s="38">
        <v>-8.48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-3430.7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-11.5</v>
      </c>
      <c r="AD36" s="38">
        <v>0</v>
      </c>
      <c r="AE36" s="38">
        <v>0</v>
      </c>
      <c r="AF36" s="38">
        <v>0</v>
      </c>
      <c r="AG36" s="38">
        <v>0</v>
      </c>
      <c r="AH36" s="38">
        <v>3433.73</v>
      </c>
      <c r="AI36" s="38">
        <v>0</v>
      </c>
      <c r="AJ36" s="38">
        <v>0</v>
      </c>
      <c r="AK36" s="2"/>
      <c r="AL36" s="2"/>
    </row>
    <row r="37" spans="1:38" x14ac:dyDescent="0.25">
      <c r="A37" s="51" t="s">
        <v>414</v>
      </c>
      <c r="B37" s="51" t="s">
        <v>415</v>
      </c>
      <c r="C37" s="38">
        <v>-5424.36</v>
      </c>
      <c r="D37" s="38">
        <v>0</v>
      </c>
      <c r="E37" s="38">
        <v>0</v>
      </c>
      <c r="F37" s="38">
        <v>-1566.24</v>
      </c>
      <c r="G37" s="38">
        <v>-1.03</v>
      </c>
      <c r="H37" s="38">
        <v>0</v>
      </c>
      <c r="I37" s="38">
        <v>0</v>
      </c>
      <c r="J37" s="38">
        <v>0</v>
      </c>
      <c r="K37" s="38">
        <v>0</v>
      </c>
      <c r="L37" s="38">
        <v>-129.19999999999999</v>
      </c>
      <c r="M37" s="38">
        <v>-446.07</v>
      </c>
      <c r="N37" s="38">
        <v>-1.28</v>
      </c>
      <c r="O37" s="38">
        <v>0</v>
      </c>
      <c r="P37" s="38">
        <v>0</v>
      </c>
      <c r="Q37" s="38">
        <v>-2817.61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-21.2</v>
      </c>
      <c r="Y37" s="38">
        <v>-395.55</v>
      </c>
      <c r="Z37" s="38">
        <v>0</v>
      </c>
      <c r="AA37" s="38">
        <v>0</v>
      </c>
      <c r="AB37" s="38">
        <v>-922.71</v>
      </c>
      <c r="AC37" s="38">
        <v>-2087.12</v>
      </c>
      <c r="AD37" s="38">
        <v>-216.7</v>
      </c>
      <c r="AE37" s="38">
        <v>-28143</v>
      </c>
      <c r="AF37" s="38">
        <v>-13.42</v>
      </c>
      <c r="AG37" s="38">
        <v>0</v>
      </c>
      <c r="AH37" s="38">
        <v>7727.11</v>
      </c>
      <c r="AI37" s="38">
        <v>23609.65</v>
      </c>
      <c r="AJ37" s="38">
        <v>0</v>
      </c>
      <c r="AK37" s="2"/>
      <c r="AL37" s="2"/>
    </row>
    <row r="38" spans="1:38" x14ac:dyDescent="0.25">
      <c r="A38" s="51" t="s">
        <v>416</v>
      </c>
      <c r="B38" s="51" t="s">
        <v>417</v>
      </c>
      <c r="C38" s="38">
        <v>3812.31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-1.82</v>
      </c>
      <c r="M38" s="38">
        <v>-2.0699999999999998</v>
      </c>
      <c r="N38" s="38">
        <v>-0.17</v>
      </c>
      <c r="O38" s="38">
        <v>0</v>
      </c>
      <c r="P38" s="38">
        <v>0</v>
      </c>
      <c r="Q38" s="38">
        <v>-180.79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-21.18</v>
      </c>
      <c r="Y38" s="38">
        <v>-149.63999999999999</v>
      </c>
      <c r="Z38" s="38">
        <v>0</v>
      </c>
      <c r="AA38" s="38">
        <v>0</v>
      </c>
      <c r="AB38" s="38">
        <v>-165.63</v>
      </c>
      <c r="AC38" s="38">
        <v>-30.74</v>
      </c>
      <c r="AD38" s="38">
        <v>-13.9</v>
      </c>
      <c r="AE38" s="38">
        <v>-2197.29</v>
      </c>
      <c r="AF38" s="38">
        <v>0</v>
      </c>
      <c r="AG38" s="38">
        <v>0</v>
      </c>
      <c r="AH38" s="38">
        <v>-54.38</v>
      </c>
      <c r="AI38" s="38">
        <v>6629.92</v>
      </c>
      <c r="AJ38" s="38">
        <v>0</v>
      </c>
      <c r="AK38" s="2"/>
      <c r="AL38" s="2"/>
    </row>
    <row r="39" spans="1:38" x14ac:dyDescent="0.25">
      <c r="A39" s="48" t="s">
        <v>418</v>
      </c>
      <c r="B39" s="48" t="s">
        <v>419</v>
      </c>
      <c r="C39" s="38">
        <v>-70.150000000000006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-542.23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-118.69</v>
      </c>
      <c r="AD39" s="38">
        <v>-41.7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632.47</v>
      </c>
      <c r="AK39" s="1"/>
      <c r="AL39" s="1"/>
    </row>
    <row r="40" spans="1:38" x14ac:dyDescent="0.25">
      <c r="A40" s="48" t="s">
        <v>76</v>
      </c>
      <c r="B40" s="48" t="s">
        <v>420</v>
      </c>
      <c r="C40" s="38" t="s">
        <v>387</v>
      </c>
      <c r="D40" s="38" t="s">
        <v>387</v>
      </c>
      <c r="E40" s="38" t="s">
        <v>387</v>
      </c>
      <c r="F40" s="38" t="s">
        <v>387</v>
      </c>
      <c r="G40" s="38" t="s">
        <v>387</v>
      </c>
      <c r="H40" s="38" t="s">
        <v>387</v>
      </c>
      <c r="I40" s="38" t="s">
        <v>387</v>
      </c>
      <c r="J40" s="38" t="s">
        <v>387</v>
      </c>
      <c r="K40" s="38" t="s">
        <v>387</v>
      </c>
      <c r="L40" s="38" t="s">
        <v>387</v>
      </c>
      <c r="M40" s="38" t="s">
        <v>387</v>
      </c>
      <c r="N40" s="38" t="s">
        <v>387</v>
      </c>
      <c r="O40" s="38" t="s">
        <v>387</v>
      </c>
      <c r="P40" s="38" t="s">
        <v>387</v>
      </c>
      <c r="Q40" s="38" t="s">
        <v>387</v>
      </c>
      <c r="R40" s="38" t="s">
        <v>387</v>
      </c>
      <c r="S40" s="38" t="s">
        <v>387</v>
      </c>
      <c r="T40" s="38" t="s">
        <v>387</v>
      </c>
      <c r="U40" s="38" t="s">
        <v>387</v>
      </c>
      <c r="V40" s="38" t="s">
        <v>387</v>
      </c>
      <c r="W40" s="38" t="s">
        <v>387</v>
      </c>
      <c r="X40" s="38" t="s">
        <v>387</v>
      </c>
      <c r="Y40" s="38" t="s">
        <v>387</v>
      </c>
      <c r="Z40" s="38" t="s">
        <v>387</v>
      </c>
      <c r="AA40" s="38" t="s">
        <v>387</v>
      </c>
      <c r="AB40" s="38" t="s">
        <v>387</v>
      </c>
      <c r="AC40" s="38">
        <v>-7060.06</v>
      </c>
      <c r="AD40" s="38">
        <v>7060.06</v>
      </c>
      <c r="AE40" s="38" t="s">
        <v>387</v>
      </c>
      <c r="AF40" s="38" t="s">
        <v>387</v>
      </c>
      <c r="AG40" s="38" t="s">
        <v>387</v>
      </c>
      <c r="AH40" s="38" t="s">
        <v>387</v>
      </c>
      <c r="AI40" s="38" t="s">
        <v>387</v>
      </c>
      <c r="AJ40" s="38" t="s">
        <v>387</v>
      </c>
      <c r="AK40" s="1"/>
      <c r="AL40" s="1"/>
    </row>
    <row r="41" spans="1:38" x14ac:dyDescent="0.25">
      <c r="A41" s="48" t="s">
        <v>421</v>
      </c>
      <c r="B41" s="48" t="s">
        <v>422</v>
      </c>
      <c r="C41" s="38">
        <v>-34913.33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-110.28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-8.48</v>
      </c>
      <c r="AE41" s="38">
        <v>0</v>
      </c>
      <c r="AF41" s="38">
        <v>0</v>
      </c>
      <c r="AG41" s="38">
        <v>0</v>
      </c>
      <c r="AH41" s="38">
        <v>-7930.9</v>
      </c>
      <c r="AI41" s="38">
        <v>-26838.37</v>
      </c>
      <c r="AJ41" s="38">
        <v>-25.3</v>
      </c>
      <c r="AK41" s="1"/>
      <c r="AL41" s="1"/>
    </row>
    <row r="42" spans="1:38" x14ac:dyDescent="0.25">
      <c r="A42" s="48" t="s">
        <v>423</v>
      </c>
      <c r="B42" s="48" t="s">
        <v>424</v>
      </c>
      <c r="C42" s="38"/>
      <c r="D42" s="38" t="s">
        <v>387</v>
      </c>
      <c r="E42" s="38" t="s">
        <v>387</v>
      </c>
      <c r="F42" s="38" t="s">
        <v>387</v>
      </c>
      <c r="G42" s="38" t="s">
        <v>387</v>
      </c>
      <c r="H42" s="38" t="s">
        <v>387</v>
      </c>
      <c r="I42" s="38" t="s">
        <v>387</v>
      </c>
      <c r="J42" s="38" t="s">
        <v>387</v>
      </c>
      <c r="K42" s="38" t="s">
        <v>387</v>
      </c>
      <c r="L42" s="38" t="s">
        <v>387</v>
      </c>
      <c r="M42" s="38" t="s">
        <v>387</v>
      </c>
      <c r="N42" s="38" t="s">
        <v>387</v>
      </c>
      <c r="O42" s="38" t="s">
        <v>387</v>
      </c>
      <c r="P42" s="38" t="s">
        <v>387</v>
      </c>
      <c r="Q42" s="38" t="s">
        <v>387</v>
      </c>
      <c r="R42" s="38" t="s">
        <v>387</v>
      </c>
      <c r="S42" s="38" t="s">
        <v>387</v>
      </c>
      <c r="T42" s="38" t="s">
        <v>387</v>
      </c>
      <c r="U42" s="38" t="s">
        <v>387</v>
      </c>
      <c r="V42" s="38" t="s">
        <v>387</v>
      </c>
      <c r="W42" s="38" t="s">
        <v>387</v>
      </c>
      <c r="X42" s="38" t="s">
        <v>387</v>
      </c>
      <c r="Y42" s="38" t="s">
        <v>387</v>
      </c>
      <c r="Z42" s="38" t="s">
        <v>387</v>
      </c>
      <c r="AA42" s="38" t="s">
        <v>387</v>
      </c>
      <c r="AB42" s="38" t="s">
        <v>387</v>
      </c>
      <c r="AC42" s="38" t="s">
        <v>387</v>
      </c>
      <c r="AD42" s="38" t="s">
        <v>387</v>
      </c>
      <c r="AE42" s="38" t="s">
        <v>387</v>
      </c>
      <c r="AF42" s="38" t="s">
        <v>387</v>
      </c>
      <c r="AG42" s="38" t="s">
        <v>387</v>
      </c>
      <c r="AH42" s="38" t="s">
        <v>387</v>
      </c>
      <c r="AI42" s="38" t="s">
        <v>387</v>
      </c>
      <c r="AJ42" s="38" t="s">
        <v>387</v>
      </c>
      <c r="AK42" s="1"/>
      <c r="AL42" s="1"/>
    </row>
    <row r="43" spans="1:38" x14ac:dyDescent="0.25">
      <c r="A43" s="51" t="s">
        <v>425</v>
      </c>
      <c r="B43" s="51" t="s">
        <v>426</v>
      </c>
      <c r="C43" s="38">
        <v>-10268.39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-10268.39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  <c r="AL43" s="2"/>
    </row>
    <row r="44" spans="1:38" x14ac:dyDescent="0.25">
      <c r="A44" s="51" t="s">
        <v>427</v>
      </c>
      <c r="B44" s="51" t="s">
        <v>428</v>
      </c>
      <c r="C44" s="38">
        <v>-166119.70000000001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-56755.81</v>
      </c>
      <c r="J44" s="38">
        <v>0</v>
      </c>
      <c r="K44" s="38">
        <v>0</v>
      </c>
      <c r="L44" s="38">
        <v>-100078.71</v>
      </c>
      <c r="M44" s="38">
        <v>0</v>
      </c>
      <c r="N44" s="38">
        <v>0</v>
      </c>
      <c r="O44" s="38">
        <v>0</v>
      </c>
      <c r="P44" s="38">
        <v>0</v>
      </c>
      <c r="Q44" s="38">
        <v>-305.54000000000002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-23.5</v>
      </c>
      <c r="AE44" s="38">
        <v>0</v>
      </c>
      <c r="AF44" s="38">
        <v>-8956.1299999999992</v>
      </c>
      <c r="AG44" s="38">
        <v>0</v>
      </c>
      <c r="AH44" s="38">
        <v>0</v>
      </c>
      <c r="AI44" s="38">
        <v>0</v>
      </c>
      <c r="AJ44" s="38">
        <v>0</v>
      </c>
      <c r="AK44" s="2"/>
      <c r="AL44" s="2"/>
    </row>
    <row r="45" spans="1:38" x14ac:dyDescent="0.25">
      <c r="A45" s="51" t="s">
        <v>429</v>
      </c>
      <c r="B45" s="51" t="s">
        <v>430</v>
      </c>
      <c r="C45" s="38">
        <v>-4478.68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-0.03</v>
      </c>
      <c r="J45" s="38">
        <v>0</v>
      </c>
      <c r="K45" s="38">
        <v>0</v>
      </c>
      <c r="L45" s="38">
        <v>-3027.58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-1451.06</v>
      </c>
      <c r="AI45" s="38">
        <v>0</v>
      </c>
      <c r="AJ45" s="38">
        <v>0</v>
      </c>
      <c r="AK45" s="2"/>
      <c r="AL45" s="2"/>
    </row>
    <row r="46" spans="1:38" x14ac:dyDescent="0.25">
      <c r="A46" s="51" t="s">
        <v>431</v>
      </c>
      <c r="B46" s="51" t="s">
        <v>432</v>
      </c>
      <c r="C46" s="38">
        <v>-6390.93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-6386.38</v>
      </c>
      <c r="M46" s="38">
        <v>-4.55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  <c r="AL46" s="2"/>
    </row>
    <row r="47" spans="1:38" x14ac:dyDescent="0.25">
      <c r="A47" s="51" t="s">
        <v>433</v>
      </c>
      <c r="B47" s="51" t="s">
        <v>434</v>
      </c>
      <c r="C47" s="38">
        <v>-42943.88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-42943.88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  <c r="AL47" s="2"/>
    </row>
    <row r="48" spans="1:38" x14ac:dyDescent="0.25">
      <c r="A48" s="51" t="s">
        <v>435</v>
      </c>
      <c r="B48" s="51" t="s">
        <v>436</v>
      </c>
      <c r="C48" s="38">
        <v>-1201.99</v>
      </c>
      <c r="D48" s="38">
        <v>0</v>
      </c>
      <c r="E48" s="38">
        <v>0</v>
      </c>
      <c r="F48" s="38">
        <v>0</v>
      </c>
      <c r="G48" s="38">
        <v>0</v>
      </c>
      <c r="H48" s="38">
        <v>-49.23</v>
      </c>
      <c r="I48" s="38">
        <v>0</v>
      </c>
      <c r="J48" s="38">
        <v>0</v>
      </c>
      <c r="K48" s="38">
        <v>-1152.76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  <c r="AL48" s="2"/>
    </row>
    <row r="49" spans="1:38" x14ac:dyDescent="0.25">
      <c r="A49" s="51" t="s">
        <v>437</v>
      </c>
      <c r="B49" s="51" t="s">
        <v>438</v>
      </c>
      <c r="C49" s="38">
        <v>-1605.9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-1.81</v>
      </c>
      <c r="J49" s="38">
        <v>0</v>
      </c>
      <c r="K49" s="38">
        <v>-629.64</v>
      </c>
      <c r="L49" s="38">
        <v>-974.46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  <c r="AL49" s="2"/>
    </row>
    <row r="50" spans="1:38" x14ac:dyDescent="0.25">
      <c r="A50" s="51" t="s">
        <v>439</v>
      </c>
      <c r="B50" s="51" t="s">
        <v>440</v>
      </c>
      <c r="C50" s="38">
        <v>-25736.32</v>
      </c>
      <c r="D50" s="38">
        <v>0</v>
      </c>
      <c r="E50" s="38">
        <v>0</v>
      </c>
      <c r="F50" s="38">
        <v>0</v>
      </c>
      <c r="G50" s="38">
        <v>-192.42</v>
      </c>
      <c r="H50" s="38">
        <v>0</v>
      </c>
      <c r="I50" s="38">
        <v>-64.680000000000007</v>
      </c>
      <c r="J50" s="38">
        <v>-1.39</v>
      </c>
      <c r="K50" s="38">
        <v>0</v>
      </c>
      <c r="L50" s="38">
        <v>-12587.45</v>
      </c>
      <c r="M50" s="38">
        <v>-37.85</v>
      </c>
      <c r="N50" s="38">
        <v>0</v>
      </c>
      <c r="O50" s="38">
        <v>0</v>
      </c>
      <c r="P50" s="38">
        <v>0</v>
      </c>
      <c r="Q50" s="38">
        <v>-1420.19</v>
      </c>
      <c r="R50" s="38">
        <v>-360.93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-1965.06</v>
      </c>
      <c r="Y50" s="38">
        <v>-26.51</v>
      </c>
      <c r="Z50" s="38">
        <v>0</v>
      </c>
      <c r="AA50" s="38">
        <v>0</v>
      </c>
      <c r="AB50" s="38">
        <v>-183.85</v>
      </c>
      <c r="AC50" s="38">
        <v>-105.04</v>
      </c>
      <c r="AD50" s="38">
        <v>-109.23</v>
      </c>
      <c r="AE50" s="38">
        <v>0</v>
      </c>
      <c r="AF50" s="38">
        <v>0</v>
      </c>
      <c r="AG50" s="38">
        <v>-836.9</v>
      </c>
      <c r="AH50" s="38">
        <v>-6265.69</v>
      </c>
      <c r="AI50" s="38">
        <v>-1579.16</v>
      </c>
      <c r="AJ50" s="38">
        <v>0</v>
      </c>
      <c r="AK50" s="2"/>
      <c r="AL50" s="2"/>
    </row>
    <row r="51" spans="1:38" x14ac:dyDescent="0.25">
      <c r="A51" s="51" t="s">
        <v>441</v>
      </c>
      <c r="B51" s="51" t="s">
        <v>442</v>
      </c>
      <c r="C51" s="38">
        <v>-4650.42</v>
      </c>
      <c r="D51" s="38">
        <v>0</v>
      </c>
      <c r="E51" s="38">
        <v>0</v>
      </c>
      <c r="F51" s="38">
        <v>0</v>
      </c>
      <c r="G51" s="38">
        <v>-10.81</v>
      </c>
      <c r="H51" s="38">
        <v>0</v>
      </c>
      <c r="I51" s="38">
        <v>-0.1</v>
      </c>
      <c r="J51" s="38">
        <v>0</v>
      </c>
      <c r="K51" s="38">
        <v>0</v>
      </c>
      <c r="L51" s="38">
        <v>-4639.5200000000004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  <c r="AL51" s="2"/>
    </row>
    <row r="52" spans="1:38" x14ac:dyDescent="0.25">
      <c r="A52" s="51" t="s">
        <v>443</v>
      </c>
      <c r="B52" s="51" t="s">
        <v>444</v>
      </c>
      <c r="C52" s="38">
        <v>-91177.76</v>
      </c>
      <c r="D52" s="38">
        <v>0</v>
      </c>
      <c r="E52" s="38">
        <v>0</v>
      </c>
      <c r="F52" s="38">
        <v>0</v>
      </c>
      <c r="G52" s="38">
        <v>-1043.6500000000001</v>
      </c>
      <c r="H52" s="38">
        <v>0</v>
      </c>
      <c r="I52" s="38">
        <v>-31.31</v>
      </c>
      <c r="J52" s="38">
        <v>-15.63</v>
      </c>
      <c r="K52" s="38">
        <v>0</v>
      </c>
      <c r="L52" s="38">
        <v>-2543.9499999999998</v>
      </c>
      <c r="M52" s="38">
        <v>-975.12</v>
      </c>
      <c r="N52" s="38">
        <v>0</v>
      </c>
      <c r="O52" s="38">
        <v>-6885.67</v>
      </c>
      <c r="P52" s="38">
        <v>0</v>
      </c>
      <c r="Q52" s="38">
        <v>-27412.799999999999</v>
      </c>
      <c r="R52" s="38">
        <v>-4867.8100000000004</v>
      </c>
      <c r="S52" s="38">
        <v>-363.58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-1595.29</v>
      </c>
      <c r="Z52" s="38">
        <v>0</v>
      </c>
      <c r="AA52" s="38">
        <v>-1524.41</v>
      </c>
      <c r="AB52" s="38">
        <v>-4562.05</v>
      </c>
      <c r="AC52" s="38">
        <v>-365.33</v>
      </c>
      <c r="AD52" s="38">
        <v>-2108.29</v>
      </c>
      <c r="AE52" s="38">
        <v>-1492.32</v>
      </c>
      <c r="AF52" s="38">
        <v>0</v>
      </c>
      <c r="AG52" s="38">
        <v>-2137.9899999999998</v>
      </c>
      <c r="AH52" s="38">
        <v>-29657.07</v>
      </c>
      <c r="AI52" s="38">
        <v>-3389.47</v>
      </c>
      <c r="AJ52" s="38">
        <v>-206.03</v>
      </c>
      <c r="AK52" s="2"/>
      <c r="AL52" s="2"/>
    </row>
    <row r="53" spans="1:38" x14ac:dyDescent="0.25">
      <c r="A53" s="51" t="s">
        <v>445</v>
      </c>
      <c r="B53" s="51" t="s">
        <v>446</v>
      </c>
      <c r="C53" s="38">
        <v>-7350.48</v>
      </c>
      <c r="D53" s="38">
        <v>0</v>
      </c>
      <c r="E53" s="38">
        <v>0</v>
      </c>
      <c r="F53" s="38">
        <v>0</v>
      </c>
      <c r="G53" s="38">
        <v>-122.41</v>
      </c>
      <c r="H53" s="38">
        <v>0</v>
      </c>
      <c r="I53" s="38">
        <v>-28.09</v>
      </c>
      <c r="J53" s="38">
        <v>-0.03</v>
      </c>
      <c r="K53" s="38">
        <v>0</v>
      </c>
      <c r="L53" s="38">
        <v>-5425.87</v>
      </c>
      <c r="M53" s="38">
        <v>0</v>
      </c>
      <c r="N53" s="38">
        <v>0</v>
      </c>
      <c r="O53" s="38">
        <v>0</v>
      </c>
      <c r="P53" s="38">
        <v>0</v>
      </c>
      <c r="Q53" s="38">
        <v>-278.99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-21.46</v>
      </c>
      <c r="AE53" s="38">
        <v>0</v>
      </c>
      <c r="AF53" s="38">
        <v>0</v>
      </c>
      <c r="AG53" s="38">
        <v>0</v>
      </c>
      <c r="AH53" s="38">
        <v>-1473.65</v>
      </c>
      <c r="AI53" s="38">
        <v>0</v>
      </c>
      <c r="AJ53" s="38">
        <v>0</v>
      </c>
      <c r="AK53" s="2"/>
      <c r="AL53" s="2"/>
    </row>
    <row r="54" spans="1:38" x14ac:dyDescent="0.25">
      <c r="A54" s="51" t="s">
        <v>447</v>
      </c>
      <c r="B54" s="51" t="s">
        <v>448</v>
      </c>
      <c r="C54" s="38">
        <v>-11046.46</v>
      </c>
      <c r="D54" s="38">
        <v>0</v>
      </c>
      <c r="E54" s="38">
        <v>0</v>
      </c>
      <c r="F54" s="38">
        <v>0</v>
      </c>
      <c r="G54" s="38">
        <v>-43.15</v>
      </c>
      <c r="H54" s="38">
        <v>0</v>
      </c>
      <c r="I54" s="38">
        <v>0</v>
      </c>
      <c r="J54" s="38">
        <v>-6.08</v>
      </c>
      <c r="K54" s="38">
        <v>0</v>
      </c>
      <c r="L54" s="38">
        <v>-260.76</v>
      </c>
      <c r="M54" s="38">
        <v>0</v>
      </c>
      <c r="N54" s="38">
        <v>0</v>
      </c>
      <c r="O54" s="38">
        <v>-1.91</v>
      </c>
      <c r="P54" s="38">
        <v>0</v>
      </c>
      <c r="Q54" s="38">
        <v>-996.5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-76.64</v>
      </c>
      <c r="AE54" s="38">
        <v>0</v>
      </c>
      <c r="AF54" s="38">
        <v>0</v>
      </c>
      <c r="AG54" s="38">
        <v>0</v>
      </c>
      <c r="AH54" s="38">
        <v>-5447.96</v>
      </c>
      <c r="AI54" s="38">
        <v>-4213.45</v>
      </c>
      <c r="AJ54" s="38">
        <v>0</v>
      </c>
      <c r="AK54" s="2"/>
      <c r="AL54" s="2"/>
    </row>
    <row r="55" spans="1:38" x14ac:dyDescent="0.25">
      <c r="A55" s="51" t="s">
        <v>449</v>
      </c>
      <c r="B55" s="51" t="s">
        <v>450</v>
      </c>
      <c r="C55" s="38">
        <v>-9886.06</v>
      </c>
      <c r="D55" s="38">
        <v>0</v>
      </c>
      <c r="E55" s="38">
        <v>0</v>
      </c>
      <c r="F55" s="38">
        <v>0</v>
      </c>
      <c r="G55" s="38">
        <v>-35.159999999999997</v>
      </c>
      <c r="H55" s="38">
        <v>0</v>
      </c>
      <c r="I55" s="38">
        <v>0</v>
      </c>
      <c r="J55" s="38">
        <v>-2.61</v>
      </c>
      <c r="K55" s="38">
        <v>0</v>
      </c>
      <c r="L55" s="38">
        <v>-111.89</v>
      </c>
      <c r="M55" s="38">
        <v>0</v>
      </c>
      <c r="N55" s="38">
        <v>0</v>
      </c>
      <c r="O55" s="38">
        <v>-0.82</v>
      </c>
      <c r="P55" s="38">
        <v>0</v>
      </c>
      <c r="Q55" s="38">
        <v>-769.23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-59.16</v>
      </c>
      <c r="AE55" s="38">
        <v>0</v>
      </c>
      <c r="AF55" s="38">
        <v>0</v>
      </c>
      <c r="AG55" s="38">
        <v>0</v>
      </c>
      <c r="AH55" s="38">
        <v>-5654.69</v>
      </c>
      <c r="AI55" s="38">
        <v>-3252.5</v>
      </c>
      <c r="AJ55" s="38">
        <v>0</v>
      </c>
      <c r="AK55" s="2"/>
      <c r="AL55" s="2"/>
    </row>
    <row r="56" spans="1:38" x14ac:dyDescent="0.25">
      <c r="A56" s="51" t="s">
        <v>451</v>
      </c>
      <c r="B56" s="51" t="s">
        <v>452</v>
      </c>
      <c r="C56" s="38">
        <v>-37662.629999999997</v>
      </c>
      <c r="D56" s="38">
        <v>0</v>
      </c>
      <c r="E56" s="38">
        <v>0</v>
      </c>
      <c r="F56" s="38">
        <v>0</v>
      </c>
      <c r="G56" s="38">
        <v>-161.79</v>
      </c>
      <c r="H56" s="38">
        <v>0</v>
      </c>
      <c r="I56" s="38">
        <v>0</v>
      </c>
      <c r="J56" s="38">
        <v>-16.88</v>
      </c>
      <c r="K56" s="38">
        <v>0</v>
      </c>
      <c r="L56" s="38">
        <v>-594.19000000000005</v>
      </c>
      <c r="M56" s="38">
        <v>-12.38</v>
      </c>
      <c r="N56" s="38">
        <v>-0.02</v>
      </c>
      <c r="O56" s="38">
        <v>-5.29</v>
      </c>
      <c r="P56" s="38">
        <v>0</v>
      </c>
      <c r="Q56" s="38">
        <v>-3139.67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-17.64</v>
      </c>
      <c r="Z56" s="38">
        <v>0</v>
      </c>
      <c r="AA56" s="38">
        <v>0</v>
      </c>
      <c r="AB56" s="38">
        <v>-249.05</v>
      </c>
      <c r="AC56" s="38">
        <v>-222.06</v>
      </c>
      <c r="AD56" s="38">
        <v>-241.47</v>
      </c>
      <c r="AE56" s="38">
        <v>-700.31</v>
      </c>
      <c r="AF56" s="38">
        <v>0</v>
      </c>
      <c r="AG56" s="38">
        <v>0</v>
      </c>
      <c r="AH56" s="38">
        <v>-18120.599999999999</v>
      </c>
      <c r="AI56" s="38">
        <v>-14168.65</v>
      </c>
      <c r="AJ56" s="38">
        <v>-12.64</v>
      </c>
      <c r="AK56" s="2"/>
      <c r="AL56" s="2"/>
    </row>
    <row r="57" spans="1:38" x14ac:dyDescent="0.25">
      <c r="A57" s="51" t="s">
        <v>453</v>
      </c>
      <c r="B57" s="51" t="s">
        <v>454</v>
      </c>
      <c r="C57" s="38">
        <v>-24772.82</v>
      </c>
      <c r="D57" s="38">
        <v>0</v>
      </c>
      <c r="E57" s="38">
        <v>0</v>
      </c>
      <c r="F57" s="38">
        <v>0</v>
      </c>
      <c r="G57" s="38">
        <v>-169.44</v>
      </c>
      <c r="H57" s="38">
        <v>0</v>
      </c>
      <c r="I57" s="38">
        <v>0</v>
      </c>
      <c r="J57" s="38">
        <v>-26.1</v>
      </c>
      <c r="K57" s="38">
        <v>0</v>
      </c>
      <c r="L57" s="38">
        <v>-1118.33</v>
      </c>
      <c r="M57" s="38">
        <v>0</v>
      </c>
      <c r="N57" s="38">
        <v>0</v>
      </c>
      <c r="O57" s="38">
        <v>-8.17</v>
      </c>
      <c r="P57" s="38">
        <v>0</v>
      </c>
      <c r="Q57" s="38">
        <v>-2477.34</v>
      </c>
      <c r="R57" s="38">
        <v>0</v>
      </c>
      <c r="S57" s="38">
        <v>0</v>
      </c>
      <c r="T57" s="38">
        <v>-90.51</v>
      </c>
      <c r="U57" s="38">
        <v>0</v>
      </c>
      <c r="V57" s="38">
        <v>0</v>
      </c>
      <c r="W57" s="38">
        <v>0</v>
      </c>
      <c r="X57" s="38">
        <v>0</v>
      </c>
      <c r="Y57" s="38">
        <v>-149.41</v>
      </c>
      <c r="Z57" s="38">
        <v>0</v>
      </c>
      <c r="AA57" s="38">
        <v>-1333.87</v>
      </c>
      <c r="AB57" s="38">
        <v>0</v>
      </c>
      <c r="AC57" s="38">
        <v>0</v>
      </c>
      <c r="AD57" s="38">
        <v>-190.53</v>
      </c>
      <c r="AE57" s="38">
        <v>0</v>
      </c>
      <c r="AF57" s="38">
        <v>0</v>
      </c>
      <c r="AG57" s="38">
        <v>0</v>
      </c>
      <c r="AH57" s="38">
        <v>-8650.27</v>
      </c>
      <c r="AI57" s="38">
        <v>-10539.39</v>
      </c>
      <c r="AJ57" s="38">
        <v>-19.46</v>
      </c>
      <c r="AK57" s="2"/>
      <c r="AL57" s="2"/>
    </row>
    <row r="58" spans="1:38" x14ac:dyDescent="0.25">
      <c r="A58" s="51" t="s">
        <v>455</v>
      </c>
      <c r="B58" s="51" t="s">
        <v>456</v>
      </c>
      <c r="C58" s="38">
        <v>-142218.57999999999</v>
      </c>
      <c r="D58" s="38">
        <v>0</v>
      </c>
      <c r="E58" s="38">
        <v>0</v>
      </c>
      <c r="F58" s="38">
        <v>0</v>
      </c>
      <c r="G58" s="38">
        <v>-599.92999999999995</v>
      </c>
      <c r="H58" s="38">
        <v>0</v>
      </c>
      <c r="I58" s="38">
        <v>-805.86</v>
      </c>
      <c r="J58" s="38">
        <v>-69.290000000000006</v>
      </c>
      <c r="K58" s="38">
        <v>0</v>
      </c>
      <c r="L58" s="38">
        <v>-6269.68</v>
      </c>
      <c r="M58" s="38">
        <v>0</v>
      </c>
      <c r="N58" s="38">
        <v>0</v>
      </c>
      <c r="O58" s="38">
        <v>-628</v>
      </c>
      <c r="P58" s="38">
        <v>0</v>
      </c>
      <c r="Q58" s="38">
        <v>-19814.57</v>
      </c>
      <c r="R58" s="38">
        <v>0</v>
      </c>
      <c r="S58" s="38">
        <v>0</v>
      </c>
      <c r="T58" s="38">
        <v>-422.4</v>
      </c>
      <c r="U58" s="38">
        <v>0</v>
      </c>
      <c r="V58" s="38">
        <v>0</v>
      </c>
      <c r="W58" s="38">
        <v>0</v>
      </c>
      <c r="X58" s="38">
        <v>-2947.59</v>
      </c>
      <c r="Y58" s="38">
        <v>-82.4</v>
      </c>
      <c r="Z58" s="38">
        <v>-24788.47</v>
      </c>
      <c r="AA58" s="38">
        <v>-16196.86</v>
      </c>
      <c r="AB58" s="38">
        <v>0</v>
      </c>
      <c r="AC58" s="38">
        <v>0</v>
      </c>
      <c r="AD58" s="38">
        <v>-1523.92</v>
      </c>
      <c r="AE58" s="38">
        <v>0</v>
      </c>
      <c r="AF58" s="38">
        <v>0</v>
      </c>
      <c r="AG58" s="38">
        <v>-7259.79</v>
      </c>
      <c r="AH58" s="38">
        <v>-26640.82</v>
      </c>
      <c r="AI58" s="38">
        <v>-33968.44</v>
      </c>
      <c r="AJ58" s="38">
        <v>-200.57</v>
      </c>
      <c r="AK58" s="2"/>
      <c r="AL58" s="2"/>
    </row>
    <row r="59" spans="1:38" x14ac:dyDescent="0.25">
      <c r="A59" s="51" t="s">
        <v>457</v>
      </c>
      <c r="B59" s="51" t="s">
        <v>458</v>
      </c>
      <c r="C59" s="38">
        <v>-50033.46</v>
      </c>
      <c r="D59" s="38">
        <v>0</v>
      </c>
      <c r="E59" s="38">
        <v>0</v>
      </c>
      <c r="F59" s="38">
        <v>0</v>
      </c>
      <c r="G59" s="38">
        <v>-280.70999999999998</v>
      </c>
      <c r="H59" s="38">
        <v>0</v>
      </c>
      <c r="I59" s="38">
        <v>0</v>
      </c>
      <c r="J59" s="38">
        <v>-46.19</v>
      </c>
      <c r="K59" s="38">
        <v>0</v>
      </c>
      <c r="L59" s="38">
        <v>-1216.95</v>
      </c>
      <c r="M59" s="38">
        <v>0</v>
      </c>
      <c r="N59" s="38">
        <v>0</v>
      </c>
      <c r="O59" s="38">
        <v>-14.47</v>
      </c>
      <c r="P59" s="38">
        <v>0</v>
      </c>
      <c r="Q59" s="38">
        <v>-3754.94</v>
      </c>
      <c r="R59" s="38">
        <v>0</v>
      </c>
      <c r="S59" s="38">
        <v>0</v>
      </c>
      <c r="T59" s="38">
        <v>-90.51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-288.79000000000002</v>
      </c>
      <c r="AE59" s="38">
        <v>0</v>
      </c>
      <c r="AF59" s="38">
        <v>0</v>
      </c>
      <c r="AG59" s="38">
        <v>0</v>
      </c>
      <c r="AH59" s="38">
        <v>-8541.74</v>
      </c>
      <c r="AI59" s="38">
        <v>-35630.68</v>
      </c>
      <c r="AJ59" s="38">
        <v>-168.48</v>
      </c>
      <c r="AK59" s="2"/>
      <c r="AL59" s="2"/>
    </row>
    <row r="60" spans="1:38" ht="62.25" customHeight="1" thickBot="1" x14ac:dyDescent="0.3">
      <c r="A60" s="86"/>
      <c r="B60" s="86"/>
      <c r="C60" s="87" t="s">
        <v>330</v>
      </c>
      <c r="D60" s="87" t="s">
        <v>331</v>
      </c>
      <c r="E60" s="87" t="s">
        <v>332</v>
      </c>
      <c r="F60" s="87" t="s">
        <v>333</v>
      </c>
      <c r="G60" s="87" t="s">
        <v>306</v>
      </c>
      <c r="H60" s="87" t="s">
        <v>334</v>
      </c>
      <c r="I60" s="87" t="s">
        <v>335</v>
      </c>
      <c r="J60" s="88" t="s">
        <v>336</v>
      </c>
      <c r="K60" s="88" t="s">
        <v>310</v>
      </c>
      <c r="L60" s="87" t="s">
        <v>337</v>
      </c>
      <c r="M60" s="87" t="s">
        <v>338</v>
      </c>
      <c r="N60" s="87" t="s">
        <v>339</v>
      </c>
      <c r="O60" s="87" t="s">
        <v>340</v>
      </c>
      <c r="P60" s="87" t="s">
        <v>341</v>
      </c>
      <c r="Q60" s="87" t="s">
        <v>342</v>
      </c>
      <c r="R60" s="87" t="s">
        <v>343</v>
      </c>
      <c r="S60" s="87" t="s">
        <v>344</v>
      </c>
      <c r="T60" s="87" t="s">
        <v>345</v>
      </c>
      <c r="U60" s="87" t="s">
        <v>346</v>
      </c>
      <c r="V60" s="87" t="s">
        <v>347</v>
      </c>
      <c r="W60" s="87" t="s">
        <v>348</v>
      </c>
      <c r="X60" s="87" t="s">
        <v>349</v>
      </c>
      <c r="Y60" s="87" t="s">
        <v>350</v>
      </c>
      <c r="Z60" s="87" t="s">
        <v>351</v>
      </c>
      <c r="AA60" s="87" t="s">
        <v>352</v>
      </c>
      <c r="AB60" s="87" t="s">
        <v>353</v>
      </c>
      <c r="AC60" s="87" t="s">
        <v>326</v>
      </c>
      <c r="AD60" s="87" t="s">
        <v>354</v>
      </c>
      <c r="AE60" s="87" t="s">
        <v>355</v>
      </c>
      <c r="AF60" s="87" t="s">
        <v>356</v>
      </c>
      <c r="AG60" s="87" t="s">
        <v>357</v>
      </c>
      <c r="AH60" s="87" t="s">
        <v>358</v>
      </c>
      <c r="AI60" s="87" t="s">
        <v>359</v>
      </c>
      <c r="AJ60" s="87" t="s">
        <v>360</v>
      </c>
      <c r="AK60" s="89"/>
      <c r="AL60" s="89"/>
    </row>
    <row r="61" spans="1:38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2"/>
      <c r="AL61" s="2"/>
    </row>
    <row r="62" spans="1:3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80" spans="2:2" x14ac:dyDescent="0.25">
      <c r="B80" t="e">
        <f>'Detaljeret opgørelse 2018'!AI19/SUM</f>
        <v>#NAME?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0"/>
  <sheetViews>
    <sheetView workbookViewId="0">
      <selection activeCell="B8" sqref="B8"/>
    </sheetView>
  </sheetViews>
  <sheetFormatPr defaultRowHeight="15" x14ac:dyDescent="0.25"/>
  <cols>
    <col min="1" max="1" width="19" customWidth="1"/>
    <col min="2" max="2" width="15" customWidth="1"/>
    <col min="3" max="3" width="22.42578125" customWidth="1"/>
  </cols>
  <sheetData>
    <row r="2" spans="1:3" x14ac:dyDescent="0.25">
      <c r="A2" t="s">
        <v>163</v>
      </c>
      <c r="B2" t="s">
        <v>164</v>
      </c>
    </row>
    <row r="3" spans="1:3" x14ac:dyDescent="0.25">
      <c r="A3" t="s">
        <v>165</v>
      </c>
      <c r="B3" t="s">
        <v>166</v>
      </c>
    </row>
    <row r="4" spans="1:3" x14ac:dyDescent="0.25">
      <c r="A4" s="3" t="s">
        <v>167</v>
      </c>
      <c r="B4" s="3" t="s">
        <v>168</v>
      </c>
    </row>
    <row r="5" spans="1:3" x14ac:dyDescent="0.25">
      <c r="A5" s="84" t="s">
        <v>169</v>
      </c>
      <c r="B5" s="84" t="s">
        <v>170</v>
      </c>
    </row>
    <row r="6" spans="1:3" x14ac:dyDescent="0.25">
      <c r="A6" s="84" t="s">
        <v>171</v>
      </c>
      <c r="B6" s="84" t="s">
        <v>172</v>
      </c>
    </row>
    <row r="7" spans="1:3" x14ac:dyDescent="0.25">
      <c r="A7" t="s">
        <v>173</v>
      </c>
      <c r="B7" s="122">
        <f>Energibalance!AQ5+Energibalance!AQ26+Energibalance!AQ28</f>
        <v>685.20151615833197</v>
      </c>
    </row>
    <row r="8" spans="1:3" x14ac:dyDescent="0.25">
      <c r="A8" t="s">
        <v>174</v>
      </c>
      <c r="B8" s="139">
        <f>Energibalance!AR5+Energibalance!AR11+Energibalance!AR28</f>
        <v>35.263830960962011</v>
      </c>
    </row>
    <row r="9" spans="1:3" x14ac:dyDescent="0.25">
      <c r="A9" t="s">
        <v>175</v>
      </c>
      <c r="C9" t="s">
        <v>176</v>
      </c>
    </row>
    <row r="10" spans="1:3" x14ac:dyDescent="0.25">
      <c r="A10" t="s">
        <v>177</v>
      </c>
      <c r="C10" t="s">
        <v>178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B26" sqref="B26"/>
    </sheetView>
  </sheetViews>
  <sheetFormatPr defaultRowHeight="15" x14ac:dyDescent="0.25"/>
  <cols>
    <col min="1" max="1" width="33.85546875" customWidth="1"/>
    <col min="2" max="2" width="15" customWidth="1"/>
  </cols>
  <sheetData>
    <row r="1" spans="1:2" x14ac:dyDescent="0.25">
      <c r="B1" t="s">
        <v>179</v>
      </c>
    </row>
    <row r="2" spans="1:2" x14ac:dyDescent="0.25">
      <c r="A2" t="s">
        <v>3</v>
      </c>
      <c r="B2">
        <v>5.7000000000000002E-2</v>
      </c>
    </row>
    <row r="3" spans="1:2" x14ac:dyDescent="0.25">
      <c r="A3" t="s">
        <v>4</v>
      </c>
      <c r="B3">
        <v>9.5000000000000001E-2</v>
      </c>
    </row>
    <row r="4" spans="1:2" x14ac:dyDescent="0.25">
      <c r="A4" t="s">
        <v>180</v>
      </c>
      <c r="B4">
        <v>7.5999999999999998E-2</v>
      </c>
    </row>
    <row r="5" spans="1:2" x14ac:dyDescent="0.25">
      <c r="A5" t="s">
        <v>12</v>
      </c>
      <c r="B5">
        <v>7.5999999999999998E-2</v>
      </c>
    </row>
    <row r="6" spans="1:2" ht="18" x14ac:dyDescent="0.35">
      <c r="A6" t="s">
        <v>475</v>
      </c>
      <c r="B6">
        <v>0.1</v>
      </c>
    </row>
    <row r="7" spans="1:2" x14ac:dyDescent="0.25">
      <c r="A7" t="s">
        <v>181</v>
      </c>
      <c r="B7">
        <v>0.45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9"/>
  <sheetViews>
    <sheetView workbookViewId="0">
      <pane ySplit="1" topLeftCell="A2" activePane="bottomLeft" state="frozen"/>
      <selection pane="bottomLeft" activeCell="R10" sqref="R10"/>
    </sheetView>
  </sheetViews>
  <sheetFormatPr defaultRowHeight="15" x14ac:dyDescent="0.25"/>
  <cols>
    <col min="1" max="1" width="31.140625" customWidth="1"/>
    <col min="2" max="2" width="10.28515625" hidden="1" customWidth="1"/>
    <col min="3" max="3" width="14.7109375" hidden="1" customWidth="1"/>
    <col min="4" max="4" width="11.7109375" customWidth="1"/>
    <col min="5" max="5" width="13.7109375" customWidth="1"/>
    <col min="6" max="6" width="11.42578125" customWidth="1"/>
    <col min="7" max="7" width="15.42578125" customWidth="1"/>
    <col min="8" max="8" width="11.140625" customWidth="1"/>
    <col min="9" max="9" width="15" customWidth="1"/>
    <col min="10" max="10" width="11.5703125" customWidth="1"/>
    <col min="11" max="11" width="12.28515625" customWidth="1"/>
    <col min="12" max="12" width="11.42578125" customWidth="1"/>
    <col min="13" max="13" width="14.7109375" customWidth="1"/>
  </cols>
  <sheetData>
    <row r="1" spans="1:14" x14ac:dyDescent="0.25">
      <c r="A1" t="s">
        <v>182</v>
      </c>
      <c r="B1" s="234">
        <f>'Meta data'!B8</f>
        <v>35.263830960962011</v>
      </c>
      <c r="C1" s="234"/>
      <c r="D1" s="237">
        <v>35907.187399280949</v>
      </c>
      <c r="E1" s="237"/>
      <c r="F1" s="234">
        <v>37379.864043995927</v>
      </c>
      <c r="G1" s="234"/>
      <c r="H1" s="234">
        <v>35197.416827349538</v>
      </c>
      <c r="I1" s="234"/>
      <c r="J1" s="234">
        <v>35274.112844867741</v>
      </c>
      <c r="K1" s="234"/>
      <c r="L1" s="234">
        <f>'Meta data'!B8*1000</f>
        <v>35263.830960962012</v>
      </c>
      <c r="M1" s="234"/>
      <c r="N1" s="232">
        <v>12500</v>
      </c>
    </row>
    <row r="2" spans="1:14" x14ac:dyDescent="0.25">
      <c r="A2" t="s">
        <v>183</v>
      </c>
      <c r="B2" s="234">
        <f>Energibalance!AR28</f>
        <v>23.866474187103719</v>
      </c>
      <c r="C2" s="234"/>
      <c r="D2" s="237">
        <v>23015.770269999997</v>
      </c>
      <c r="E2" s="237"/>
      <c r="F2" s="234">
        <v>23459.04882</v>
      </c>
      <c r="G2" s="234"/>
      <c r="H2" s="234">
        <v>23686.05645</v>
      </c>
      <c r="I2" s="234"/>
      <c r="J2" s="234">
        <v>23866.476269999999</v>
      </c>
      <c r="K2" s="234"/>
      <c r="L2" s="234">
        <f>Energibalance!AR28*1000</f>
        <v>23866.474187103719</v>
      </c>
      <c r="M2" s="234"/>
      <c r="N2" s="227"/>
    </row>
    <row r="3" spans="1:14" x14ac:dyDescent="0.25">
      <c r="B3" s="235">
        <v>2014</v>
      </c>
      <c r="C3" s="235"/>
      <c r="D3" s="236">
        <v>2015</v>
      </c>
      <c r="E3" s="236"/>
      <c r="F3" s="235">
        <v>2016</v>
      </c>
      <c r="G3" s="235"/>
      <c r="H3" s="235">
        <v>2017</v>
      </c>
      <c r="I3" s="235"/>
      <c r="J3" s="235">
        <v>2018</v>
      </c>
      <c r="K3" s="235"/>
      <c r="L3" s="233">
        <v>2030</v>
      </c>
      <c r="M3" s="233"/>
      <c r="N3" s="225" t="s">
        <v>472</v>
      </c>
    </row>
    <row r="4" spans="1:14" ht="30" x14ac:dyDescent="0.25">
      <c r="B4" s="120" t="s">
        <v>184</v>
      </c>
      <c r="C4" s="119" t="s">
        <v>185</v>
      </c>
      <c r="D4" s="120" t="str">
        <f t="shared" ref="D4" si="0">B4</f>
        <v>Absolut værdi</v>
      </c>
      <c r="E4" s="119" t="str">
        <f t="shared" ref="E4" si="1">C4</f>
        <v>Stigning og fordeling</v>
      </c>
      <c r="F4" s="120" t="str">
        <f t="shared" ref="F4" si="2">B4</f>
        <v>Absolut værdi</v>
      </c>
      <c r="G4" s="119" t="str">
        <f t="shared" ref="G4" si="3">C4</f>
        <v>Stigning og fordeling</v>
      </c>
      <c r="H4" s="120" t="str">
        <f t="shared" ref="H4" si="4">B4</f>
        <v>Absolut værdi</v>
      </c>
      <c r="I4" s="119" t="str">
        <f t="shared" ref="I4" si="5">C4</f>
        <v>Stigning og fordeling</v>
      </c>
      <c r="J4" s="120" t="s">
        <v>184</v>
      </c>
      <c r="K4" s="119" t="s">
        <v>185</v>
      </c>
      <c r="L4" s="120" t="str">
        <f t="shared" ref="L4:L35" si="6">B4</f>
        <v>Absolut værdi</v>
      </c>
      <c r="M4" s="119" t="str">
        <f t="shared" ref="M4:M6" si="7">C4</f>
        <v>Stigning og fordeling</v>
      </c>
      <c r="N4" s="226"/>
    </row>
    <row r="5" spans="1:14" x14ac:dyDescent="0.25">
      <c r="A5" s="117" t="s">
        <v>160</v>
      </c>
      <c r="B5" s="129">
        <f>'Detaljeret opgørelse 2014'!C43</f>
        <v>-10544.09</v>
      </c>
      <c r="C5" s="163"/>
      <c r="D5" s="121">
        <v>-10536.27</v>
      </c>
      <c r="E5" s="161">
        <f>(D5-B5)/IF(B5&lt;0,B5,1)</f>
        <v>-7.4164769079168602E-4</v>
      </c>
      <c r="F5" s="121">
        <v>-10474.15</v>
      </c>
      <c r="G5" s="161">
        <f>(F5-D5)/IF(D5&lt;0,D5,1)</f>
        <v>-5.8958246134543629E-3</v>
      </c>
      <c r="H5" s="121">
        <v>-10349.709999999999</v>
      </c>
      <c r="I5" s="161">
        <f>(H5-F5)/IF(F5&lt;0,F5,1)</f>
        <v>-1.1880677668354999E-2</v>
      </c>
      <c r="J5" s="121">
        <v>-10268.39</v>
      </c>
      <c r="K5" s="161">
        <f>(J5-H5)/IF(H5&lt;0,H5,1)</f>
        <v>-7.8572249850478622E-3</v>
      </c>
      <c r="L5" s="212">
        <f>J5*(1+M5)^12</f>
        <v>-10268.39</v>
      </c>
      <c r="M5" s="165">
        <v>0</v>
      </c>
    </row>
    <row r="6" spans="1:14" x14ac:dyDescent="0.25">
      <c r="A6" s="116" t="s">
        <v>12</v>
      </c>
      <c r="B6" s="121"/>
      <c r="C6" s="163">
        <v>1</v>
      </c>
      <c r="D6" s="121"/>
      <c r="E6" s="118">
        <v>1</v>
      </c>
      <c r="F6" s="121"/>
      <c r="G6" s="118">
        <v>1</v>
      </c>
      <c r="H6" s="121"/>
      <c r="I6" s="118">
        <v>1</v>
      </c>
      <c r="J6" s="121"/>
      <c r="K6" s="118">
        <v>1</v>
      </c>
      <c r="L6" s="121">
        <f t="shared" si="6"/>
        <v>0</v>
      </c>
      <c r="M6" s="118">
        <f t="shared" si="7"/>
        <v>1</v>
      </c>
    </row>
    <row r="7" spans="1:14" x14ac:dyDescent="0.25">
      <c r="A7" s="117" t="s">
        <v>122</v>
      </c>
      <c r="B7" s="129">
        <f>'Detaljeret opgørelse 2014'!C44</f>
        <v>-156494.94</v>
      </c>
      <c r="C7" s="164"/>
      <c r="D7" s="121">
        <v>-160079.13</v>
      </c>
      <c r="E7" s="161">
        <f>(D7-B7)/IF(B7&lt;0,B7,1)</f>
        <v>2.2902913027092138E-2</v>
      </c>
      <c r="F7" s="121">
        <v>-159958.21</v>
      </c>
      <c r="G7" s="161">
        <f>(F7-D7)/IF(D7&lt;0,D7,1)</f>
        <v>-7.553764191497842E-4</v>
      </c>
      <c r="H7" s="121">
        <v>-162214.46</v>
      </c>
      <c r="I7" s="161">
        <f>(H7-F7)/IF(F7&lt;0,F7,1)</f>
        <v>1.4105246614100021E-2</v>
      </c>
      <c r="J7" s="121">
        <v>-166119.70000000001</v>
      </c>
      <c r="K7" s="161">
        <f>(J7-H7)/IF(H7&lt;0,H7,1)</f>
        <v>2.4074549210964424E-2</v>
      </c>
      <c r="L7" s="212">
        <f>J7*(1+M7)^12*('Nøgletal slutforbrug'!K8*'Nøgletal sekundær energi'!K126+'Nøgletal slutforbrug'!K9*'Nøgletal sekundær energi'!K128+'Nøgletal slutforbrug'!K10*'Nøgletal sekundær energi'!K127+'Nøgletal slutforbrug'!K11*'Nøgletal sekundær energi'!K129)/('Nøgletal slutforbrug'!M8*'Nøgletal sekundær energi'!L126+'Nøgletal slutforbrug'!M9*'Nøgletal sekundær energi'!L128+'Nøgletal slutforbrug'!M10*'Nøgletal sekundær energi'!L127+'Nøgletal slutforbrug'!M11*'Nøgletal sekundær energi'!L129)</f>
        <v>-166119.69</v>
      </c>
      <c r="M7" s="165">
        <v>0</v>
      </c>
    </row>
    <row r="8" spans="1:14" x14ac:dyDescent="0.25">
      <c r="A8" s="115" t="s">
        <v>3</v>
      </c>
      <c r="B8" s="121"/>
      <c r="C8" s="118">
        <f>'Detaljeret opgørelse 2014'!Q44/'Detaljeret opgørelse 2014'!C44</f>
        <v>0</v>
      </c>
      <c r="D8" s="121"/>
      <c r="E8" s="118">
        <v>4.7195408920575716E-4</v>
      </c>
      <c r="F8" s="121"/>
      <c r="G8" s="163">
        <v>8.2252733385801207E-4</v>
      </c>
      <c r="H8" s="121"/>
      <c r="I8" s="118">
        <v>1.5613281331393022E-3</v>
      </c>
      <c r="J8" s="121"/>
      <c r="K8" s="118">
        <v>1.8392761364245179E-3</v>
      </c>
      <c r="L8" s="121">
        <f t="shared" si="6"/>
        <v>0</v>
      </c>
      <c r="M8" s="118">
        <v>1.8392761364245179E-3</v>
      </c>
    </row>
    <row r="9" spans="1:14" x14ac:dyDescent="0.25">
      <c r="A9" s="116" t="s">
        <v>11</v>
      </c>
      <c r="B9" s="121"/>
      <c r="C9" s="118">
        <f>('Detaljeret opgørelse 2014'!AD44+'Detaljeret opgørelse 2014'!AF44)/'Detaljeret opgørelse 2014'!C44</f>
        <v>5.7097628843462922E-2</v>
      </c>
      <c r="D9" s="121"/>
      <c r="E9" s="118">
        <v>5.6026666311842152E-2</v>
      </c>
      <c r="F9" s="121"/>
      <c r="G9" s="118">
        <v>5.6894360095677492E-2</v>
      </c>
      <c r="H9" s="121"/>
      <c r="I9" s="118">
        <v>5.5690041442667933E-2</v>
      </c>
      <c r="J9" s="121"/>
      <c r="K9" s="118">
        <v>5.4055178284092724E-2</v>
      </c>
      <c r="L9" s="121">
        <f t="shared" si="6"/>
        <v>0</v>
      </c>
      <c r="M9" s="118">
        <v>5.4055178284092724E-2</v>
      </c>
    </row>
    <row r="10" spans="1:14" x14ac:dyDescent="0.25">
      <c r="A10" s="116" t="s">
        <v>12</v>
      </c>
      <c r="B10" s="121"/>
      <c r="C10" s="118">
        <f>SUM('Detaljeret opgørelse 2014'!F44:P44)/'Detaljeret opgørelse 2014'!C44</f>
        <v>0.94290237115653719</v>
      </c>
      <c r="D10" s="121"/>
      <c r="E10" s="118">
        <v>0.94349644453964732</v>
      </c>
      <c r="F10" s="121"/>
      <c r="G10" s="118">
        <v>0.94225748087578631</v>
      </c>
      <c r="H10" s="121"/>
      <c r="I10" s="118">
        <v>0.94274869207097822</v>
      </c>
      <c r="J10" s="121"/>
      <c r="K10" s="118">
        <v>0.9441054853819264</v>
      </c>
      <c r="L10" s="121">
        <f t="shared" si="6"/>
        <v>0</v>
      </c>
      <c r="M10" s="219">
        <f>1-M8-M9-M11</f>
        <v>0.94410554557948279</v>
      </c>
    </row>
    <row r="11" spans="1:14" x14ac:dyDescent="0.25">
      <c r="A11" s="116" t="s">
        <v>13</v>
      </c>
      <c r="B11" s="121"/>
      <c r="C11" s="118">
        <f>'Detaljeret opgørelse 2014'!AH43/'Detaljeret opgørelse 2014'!C44</f>
        <v>0</v>
      </c>
      <c r="D11" s="121"/>
      <c r="E11" s="118">
        <v>0</v>
      </c>
      <c r="F11" s="121"/>
      <c r="G11" s="118">
        <v>0</v>
      </c>
      <c r="H11" s="121"/>
      <c r="I11" s="118">
        <v>0</v>
      </c>
      <c r="J11" s="121"/>
      <c r="K11" s="118">
        <v>0</v>
      </c>
      <c r="L11" s="121">
        <f t="shared" si="6"/>
        <v>0</v>
      </c>
      <c r="M11" s="118">
        <v>0</v>
      </c>
    </row>
    <row r="12" spans="1:14" x14ac:dyDescent="0.25">
      <c r="A12" s="117" t="s">
        <v>124</v>
      </c>
      <c r="B12" s="122">
        <f>'Detaljeret opgørelse 2014'!C45</f>
        <v>-4794.5600000000004</v>
      </c>
      <c r="D12" s="122">
        <v>-4784.7</v>
      </c>
      <c r="E12" s="161">
        <f>(D12-B12)/IF(B12&lt;0,B12,1)</f>
        <v>-2.0564973636789572E-3</v>
      </c>
      <c r="F12" s="122">
        <v>-4926.6899999999996</v>
      </c>
      <c r="G12" s="161">
        <f>(F12-D12)/IF(D12&lt;0,D12,1)</f>
        <v>2.9675841745563942E-2</v>
      </c>
      <c r="H12" s="122">
        <v>-4762.13</v>
      </c>
      <c r="I12" s="161">
        <f>(H12-F12)/IF(F12&lt;0,F12,1)</f>
        <v>-3.3401736257000034E-2</v>
      </c>
      <c r="J12" s="122">
        <v>-4478.68</v>
      </c>
      <c r="K12" s="161">
        <f>(J12-H12)/IF(H12&lt;0,H12,1)</f>
        <v>-5.9521684624317228E-2</v>
      </c>
      <c r="L12" s="212">
        <f>J12*(1+M12)^12*('Nøgletal slutforbrug'!K13*'Nøgletal sekundær energi'!K128+'Nøgletal slutforbrug'!K14*'Nøgletal sekundær energi'!K127+'Nøgletal slutforbrug'!K15*'Nøgletal sekundær energi'!K129)/('Nøgletal slutforbrug'!M13*'Nøgletal sekundær energi'!L128+'Nøgletal slutforbrug'!M14*'Nøgletal sekundær energi'!L127+'Nøgletal slutforbrug'!M15*'Nøgletal sekundær energi'!L129)</f>
        <v>-4478.6741245053672</v>
      </c>
      <c r="M12" s="162">
        <v>0</v>
      </c>
    </row>
    <row r="13" spans="1:14" x14ac:dyDescent="0.25">
      <c r="A13" s="116" t="s">
        <v>11</v>
      </c>
      <c r="B13" s="122"/>
      <c r="C13" s="118">
        <f>('Detaljeret opgørelse 2014'!AD45+'Detaljeret opgørelse 2014'!AF45)/'Detaljeret opgørelse 2014'!C45</f>
        <v>0</v>
      </c>
      <c r="D13" s="122"/>
      <c r="E13" s="118">
        <v>0</v>
      </c>
      <c r="F13" s="122"/>
      <c r="G13" s="118">
        <v>0</v>
      </c>
      <c r="H13" s="122"/>
      <c r="I13" s="118">
        <v>0</v>
      </c>
      <c r="J13" s="122"/>
      <c r="K13" s="118">
        <v>0</v>
      </c>
      <c r="L13" s="122">
        <f t="shared" si="6"/>
        <v>0</v>
      </c>
      <c r="M13" s="118">
        <v>0</v>
      </c>
    </row>
    <row r="14" spans="1:14" x14ac:dyDescent="0.25">
      <c r="A14" s="116" t="s">
        <v>12</v>
      </c>
      <c r="B14" s="122"/>
      <c r="C14" s="118">
        <f>SUM('Detaljeret opgørelse 2014'!F45:P45)/'Detaljeret opgørelse 2014'!C45</f>
        <v>0.71062203831008464</v>
      </c>
      <c r="D14" s="122"/>
      <c r="E14" s="118">
        <v>0.70129788701485984</v>
      </c>
      <c r="F14" s="122"/>
      <c r="G14" s="118">
        <v>0.69529237682906775</v>
      </c>
      <c r="H14" s="122"/>
      <c r="I14" s="118">
        <v>0.69227425542771837</v>
      </c>
      <c r="J14" s="122"/>
      <c r="K14" s="118">
        <v>0.67600498361124262</v>
      </c>
      <c r="L14" s="122">
        <f t="shared" si="6"/>
        <v>0</v>
      </c>
      <c r="M14" s="219">
        <f>1-M13-M15</f>
        <v>0.67600721641197858</v>
      </c>
    </row>
    <row r="15" spans="1:14" x14ac:dyDescent="0.25">
      <c r="A15" s="116" t="s">
        <v>13</v>
      </c>
      <c r="B15" s="122"/>
      <c r="C15" s="118">
        <f>'Detaljeret opgørelse 2014'!AH45/'Detaljeret opgørelse 2014'!C45</f>
        <v>0.2893779616899152</v>
      </c>
      <c r="D15" s="122"/>
      <c r="E15" s="118">
        <v>0.29870211298514016</v>
      </c>
      <c r="F15" s="122"/>
      <c r="G15" s="118">
        <v>0.30470762317093225</v>
      </c>
      <c r="H15" s="122"/>
      <c r="I15" s="118">
        <v>0.30772574457228175</v>
      </c>
      <c r="J15" s="122"/>
      <c r="K15" s="118">
        <v>0.32399278358802142</v>
      </c>
      <c r="L15" s="122">
        <f t="shared" si="6"/>
        <v>0</v>
      </c>
      <c r="M15" s="118">
        <v>0.32399278358802142</v>
      </c>
    </row>
    <row r="16" spans="1:14" x14ac:dyDescent="0.25">
      <c r="A16" s="117" t="s">
        <v>126</v>
      </c>
      <c r="B16" s="122">
        <f>'Detaljeret opgørelse 2014'!C46</f>
        <v>-5669.54</v>
      </c>
      <c r="D16" s="122">
        <v>-5639.71</v>
      </c>
      <c r="E16" s="161">
        <f>(D16-B16)/IF(B16&lt;0,B16,1)</f>
        <v>-5.261449782522026E-3</v>
      </c>
      <c r="F16" s="122">
        <v>-6398.64</v>
      </c>
      <c r="G16" s="161">
        <f>(F16-D16)/IF(D16&lt;0,D16,1)</f>
        <v>0.13456897606437215</v>
      </c>
      <c r="H16" s="122">
        <v>-6214.05</v>
      </c>
      <c r="I16" s="161">
        <f>(H16-F16)/IF(F16&lt;0,F16,1)</f>
        <v>-2.8848317767525621E-2</v>
      </c>
      <c r="J16" s="122">
        <v>-6390.93</v>
      </c>
      <c r="K16" s="161">
        <f>(J16-H16)/IF(H16&lt;0,H16,1)</f>
        <v>2.8464527964853856E-2</v>
      </c>
      <c r="L16" s="212">
        <f>J16*(1+M16)^12*('Nøgletal slutforbrug'!K17*'Nøgletal sekundær energi'!K128+'Nøgletal slutforbrug'!K18*'Nøgletal sekundær energi'!K127+'Nøgletal slutforbrug'!K19*'Nøgletal sekundær energi'!K129)/('Nøgletal slutforbrug'!M17*'Nøgletal sekundær energi'!L128+'Nøgletal slutforbrug'!M18*'Nøgletal sekundær energi'!L127+'Nøgletal slutforbrug'!M19*'Nøgletal sekundær energi'!L129)</f>
        <v>-6390.93</v>
      </c>
      <c r="M16" s="162">
        <v>0</v>
      </c>
    </row>
    <row r="17" spans="1:13" x14ac:dyDescent="0.25">
      <c r="A17" s="116" t="s">
        <v>11</v>
      </c>
      <c r="B17" s="122"/>
      <c r="C17" s="118">
        <f>('Detaljeret opgørelse 2014'!AD46+'Detaljeret opgørelse 2014'!AF46)/'Detaljeret opgørelse 2014'!C46</f>
        <v>0</v>
      </c>
      <c r="D17" s="122"/>
      <c r="E17" s="118">
        <v>0</v>
      </c>
      <c r="F17" s="122"/>
      <c r="G17" s="118">
        <v>0</v>
      </c>
      <c r="H17" s="122"/>
      <c r="I17" s="118">
        <v>0</v>
      </c>
      <c r="J17" s="122"/>
      <c r="K17" s="118">
        <v>0</v>
      </c>
      <c r="L17" s="122">
        <f t="shared" si="6"/>
        <v>0</v>
      </c>
      <c r="M17" s="118">
        <v>0</v>
      </c>
    </row>
    <row r="18" spans="1:13" x14ac:dyDescent="0.25">
      <c r="A18" s="116" t="s">
        <v>12</v>
      </c>
      <c r="B18" s="122"/>
      <c r="C18" s="118">
        <f>SUM('Detaljeret opgørelse 2014'!F46:P46)/'Detaljeret opgørelse 2014'!C46</f>
        <v>1</v>
      </c>
      <c r="D18" s="122"/>
      <c r="E18" s="118">
        <v>1</v>
      </c>
      <c r="F18" s="122"/>
      <c r="G18" s="118">
        <v>1.0000015628321017</v>
      </c>
      <c r="H18" s="122"/>
      <c r="I18" s="118">
        <v>1</v>
      </c>
      <c r="J18" s="122"/>
      <c r="K18" s="118">
        <v>1</v>
      </c>
      <c r="L18" s="122">
        <f t="shared" si="6"/>
        <v>0</v>
      </c>
      <c r="M18" s="219">
        <f>1-M17-M19</f>
        <v>1</v>
      </c>
    </row>
    <row r="19" spans="1:13" x14ac:dyDescent="0.25">
      <c r="A19" s="116" t="s">
        <v>13</v>
      </c>
      <c r="B19" s="122"/>
      <c r="C19" s="118">
        <f>'Detaljeret opgørelse 2014'!AH46/'Detaljeret opgørelse 2014'!C46</f>
        <v>0</v>
      </c>
      <c r="D19" s="122"/>
      <c r="E19" s="118">
        <v>0</v>
      </c>
      <c r="F19" s="122"/>
      <c r="G19" s="118">
        <v>0</v>
      </c>
      <c r="H19" s="122"/>
      <c r="I19" s="118">
        <v>0</v>
      </c>
      <c r="J19" s="122"/>
      <c r="K19" s="118">
        <v>0</v>
      </c>
      <c r="L19" s="122">
        <f t="shared" si="6"/>
        <v>0</v>
      </c>
      <c r="M19" s="118">
        <v>0</v>
      </c>
    </row>
    <row r="20" spans="1:13" x14ac:dyDescent="0.25">
      <c r="A20" s="117" t="s">
        <v>186</v>
      </c>
      <c r="B20" s="122">
        <f>'Detaljeret opgørelse 2014'!C47</f>
        <v>-37747.71</v>
      </c>
      <c r="D20" s="122">
        <v>-36978.74</v>
      </c>
      <c r="E20" s="161">
        <f>(D20-B20)/IF(B20&lt;0,B20,1)</f>
        <v>-2.037130199421372E-2</v>
      </c>
      <c r="F20" s="122">
        <v>-39749.35</v>
      </c>
      <c r="G20" s="161">
        <f>(F20-D20)/IF(D20&lt;0,D20,1)</f>
        <v>7.4924402508035712E-2</v>
      </c>
      <c r="H20" s="122">
        <v>-41000.54</v>
      </c>
      <c r="I20" s="161">
        <f>(H20-F20)/IF(F20&lt;0,F20,1)</f>
        <v>3.1476992705541156E-2</v>
      </c>
      <c r="J20" s="122">
        <v>-42943.88</v>
      </c>
      <c r="K20" s="161">
        <f>(J20-H20)/IF(H20&lt;0,H20,1)</f>
        <v>4.7397912320179113E-2</v>
      </c>
      <c r="L20" s="212">
        <f>J20*(1+M20)^12*('Nøgletal sekundær energi'!K128*'Nøgletal slutforbrug'!K21+'Nøgletal slutforbrug'!K22*'Nøgletal sekundær energi'!K127+'Nøgletal slutforbrug'!K23*'Nøgletal sekundær energi'!K129)/('Nøgletal sekundær energi'!L128*'Nøgletal slutforbrug'!M21+'Nøgletal slutforbrug'!M22*'Nøgletal sekundær energi'!L127+'Nøgletal slutforbrug'!M23*'Nøgletal sekundær energi'!L129)</f>
        <v>-42943.88</v>
      </c>
      <c r="M20" s="162">
        <v>0</v>
      </c>
    </row>
    <row r="21" spans="1:13" x14ac:dyDescent="0.25">
      <c r="A21" s="116" t="s">
        <v>11</v>
      </c>
      <c r="B21" s="122"/>
      <c r="C21" s="118">
        <f>('Detaljeret opgørelse 2014'!AD47+'Detaljeret opgørelse 2014'!AF47)/'Detaljeret opgørelse 2014'!C47</f>
        <v>0</v>
      </c>
      <c r="D21" s="122"/>
      <c r="E21" s="118">
        <v>0</v>
      </c>
      <c r="F21" s="122"/>
      <c r="G21" s="118">
        <v>0</v>
      </c>
      <c r="H21" s="122"/>
      <c r="I21" s="118">
        <v>0</v>
      </c>
      <c r="J21" s="122"/>
      <c r="K21" s="118">
        <v>0</v>
      </c>
      <c r="L21" s="122">
        <f t="shared" si="6"/>
        <v>0</v>
      </c>
      <c r="M21" s="118">
        <v>0</v>
      </c>
    </row>
    <row r="22" spans="1:13" x14ac:dyDescent="0.25">
      <c r="A22" s="116" t="s">
        <v>12</v>
      </c>
      <c r="B22" s="122"/>
      <c r="C22" s="118">
        <f>SUM('Detaljeret opgørelse 2014'!F47:P47)/'Detaljeret opgørelse 2014'!C47</f>
        <v>1</v>
      </c>
      <c r="D22" s="122"/>
      <c r="E22" s="118">
        <v>0.9999997295743448</v>
      </c>
      <c r="F22" s="122"/>
      <c r="G22" s="118">
        <v>1</v>
      </c>
      <c r="H22" s="122"/>
      <c r="I22" s="118">
        <v>1</v>
      </c>
      <c r="J22" s="122"/>
      <c r="K22" s="118">
        <v>1</v>
      </c>
      <c r="L22" s="122">
        <f t="shared" si="6"/>
        <v>0</v>
      </c>
      <c r="M22" s="219">
        <f>1-M21-M23</f>
        <v>1</v>
      </c>
    </row>
    <row r="23" spans="1:13" x14ac:dyDescent="0.25">
      <c r="A23" s="116" t="s">
        <v>13</v>
      </c>
      <c r="B23" s="122"/>
      <c r="C23" s="118">
        <f>'Detaljeret opgørelse 2014'!AH47/'Detaljeret opgørelse 2014'!C47</f>
        <v>0</v>
      </c>
      <c r="D23" s="122"/>
      <c r="E23" s="118">
        <v>0</v>
      </c>
      <c r="F23" s="122"/>
      <c r="G23" s="118">
        <v>0</v>
      </c>
      <c r="H23" s="122"/>
      <c r="I23" s="118">
        <v>0</v>
      </c>
      <c r="J23" s="122"/>
      <c r="K23" s="118">
        <v>0</v>
      </c>
      <c r="L23" s="122">
        <f t="shared" si="6"/>
        <v>0</v>
      </c>
      <c r="M23" s="118">
        <v>0</v>
      </c>
    </row>
    <row r="24" spans="1:13" x14ac:dyDescent="0.25">
      <c r="A24" s="117" t="s">
        <v>187</v>
      </c>
      <c r="B24" s="122">
        <f>'Detaljeret opgørelse 2014'!C48</f>
        <v>-1377.44</v>
      </c>
      <c r="D24" s="122">
        <v>-1263.48</v>
      </c>
      <c r="E24" s="161">
        <f>(D24-B24)/IF(B24&lt;0,B24,1)</f>
        <v>-8.273318620048789E-2</v>
      </c>
      <c r="F24" s="122">
        <v>-1316.32</v>
      </c>
      <c r="G24" s="161">
        <f>(F24-D24)/IF(D24&lt;0,D24,1)</f>
        <v>4.1821002311077278E-2</v>
      </c>
      <c r="H24" s="122">
        <v>-1262.04</v>
      </c>
      <c r="I24" s="161">
        <f>(H24-F24)/IF(F24&lt;0,F24,1)</f>
        <v>-4.1236173574814614E-2</v>
      </c>
      <c r="J24" s="122">
        <v>-1201.99</v>
      </c>
      <c r="K24" s="161">
        <f>(J24-H24)/IF(H24&lt;0,H24,1)</f>
        <v>-4.75816931317549E-2</v>
      </c>
      <c r="L24" s="212">
        <f>J24*(1+M24)^12*('Nøgletal slutforbrug'!K25*'Nøgletal sekundær energi'!K128+'Nøgletal slutforbrug'!K26*'Nøgletal sekundær energi'!K127+'Nøgletal slutforbrug'!K27*'Nøgletal sekundær energi'!K129)/('Nøgletal sekundær energi'!L128*'Nøgletal slutforbrug'!M25+'Nøgletal slutforbrug'!M26*'Nøgletal sekundær energi'!L127+'Nøgletal slutforbrug'!M27*'Nøgletal sekundær energi'!L129)</f>
        <v>-1201.99</v>
      </c>
      <c r="M24" s="162">
        <v>0</v>
      </c>
    </row>
    <row r="25" spans="1:13" x14ac:dyDescent="0.25">
      <c r="A25" s="116" t="s">
        <v>11</v>
      </c>
      <c r="B25" s="122"/>
      <c r="C25" s="118">
        <f>('Detaljeret opgørelse 2014'!AD48+'Detaljeret opgørelse 2014'!AF48)/'Detaljeret opgørelse 2014'!C48</f>
        <v>0</v>
      </c>
      <c r="D25" s="122"/>
      <c r="E25" s="118">
        <v>0</v>
      </c>
      <c r="F25" s="122"/>
      <c r="G25" s="118">
        <v>0</v>
      </c>
      <c r="H25" s="122"/>
      <c r="I25" s="118">
        <v>0</v>
      </c>
      <c r="J25" s="122"/>
      <c r="K25" s="118">
        <v>0</v>
      </c>
      <c r="L25" s="122">
        <f t="shared" si="6"/>
        <v>0</v>
      </c>
      <c r="M25" s="118">
        <v>0</v>
      </c>
    </row>
    <row r="26" spans="1:13" x14ac:dyDescent="0.25">
      <c r="A26" s="116" t="s">
        <v>12</v>
      </c>
      <c r="B26" s="122"/>
      <c r="C26" s="118">
        <f>SUM('Detaljeret opgørelse 2014'!F48:P48)/'Detaljeret opgørelse 2014'!C48</f>
        <v>1</v>
      </c>
      <c r="D26" s="122"/>
      <c r="E26" s="118">
        <v>0.99999208535156869</v>
      </c>
      <c r="F26" s="122"/>
      <c r="G26" s="118">
        <v>1</v>
      </c>
      <c r="H26" s="122"/>
      <c r="I26" s="118">
        <v>1</v>
      </c>
      <c r="J26" s="122"/>
      <c r="K26" s="118">
        <v>1</v>
      </c>
      <c r="L26" s="122">
        <f t="shared" si="6"/>
        <v>0</v>
      </c>
      <c r="M26" s="219">
        <f>1-M25-M27</f>
        <v>1</v>
      </c>
    </row>
    <row r="27" spans="1:13" x14ac:dyDescent="0.25">
      <c r="A27" s="116" t="s">
        <v>13</v>
      </c>
      <c r="B27" s="122"/>
      <c r="C27" s="118">
        <f>'Detaljeret opgørelse 2014'!AH48/'Detaljeret opgørelse 2014'!C48</f>
        <v>0</v>
      </c>
      <c r="D27" s="122"/>
      <c r="E27" s="118">
        <v>0</v>
      </c>
      <c r="F27" s="122"/>
      <c r="G27" s="118">
        <v>0</v>
      </c>
      <c r="H27" s="122"/>
      <c r="I27" s="118">
        <v>0</v>
      </c>
      <c r="J27" s="122"/>
      <c r="K27" s="118">
        <v>0</v>
      </c>
      <c r="L27" s="122">
        <f t="shared" si="6"/>
        <v>0</v>
      </c>
      <c r="M27" s="118">
        <v>0</v>
      </c>
    </row>
    <row r="28" spans="1:13" x14ac:dyDescent="0.25">
      <c r="A28" s="117" t="s">
        <v>132</v>
      </c>
      <c r="B28" s="122">
        <f>'Detaljeret opgørelse 2014'!C49</f>
        <v>-1810.18</v>
      </c>
      <c r="D28" s="122">
        <v>-1349.72</v>
      </c>
      <c r="E28" s="161">
        <f>(D28-B28)/IF(B28&lt;0,B28,1)</f>
        <v>-0.25437249334320344</v>
      </c>
      <c r="F28" s="122">
        <v>-1479.29</v>
      </c>
      <c r="G28" s="161">
        <f>(F28-D28)/IF(D28&lt;0,D28,1)</f>
        <v>9.5997688409447834E-2</v>
      </c>
      <c r="H28" s="122">
        <v>-2799.73</v>
      </c>
      <c r="I28" s="161">
        <f>(H28-F28)/IF(F28&lt;0,F28,1)</f>
        <v>0.8926174042953039</v>
      </c>
      <c r="J28" s="122">
        <v>-1605.9</v>
      </c>
      <c r="K28" s="161">
        <f>(J28-H28)/IF(H28&lt;0,H28,1)</f>
        <v>-0.42640897515117526</v>
      </c>
      <c r="L28" s="212">
        <f>J28*(1+M28)^12*('Nøgletal slutforbrug'!K29*'Nøgletal sekundær energi'!K126+'Nøgletal slutforbrug'!K30*'Nøgletal sekundær energi'!K128+'Nøgletal slutforbrug'!K31*'Nøgletal sekundær energi'!K127+'Nøgletal slutforbrug'!K32*'Nøgletal sekundær energi'!K129)/('Nøgletal slutforbrug'!M29*'Nøgletal sekundær energi'!L126+'Nøgletal slutforbrug'!M30*'Nøgletal sekundær energi'!L128+'Nøgletal slutforbrug'!M31*'Nøgletal sekundær energi'!L127+'Nøgletal slutforbrug'!M32*'Nøgletal sekundær energi'!L129)</f>
        <v>-1605.9099999999999</v>
      </c>
      <c r="M28" s="162">
        <v>0</v>
      </c>
    </row>
    <row r="29" spans="1:13" x14ac:dyDescent="0.25">
      <c r="A29" s="115" t="s">
        <v>3</v>
      </c>
      <c r="B29" s="122"/>
      <c r="C29" s="118">
        <f>'Detaljeret opgørelse 2014'!Q49/'Detaljeret opgørelse 2014'!C49</f>
        <v>0</v>
      </c>
      <c r="D29" s="122"/>
      <c r="E29" s="118">
        <v>0</v>
      </c>
      <c r="F29" s="122"/>
      <c r="G29" s="118">
        <v>0</v>
      </c>
      <c r="H29" s="122"/>
      <c r="I29" s="118">
        <v>0</v>
      </c>
      <c r="J29" s="122"/>
      <c r="K29" s="118">
        <v>0</v>
      </c>
      <c r="L29" s="122">
        <f t="shared" si="6"/>
        <v>0</v>
      </c>
      <c r="M29" s="118">
        <v>0</v>
      </c>
    </row>
    <row r="30" spans="1:13" x14ac:dyDescent="0.25">
      <c r="A30" s="116" t="s">
        <v>11</v>
      </c>
      <c r="B30" s="122"/>
      <c r="C30" s="118">
        <f>('Detaljeret opgørelse 2014'!AD49+'Detaljeret opgørelse 2014'!AF49)/'Detaljeret opgørelse 2014'!C49</f>
        <v>0</v>
      </c>
      <c r="D30" s="122"/>
      <c r="E30" s="118">
        <v>0</v>
      </c>
      <c r="F30" s="122"/>
      <c r="G30" s="118">
        <v>0</v>
      </c>
      <c r="H30" s="122"/>
      <c r="I30" s="118">
        <v>0</v>
      </c>
      <c r="J30" s="122"/>
      <c r="K30" s="118">
        <v>0</v>
      </c>
      <c r="L30" s="122">
        <f t="shared" si="6"/>
        <v>0</v>
      </c>
      <c r="M30" s="118">
        <v>0</v>
      </c>
    </row>
    <row r="31" spans="1:13" x14ac:dyDescent="0.25">
      <c r="A31" s="116" t="s">
        <v>12</v>
      </c>
      <c r="B31" s="122"/>
      <c r="C31" s="118">
        <f>SUM('Detaljeret opgørelse 2014'!F49:P49)/'Detaljeret opgørelse 2014'!C49</f>
        <v>1.0000055243124992</v>
      </c>
      <c r="D31" s="122"/>
      <c r="E31" s="118">
        <v>0.99999999999999978</v>
      </c>
      <c r="F31" s="122"/>
      <c r="G31" s="118">
        <v>0.99999324000027057</v>
      </c>
      <c r="H31" s="122"/>
      <c r="I31" s="118">
        <v>1.0000035717729923</v>
      </c>
      <c r="J31" s="122"/>
      <c r="K31" s="118">
        <v>1.0000062270377981</v>
      </c>
      <c r="L31" s="122">
        <f t="shared" si="6"/>
        <v>0</v>
      </c>
      <c r="M31" s="219">
        <f>1-M29-M30-M32</f>
        <v>1</v>
      </c>
    </row>
    <row r="32" spans="1:13" x14ac:dyDescent="0.25">
      <c r="A32" s="116" t="s">
        <v>13</v>
      </c>
      <c r="B32" s="122"/>
      <c r="C32" s="118">
        <f>'Detaljeret opgørelse 2014'!AH49/'Detaljeret opgørelse 2014'!C49</f>
        <v>0</v>
      </c>
      <c r="D32" s="122"/>
      <c r="E32" s="118">
        <v>0</v>
      </c>
      <c r="F32" s="122"/>
      <c r="G32" s="118">
        <v>0</v>
      </c>
      <c r="H32" s="122"/>
      <c r="I32" s="118">
        <v>0</v>
      </c>
      <c r="J32" s="122"/>
      <c r="K32" s="118">
        <v>0</v>
      </c>
      <c r="L32" s="122">
        <f t="shared" si="6"/>
        <v>0</v>
      </c>
      <c r="M32" s="118">
        <v>0</v>
      </c>
    </row>
    <row r="33" spans="1:13" x14ac:dyDescent="0.25">
      <c r="A33" s="117" t="s">
        <v>152</v>
      </c>
      <c r="B33" s="122">
        <f>'Detaljeret opgørelse 2014'!C50</f>
        <v>-26791.31</v>
      </c>
      <c r="D33" s="122">
        <v>-27137.59</v>
      </c>
      <c r="E33" s="161">
        <f>(D33-B33)/IF(B33&lt;0,B33,1)</f>
        <v>1.2925086529923278E-2</v>
      </c>
      <c r="F33" s="122">
        <v>-27057.79</v>
      </c>
      <c r="G33" s="161">
        <f>(F33-D33)/IF(D33&lt;0,D33,1)</f>
        <v>-2.9405706254681889E-3</v>
      </c>
      <c r="H33" s="122">
        <v>-25945.46</v>
      </c>
      <c r="I33" s="161">
        <f>(H33-F33)/IF(F33&lt;0,F33,1)</f>
        <v>-4.1109418027119059E-2</v>
      </c>
      <c r="J33" s="122">
        <v>-25736.32</v>
      </c>
      <c r="K33" s="161">
        <f>(J33-H33)/IF(H33&lt;0,H33,1)</f>
        <v>-8.0607551378930817E-3</v>
      </c>
      <c r="L33" s="212">
        <f>J33*(1+M33)^12*('Nøgletal slutforbrug'!K34*'Nøgletal sekundær energi'!K142+'Nøgletal slutforbrug'!K35*'Nøgletal sekundær energi'!K138+'Nøgletal slutforbrug'!K36*'Nøgletal sekundær energi'!K140+'Nøgletal slutforbrug'!K37*'Nøgletal sekundær energi'!K143+'Nøgletal slutforbrug'!K38*'Nøgletal sekundær energi'!K143+'Nøgletal slutforbrug'!K39*'Nøgletal sekundær energi'!K140+'Nøgletal slutforbrug'!K40*'Nøgletal sekundær energi'!K139+'Nøgletal slutforbrug'!K41*'Nøgletal sekundær energi'!K144+'Nøgletal slutforbrug'!K42*'Nøgletal sekundær energi'!K145)/('Nøgletal slutforbrug'!M34*'Nøgletal sekundær energi'!L142+'Nøgletal slutforbrug'!M35*'Nøgletal sekundær energi'!L138+'Nøgletal slutforbrug'!M36*'Nøgletal sekundær energi'!L140+'Nøgletal slutforbrug'!M37*'Nøgletal sekundær energi'!L143+'Nøgletal slutforbrug'!M38*'Nøgletal sekundær energi'!L143+'Nøgletal slutforbrug'!M39*'Nøgletal sekundær energi'!L140+'Nøgletal slutforbrug'!M40*'Nøgletal sekundær energi'!L139+'Nøgletal slutforbrug'!M41*'Nøgletal sekundær energi'!L144+'Nøgletal slutforbrug'!M42*'Nøgletal sekundær energi'!L145)</f>
        <v>-25736.347666761358</v>
      </c>
      <c r="M33" s="162">
        <v>0</v>
      </c>
    </row>
    <row r="34" spans="1:13" x14ac:dyDescent="0.25">
      <c r="A34" s="123" t="s">
        <v>4</v>
      </c>
      <c r="B34" s="122"/>
      <c r="C34" s="118">
        <f>'Detaljeret opgørelse 2014'!R50/'Detaljeret opgørelse 2014'!C50</f>
        <v>3.8845058341678701E-2</v>
      </c>
      <c r="D34" s="122"/>
      <c r="E34" s="118">
        <v>2.7187381045995607E-2</v>
      </c>
      <c r="F34" s="122"/>
      <c r="G34" s="118">
        <v>2.1326945031356955E-2</v>
      </c>
      <c r="H34" s="122"/>
      <c r="I34" s="118">
        <v>1.5536436817847903E-2</v>
      </c>
      <c r="J34" s="122"/>
      <c r="K34" s="118">
        <v>1.4024149528759357E-2</v>
      </c>
      <c r="L34" s="122">
        <f t="shared" si="6"/>
        <v>0</v>
      </c>
      <c r="M34" s="118">
        <v>1.4024149528759357E-2</v>
      </c>
    </row>
    <row r="35" spans="1:13" x14ac:dyDescent="0.25">
      <c r="A35" s="115" t="s">
        <v>3</v>
      </c>
      <c r="B35" s="122"/>
      <c r="C35" s="118">
        <f>'Detaljeret opgørelse 2014'!Q50/'Detaljeret opgørelse 2014'!C50</f>
        <v>5.2869755155682943E-2</v>
      </c>
      <c r="D35" s="122"/>
      <c r="E35" s="118">
        <v>5.4495627651534276E-2</v>
      </c>
      <c r="F35" s="122"/>
      <c r="G35" s="118">
        <v>6.2094871754123308E-2</v>
      </c>
      <c r="H35" s="122"/>
      <c r="I35" s="118">
        <v>6.5820764018059419E-2</v>
      </c>
      <c r="J35" s="122"/>
      <c r="K35" s="118">
        <v>5.5182325989108001E-2</v>
      </c>
      <c r="L35" s="122">
        <f t="shared" si="6"/>
        <v>0</v>
      </c>
      <c r="M35" s="118">
        <v>5.5182325989108001E-2</v>
      </c>
    </row>
    <row r="36" spans="1:13" x14ac:dyDescent="0.25">
      <c r="A36" s="115" t="s">
        <v>188</v>
      </c>
      <c r="B36" s="122"/>
      <c r="C36" s="118">
        <f>SUM('Detaljeret opgørelse 2014'!X50:AC50)/'Detaljeret opgørelse 2014'!C50</f>
        <v>8.3552092077617698E-2</v>
      </c>
      <c r="D36" s="122"/>
      <c r="E36" s="118">
        <v>8.477355579474817E-2</v>
      </c>
      <c r="F36" s="122"/>
      <c r="G36" s="118">
        <v>8.7806136421341122E-2</v>
      </c>
      <c r="H36" s="122"/>
      <c r="I36" s="118">
        <v>8.8521845440396901E-2</v>
      </c>
      <c r="J36" s="122"/>
      <c r="K36" s="118">
        <v>8.8608627806928117E-2</v>
      </c>
      <c r="L36" s="122">
        <f t="shared" ref="L36:L67" si="8">B36</f>
        <v>0</v>
      </c>
      <c r="M36" s="118">
        <v>8.8608627806928117E-2</v>
      </c>
    </row>
    <row r="37" spans="1:13" x14ac:dyDescent="0.25">
      <c r="A37" s="115" t="s">
        <v>9</v>
      </c>
      <c r="B37" s="122"/>
      <c r="C37" s="118">
        <f>('Detaljeret opgørelse 2014'!W50+'Detaljeret opgørelse 2014'!AG50)/'Detaljeret opgørelse 2014'!C50</f>
        <v>2.0999719685226292E-2</v>
      </c>
      <c r="D37" s="122"/>
      <c r="E37" s="118">
        <v>2.3366113203125261E-2</v>
      </c>
      <c r="F37" s="122"/>
      <c r="G37" s="118">
        <v>2.6362093873889918E-2</v>
      </c>
      <c r="H37" s="122"/>
      <c r="I37" s="118">
        <v>2.8186048734537755E-2</v>
      </c>
      <c r="J37" s="122"/>
      <c r="K37" s="118">
        <v>3.2518246586924628E-2</v>
      </c>
      <c r="L37" s="122">
        <f t="shared" si="8"/>
        <v>0</v>
      </c>
      <c r="M37" s="118">
        <v>3.2518246586924628E-2</v>
      </c>
    </row>
    <row r="38" spans="1:13" x14ac:dyDescent="0.25">
      <c r="A38" s="115" t="s">
        <v>10</v>
      </c>
      <c r="B38" s="122"/>
      <c r="C38" s="118">
        <f>'Detaljeret opgørelse 2014'!V50/'Detaljeret opgørelse 2014'!C50</f>
        <v>0</v>
      </c>
      <c r="D38" s="122"/>
      <c r="E38" s="118">
        <v>0</v>
      </c>
      <c r="F38" s="122"/>
      <c r="G38" s="118">
        <v>0</v>
      </c>
      <c r="H38" s="122"/>
      <c r="I38" s="118">
        <v>0</v>
      </c>
      <c r="J38" s="122"/>
      <c r="K38" s="118">
        <v>0</v>
      </c>
      <c r="L38" s="122">
        <f t="shared" si="8"/>
        <v>0</v>
      </c>
      <c r="M38" s="118">
        <v>0</v>
      </c>
    </row>
    <row r="39" spans="1:13" x14ac:dyDescent="0.25">
      <c r="A39" s="116" t="s">
        <v>11</v>
      </c>
      <c r="B39" s="122"/>
      <c r="C39" s="118">
        <f>('Detaljeret opgørelse 2014'!AD50+'Detaljeret opgørelse 2014'!AF50)/'Detaljeret opgørelse 2014'!C50</f>
        <v>0</v>
      </c>
      <c r="D39" s="122"/>
      <c r="E39" s="118">
        <v>0</v>
      </c>
      <c r="F39" s="122"/>
      <c r="G39" s="118">
        <v>0</v>
      </c>
      <c r="H39" s="122"/>
      <c r="I39" s="118">
        <v>3.6191302832942647E-3</v>
      </c>
      <c r="J39" s="122"/>
      <c r="K39" s="118">
        <v>4.2441965284858128E-3</v>
      </c>
      <c r="L39" s="122">
        <f t="shared" si="8"/>
        <v>0</v>
      </c>
      <c r="M39" s="118">
        <v>4.2441965284858128E-3</v>
      </c>
    </row>
    <row r="40" spans="1:13" x14ac:dyDescent="0.25">
      <c r="A40" s="116" t="s">
        <v>12</v>
      </c>
      <c r="B40" s="122"/>
      <c r="C40" s="118">
        <f>SUM('Detaljeret opgørelse 2014'!F50:P50)/'Detaljeret opgørelse 2014'!C50</f>
        <v>0.50491782596670332</v>
      </c>
      <c r="D40" s="122"/>
      <c r="E40" s="118">
        <v>0.51505457927546261</v>
      </c>
      <c r="F40" s="122"/>
      <c r="G40" s="118">
        <v>0.51193020568198655</v>
      </c>
      <c r="H40" s="122"/>
      <c r="I40" s="118">
        <v>0.49322810233466668</v>
      </c>
      <c r="J40" s="122"/>
      <c r="K40" s="118">
        <v>0.50060731293362848</v>
      </c>
      <c r="L40" s="122">
        <f t="shared" si="8"/>
        <v>0</v>
      </c>
      <c r="M40" s="219">
        <f>1-M34-M35-M36-M37-M38-M39-M41-M42</f>
        <v>0.50060614726580943</v>
      </c>
    </row>
    <row r="41" spans="1:13" x14ac:dyDescent="0.25">
      <c r="A41" s="116" t="s">
        <v>13</v>
      </c>
      <c r="B41" s="122"/>
      <c r="C41" s="118">
        <f>'Detaljeret opgørelse 2014'!AH50/'Detaljeret opgørelse 2014'!C50</f>
        <v>0.23965532107239251</v>
      </c>
      <c r="D41" s="122"/>
      <c r="E41" s="118">
        <v>0.23671667233531055</v>
      </c>
      <c r="F41" s="122"/>
      <c r="G41" s="118">
        <v>0.23190179242281059</v>
      </c>
      <c r="H41" s="122"/>
      <c r="I41" s="118">
        <v>0.24399798654562302</v>
      </c>
      <c r="J41" s="122"/>
      <c r="K41" s="118">
        <v>0.2434571065327133</v>
      </c>
      <c r="L41" s="122">
        <f t="shared" si="8"/>
        <v>0</v>
      </c>
      <c r="M41" s="118">
        <v>0.2434571065327133</v>
      </c>
    </row>
    <row r="42" spans="1:13" x14ac:dyDescent="0.25">
      <c r="A42" s="116" t="s">
        <v>14</v>
      </c>
      <c r="B42" s="122"/>
      <c r="C42" s="118">
        <f>'Detaljeret opgørelse 2014'!AI50/'Detaljeret opgørelse 2014'!C50</f>
        <v>5.9160974211414072E-2</v>
      </c>
      <c r="D42" s="122"/>
      <c r="E42" s="118">
        <v>5.8406070693823586E-2</v>
      </c>
      <c r="F42" s="122"/>
      <c r="G42" s="118">
        <v>5.8578324393825217E-2</v>
      </c>
      <c r="H42" s="122"/>
      <c r="I42" s="118">
        <v>6.1089685825574107E-2</v>
      </c>
      <c r="J42" s="122"/>
      <c r="K42" s="118">
        <v>6.1359199761271237E-2</v>
      </c>
      <c r="L42" s="122">
        <f t="shared" si="8"/>
        <v>0</v>
      </c>
      <c r="M42" s="118">
        <v>6.1359199761271237E-2</v>
      </c>
    </row>
    <row r="43" spans="1:13" x14ac:dyDescent="0.25">
      <c r="A43" s="117" t="s">
        <v>154</v>
      </c>
      <c r="B43" s="122">
        <f>'Detaljeret opgørelse 2014'!C51</f>
        <v>-4210.6899999999996</v>
      </c>
      <c r="D43" s="122">
        <v>-5205.09</v>
      </c>
      <c r="E43" s="161">
        <f>(D43-B43)/IF(B43&lt;0,B43,1)</f>
        <v>0.23616081924815188</v>
      </c>
      <c r="F43" s="122">
        <v>-5191.51</v>
      </c>
      <c r="G43" s="161">
        <f>(F43-D43)/IF(D43&lt;0,D43,1)</f>
        <v>-2.6089846669317776E-3</v>
      </c>
      <c r="H43" s="122">
        <v>-4890.46</v>
      </c>
      <c r="I43" s="161">
        <f>(H43-F43)/IF(F43&lt;0,F43,1)</f>
        <v>-5.7988908814583844E-2</v>
      </c>
      <c r="J43" s="122">
        <v>-4650.42</v>
      </c>
      <c r="K43" s="161">
        <f>(J43-H43)/IF(H43&lt;0,H43,1)</f>
        <v>-4.9083317315753522E-2</v>
      </c>
      <c r="L43" s="212">
        <f>J43*(1+M43)^12*('Nøgletal slutforbrug'!K44*'Nøgletal sekundær energi'!K132+'Nøgletal slutforbrug'!K45*'Nøgletal sekundær energi'!K133+'Nøgletal slutforbrug'!K46*'Nøgletal sekundær energi'!K134+'Nøgletal slutforbrug'!K47*'Nøgletal sekundær energi'!K135)/('Nøgletal slutforbrug'!M44*'Nøgletal sekundær energi'!L132+'Nøgletal slutforbrug'!M45*'Nøgletal sekundær energi'!L133+'Nøgletal slutforbrug'!M46*'Nøgletal sekundær energi'!L134+'Nøgletal slutforbrug'!M47*'Nøgletal sekundær energi'!L135)</f>
        <v>-4650.43</v>
      </c>
      <c r="M43" s="162">
        <v>0</v>
      </c>
    </row>
    <row r="44" spans="1:13" x14ac:dyDescent="0.25">
      <c r="A44" s="115" t="s">
        <v>10</v>
      </c>
      <c r="B44" s="122"/>
      <c r="C44" s="118">
        <f>('Detaljeret opgørelse 2014'!V51+'Detaljeret opgørelse 2014'!W51+'Detaljeret opgørelse 2014'!AD51)/'Detaljeret opgørelse 2014'!C51</f>
        <v>0</v>
      </c>
      <c r="D44" s="122"/>
      <c r="E44" s="118">
        <v>0</v>
      </c>
      <c r="F44" s="122"/>
      <c r="G44" s="118">
        <v>0</v>
      </c>
      <c r="H44" s="122"/>
      <c r="I44" s="118">
        <v>0</v>
      </c>
      <c r="J44" s="122"/>
      <c r="K44" s="118">
        <v>0</v>
      </c>
      <c r="L44" s="122">
        <f t="shared" si="8"/>
        <v>0</v>
      </c>
      <c r="M44" s="118">
        <v>0</v>
      </c>
    </row>
    <row r="45" spans="1:13" x14ac:dyDescent="0.25">
      <c r="A45" s="116" t="s">
        <v>11</v>
      </c>
      <c r="B45" s="122"/>
      <c r="C45" s="118">
        <f>'Detaljeret opgørelse 2014'!AF51/'Detaljeret opgørelse 2014'!C51</f>
        <v>0</v>
      </c>
      <c r="D45" s="122"/>
      <c r="E45" s="118">
        <v>0</v>
      </c>
      <c r="F45" s="122"/>
      <c r="G45" s="118">
        <v>0</v>
      </c>
      <c r="H45" s="122"/>
      <c r="I45" s="118">
        <v>0</v>
      </c>
      <c r="J45" s="122"/>
      <c r="K45" s="118">
        <v>0</v>
      </c>
      <c r="L45" s="122">
        <f t="shared" si="8"/>
        <v>0</v>
      </c>
      <c r="M45" s="118">
        <v>0</v>
      </c>
    </row>
    <row r="46" spans="1:13" x14ac:dyDescent="0.25">
      <c r="A46" s="116" t="s">
        <v>12</v>
      </c>
      <c r="B46" s="122"/>
      <c r="C46" s="118">
        <f>SUM('Detaljeret opgørelse 2014'!F51:P51)/'Detaljeret opgørelse 2014'!C51</f>
        <v>1</v>
      </c>
      <c r="D46" s="122"/>
      <c r="E46" s="118">
        <v>1</v>
      </c>
      <c r="F46" s="122"/>
      <c r="G46" s="118">
        <v>0.99999807377814931</v>
      </c>
      <c r="H46" s="122"/>
      <c r="I46" s="118">
        <v>1</v>
      </c>
      <c r="J46" s="122"/>
      <c r="K46" s="118">
        <v>1.0000021503434098</v>
      </c>
      <c r="L46" s="122">
        <f t="shared" si="8"/>
        <v>0</v>
      </c>
      <c r="M46" s="219">
        <f>1-M44-M45-M47</f>
        <v>1</v>
      </c>
    </row>
    <row r="47" spans="1:13" x14ac:dyDescent="0.25">
      <c r="A47" s="116" t="s">
        <v>13</v>
      </c>
      <c r="B47" s="122"/>
      <c r="C47" s="118">
        <f>'Detaljeret opgørelse 2014'!AH51/'Detaljeret opgørelse 2014'!C51</f>
        <v>0</v>
      </c>
      <c r="D47" s="122"/>
      <c r="E47" s="118">
        <v>0</v>
      </c>
      <c r="F47" s="122"/>
      <c r="G47" s="118">
        <v>0</v>
      </c>
      <c r="H47" s="122"/>
      <c r="I47" s="118">
        <v>0</v>
      </c>
      <c r="J47" s="122"/>
      <c r="K47" s="118">
        <v>0</v>
      </c>
      <c r="L47" s="122">
        <f t="shared" si="8"/>
        <v>0</v>
      </c>
      <c r="M47" s="118">
        <v>0</v>
      </c>
    </row>
    <row r="48" spans="1:13" x14ac:dyDescent="0.25">
      <c r="A48" s="117" t="s">
        <v>156</v>
      </c>
      <c r="B48" s="122">
        <f>'Detaljeret opgørelse 2014'!C52</f>
        <v>-83377.850000000006</v>
      </c>
      <c r="D48" s="122">
        <v>-84062.22</v>
      </c>
      <c r="E48" s="161">
        <f>(D48-B48)/IF(B48&lt;0,B48,1)</f>
        <v>8.2080552568817178E-3</v>
      </c>
      <c r="F48" s="122">
        <v>-86310.42</v>
      </c>
      <c r="G48" s="161">
        <f>(F48-D48)/IF(D48&lt;0,D48,1)</f>
        <v>2.674447569907144E-2</v>
      </c>
      <c r="H48" s="122">
        <v>-91140.97</v>
      </c>
      <c r="I48" s="161">
        <f>(H48-F48)/IF(F48&lt;0,F48,1)</f>
        <v>5.5967170591916977E-2</v>
      </c>
      <c r="J48" s="122">
        <v>-91177.76</v>
      </c>
      <c r="K48" s="161">
        <f>(J48-H48)/IF(H48&lt;0,H48,1)</f>
        <v>4.0366039553884053E-4</v>
      </c>
      <c r="L48" s="212">
        <f>J48*(1+M48)^12*('Nøgletal slutforbrug'!K49*'Nøgletal sekundær energi'!K138+'Nøgletal slutforbrug'!K50*'Nøgletal sekundær energi'!K142+'Nøgletal slutforbrug'!K51*'Nøgletal sekundær energi'!K141+'Nøgletal slutforbrug'!K52*'Nøgletal sekundær energi'!K140+('Nøgletal slutforbrug'!K53+'Nøgletal slutforbrug'!K54+'Nøgletal slutforbrug'!K55+'Nøgletal slutforbrug'!K56)*'Nøgletal sekundær energi'!K143+'Nøgletal slutforbrug'!K57*'Nøgletal sekundær energi'!K140+'Nøgletal slutforbrug'!K58*'Nøgletal sekundær energi'!K139+'Nøgletal slutforbrug'!K59*'Nøgletal sekundær energi'!K144+'Nøgletal slutforbrug'!K60*'Nøgletal sekundær energi'!K145+'Nøgletal slutforbrug'!K61*'Nøgletal sekundær energi'!K143)/('Nøgletal slutforbrug'!M49*'Nøgletal sekundær energi'!L138+'Nøgletal slutforbrug'!M50*'Nøgletal sekundær energi'!L142+'Nøgletal slutforbrug'!M51*'Nøgletal sekundær energi'!L141+'Nøgletal slutforbrug'!M52*'Nøgletal sekundær energi'!L140+('Nøgletal slutforbrug'!M53+'Nøgletal slutforbrug'!M54+'Nøgletal slutforbrug'!M55+'Nøgletal slutforbrug'!M56)*'Nøgletal sekundær energi'!L143+'Nøgletal slutforbrug'!M57*'Nøgletal sekundær energi'!L140+'Nøgletal slutforbrug'!M58*'Nøgletal sekundær energi'!L139+'Nøgletal slutforbrug'!M59*'Nøgletal sekundær energi'!L144+'Nøgletal slutforbrug'!M60*'Nøgletal sekundær energi'!L145+'Nøgletal slutforbrug'!M61*'Nøgletal sekundær energi'!L143)</f>
        <v>-91177.769120157041</v>
      </c>
      <c r="M48" s="162">
        <v>0</v>
      </c>
    </row>
    <row r="49" spans="1:13" x14ac:dyDescent="0.25">
      <c r="A49" s="115" t="s">
        <v>3</v>
      </c>
      <c r="B49" s="122"/>
      <c r="C49" s="118">
        <f>('Detaljeret opgørelse 2014'!Q52+'Detaljeret opgørelse 2014'!AJ52)/'Detaljeret opgørelse 2014'!C52</f>
        <v>0.33843376868077074</v>
      </c>
      <c r="D49" s="122"/>
      <c r="E49" s="118">
        <v>0.32265148362724655</v>
      </c>
      <c r="F49" s="122"/>
      <c r="G49" s="118">
        <v>0.32140198135984044</v>
      </c>
      <c r="H49" s="122"/>
      <c r="I49" s="118">
        <v>0.3147227860313534</v>
      </c>
      <c r="J49" s="122"/>
      <c r="K49" s="118">
        <v>0.30291191623922326</v>
      </c>
      <c r="L49" s="122">
        <f t="shared" si="8"/>
        <v>0</v>
      </c>
      <c r="M49" s="118">
        <v>0.30291191623922326</v>
      </c>
    </row>
    <row r="50" spans="1:13" x14ac:dyDescent="0.25">
      <c r="A50" s="115" t="s">
        <v>4</v>
      </c>
      <c r="B50" s="122"/>
      <c r="C50" s="118">
        <f>('Detaljeret opgørelse 2014'!R52+'Detaljeret opgørelse 2014'!S52)/'Detaljeret opgørelse 2014'!C52</f>
        <v>5.1099182816539399E-2</v>
      </c>
      <c r="D50" s="122"/>
      <c r="E50" s="118">
        <v>4.9880909640502007E-2</v>
      </c>
      <c r="F50" s="122"/>
      <c r="G50" s="118">
        <v>4.857049705006649E-2</v>
      </c>
      <c r="H50" s="122"/>
      <c r="I50" s="118">
        <v>5.0475324105064931E-2</v>
      </c>
      <c r="J50" s="122"/>
      <c r="K50" s="118">
        <v>5.7375724080082693E-2</v>
      </c>
      <c r="L50" s="122">
        <f t="shared" si="8"/>
        <v>0</v>
      </c>
      <c r="M50" s="118">
        <v>5.7375724080082693E-2</v>
      </c>
    </row>
    <row r="51" spans="1:13" x14ac:dyDescent="0.25">
      <c r="A51" s="115" t="s">
        <v>5</v>
      </c>
      <c r="B51" s="122"/>
      <c r="C51" s="118">
        <f>'Detaljeret opgørelse 2014'!AE52/'Detaljeret opgørelse 2014'!C52</f>
        <v>1.7916628936821947E-2</v>
      </c>
      <c r="D51" s="122"/>
      <c r="E51" s="118">
        <v>1.7770765511546088E-2</v>
      </c>
      <c r="F51" s="122"/>
      <c r="G51" s="118">
        <v>1.7307875456984218E-2</v>
      </c>
      <c r="H51" s="122"/>
      <c r="I51" s="118">
        <v>1.6300353178159067E-2</v>
      </c>
      <c r="J51" s="122"/>
      <c r="K51" s="118">
        <v>1.6367149181993505E-2</v>
      </c>
      <c r="L51" s="122">
        <f t="shared" si="8"/>
        <v>0</v>
      </c>
      <c r="M51" s="118">
        <v>1.6367149181993505E-2</v>
      </c>
    </row>
    <row r="52" spans="1:13" x14ac:dyDescent="0.25">
      <c r="A52" s="115" t="s">
        <v>188</v>
      </c>
      <c r="B52" s="122"/>
      <c r="C52" s="118">
        <f>SUM('Detaljeret opgørelse 2014'!X52:AD52)/'Detaljeret opgørelse 2014'!C52</f>
        <v>4.8095627315887846E-2</v>
      </c>
      <c r="D52" s="122"/>
      <c r="E52" s="118">
        <v>6.0460692092119385E-2</v>
      </c>
      <c r="F52" s="122"/>
      <c r="G52" s="118">
        <v>7.1477580574859909E-2</v>
      </c>
      <c r="H52" s="122"/>
      <c r="I52" s="118">
        <v>9.2002312461673383E-2</v>
      </c>
      <c r="J52" s="122"/>
      <c r="K52" s="118">
        <v>0.11137990229196242</v>
      </c>
      <c r="L52" s="122">
        <f t="shared" si="8"/>
        <v>0</v>
      </c>
      <c r="M52" s="118">
        <v>0.11137990229196242</v>
      </c>
    </row>
    <row r="53" spans="1:13" x14ac:dyDescent="0.25">
      <c r="A53" s="115" t="s">
        <v>7</v>
      </c>
      <c r="B53" s="122"/>
      <c r="C53" s="118">
        <f>'Detaljeret opgørelse 2014'!T52/'Detaljeret opgørelse 2014'!C52</f>
        <v>0</v>
      </c>
      <c r="D53" s="122"/>
      <c r="E53" s="118">
        <v>0</v>
      </c>
      <c r="F53" s="122"/>
      <c r="G53" s="118">
        <v>0</v>
      </c>
      <c r="H53" s="122"/>
      <c r="I53" s="118">
        <v>0</v>
      </c>
      <c r="J53" s="122"/>
      <c r="K53" s="118">
        <v>0</v>
      </c>
      <c r="L53" s="122">
        <f t="shared" si="8"/>
        <v>0</v>
      </c>
      <c r="M53" s="118">
        <v>0</v>
      </c>
    </row>
    <row r="54" spans="1:13" x14ac:dyDescent="0.25">
      <c r="A54" s="115" t="s">
        <v>8</v>
      </c>
      <c r="B54" s="122"/>
      <c r="C54" s="118">
        <f>'Detaljeret opgørelse 2014'!U52/'Detaljeret opgørelse 2014'!C52</f>
        <v>0</v>
      </c>
      <c r="D54" s="122"/>
      <c r="E54" s="118">
        <v>0</v>
      </c>
      <c r="F54" s="122"/>
      <c r="G54" s="118">
        <v>0</v>
      </c>
      <c r="H54" s="122"/>
      <c r="I54" s="118">
        <v>0</v>
      </c>
      <c r="J54" s="122"/>
      <c r="K54" s="118">
        <v>0</v>
      </c>
      <c r="L54" s="122">
        <f t="shared" si="8"/>
        <v>0</v>
      </c>
      <c r="M54" s="118">
        <v>0</v>
      </c>
    </row>
    <row r="55" spans="1:13" x14ac:dyDescent="0.25">
      <c r="A55" s="115" t="s">
        <v>9</v>
      </c>
      <c r="B55" s="122"/>
      <c r="C55" s="118">
        <f>('Detaljeret opgørelse 2014'!W52+'Detaljeret opgørelse 2014'!AG52)/'Detaljeret opgørelse 2014'!C52</f>
        <v>2.1017812284677525E-2</v>
      </c>
      <c r="D55" s="122"/>
      <c r="E55" s="118">
        <v>2.1924117635722683E-2</v>
      </c>
      <c r="F55" s="122"/>
      <c r="G55" s="118">
        <v>2.2562049866053254E-2</v>
      </c>
      <c r="H55" s="122"/>
      <c r="I55" s="118">
        <v>2.175914958991549E-2</v>
      </c>
      <c r="J55" s="122"/>
      <c r="K55" s="118">
        <v>2.3448590972184442E-2</v>
      </c>
      <c r="L55" s="122">
        <f t="shared" si="8"/>
        <v>0</v>
      </c>
      <c r="M55" s="118">
        <v>2.3448590972184442E-2</v>
      </c>
    </row>
    <row r="56" spans="1:13" x14ac:dyDescent="0.25">
      <c r="A56" s="115" t="s">
        <v>10</v>
      </c>
      <c r="B56" s="122"/>
      <c r="C56" s="118">
        <f>('Detaljeret opgørelse 2014'!V52)/'Detaljeret opgørelse 2014'!C52</f>
        <v>0</v>
      </c>
      <c r="D56" s="122"/>
      <c r="E56" s="118">
        <v>0</v>
      </c>
      <c r="F56" s="122"/>
      <c r="G56" s="118">
        <v>0</v>
      </c>
      <c r="H56" s="122"/>
      <c r="I56" s="118">
        <v>0</v>
      </c>
      <c r="J56" s="122"/>
      <c r="K56" s="118">
        <v>0</v>
      </c>
      <c r="L56" s="122">
        <f t="shared" si="8"/>
        <v>0</v>
      </c>
      <c r="M56" s="118">
        <v>0</v>
      </c>
    </row>
    <row r="57" spans="1:13" x14ac:dyDescent="0.25">
      <c r="A57" s="116" t="s">
        <v>11</v>
      </c>
      <c r="B57" s="122"/>
      <c r="C57" s="118">
        <f>'Detaljeret opgørelse 2014'!AF52/'Detaljeret opgørelse 2014'!C52</f>
        <v>0</v>
      </c>
      <c r="D57" s="122"/>
      <c r="E57" s="118">
        <v>0</v>
      </c>
      <c r="F57" s="122"/>
      <c r="G57" s="118">
        <v>0</v>
      </c>
      <c r="H57" s="122"/>
      <c r="I57" s="118">
        <v>0</v>
      </c>
      <c r="J57" s="122"/>
      <c r="K57" s="118">
        <v>0</v>
      </c>
      <c r="L57" s="122">
        <f t="shared" si="8"/>
        <v>0</v>
      </c>
      <c r="M57" s="118">
        <v>0</v>
      </c>
    </row>
    <row r="58" spans="1:13" x14ac:dyDescent="0.25">
      <c r="A58" s="116" t="s">
        <v>12</v>
      </c>
      <c r="B58" s="122"/>
      <c r="C58" s="118">
        <f>SUM('Detaljeret opgørelse 2014'!F52:P52)/'Detaljeret opgørelse 2014'!C52</f>
        <v>0.14046152545310295</v>
      </c>
      <c r="D58" s="122"/>
      <c r="E58" s="118">
        <v>0.13998345511217761</v>
      </c>
      <c r="F58" s="122"/>
      <c r="G58" s="118">
        <v>0.14723772633709811</v>
      </c>
      <c r="H58" s="122"/>
      <c r="I58" s="118">
        <v>0.14171387467129215</v>
      </c>
      <c r="J58" s="122"/>
      <c r="K58" s="118">
        <v>0.12607602994414427</v>
      </c>
      <c r="L58" s="122">
        <f t="shared" si="8"/>
        <v>0</v>
      </c>
      <c r="M58" s="219">
        <f>1-M49-M50-M51-M52-M53-M54-M55-M56-M57-M59-M60-M61</f>
        <v>0.12607592026827585</v>
      </c>
    </row>
    <row r="59" spans="1:13" x14ac:dyDescent="0.25">
      <c r="A59" s="116" t="s">
        <v>13</v>
      </c>
      <c r="B59" s="122"/>
      <c r="C59" s="118">
        <f>'Detaljeret opgørelse 2014'!AH52/'Detaljeret opgørelse 2014'!C52</f>
        <v>0.34136980025270497</v>
      </c>
      <c r="D59" s="122"/>
      <c r="E59" s="118">
        <v>0.34606152442797727</v>
      </c>
      <c r="F59" s="122"/>
      <c r="G59" s="118">
        <v>0.33801677711683015</v>
      </c>
      <c r="H59" s="122"/>
      <c r="I59" s="118">
        <v>0.32569940829025629</v>
      </c>
      <c r="J59" s="122"/>
      <c r="K59" s="118">
        <v>0.325266490424858</v>
      </c>
      <c r="L59" s="122">
        <f t="shared" si="8"/>
        <v>0</v>
      </c>
      <c r="M59" s="118">
        <v>0.325266490424858</v>
      </c>
    </row>
    <row r="60" spans="1:13" x14ac:dyDescent="0.25">
      <c r="A60" s="116" t="s">
        <v>14</v>
      </c>
      <c r="B60" s="122"/>
      <c r="C60" s="118">
        <f>'Detaljeret opgørelse 2014'!AI52/'Detaljeret opgørelse 2014'!C52</f>
        <v>4.1605774195424799E-2</v>
      </c>
      <c r="D60" s="122"/>
      <c r="E60" s="118">
        <v>4.1267051952708363E-2</v>
      </c>
      <c r="F60" s="122"/>
      <c r="G60" s="118">
        <v>3.3425859820865197E-2</v>
      </c>
      <c r="H60" s="122"/>
      <c r="I60" s="118">
        <v>3.7326791672285253E-2</v>
      </c>
      <c r="J60" s="122"/>
      <c r="K60" s="118">
        <v>3.7174306541419747E-2</v>
      </c>
      <c r="L60" s="122">
        <f t="shared" si="8"/>
        <v>0</v>
      </c>
      <c r="M60" s="118">
        <v>3.7174306541419747E-2</v>
      </c>
    </row>
    <row r="61" spans="1:13" x14ac:dyDescent="0.25">
      <c r="A61" s="115" t="s">
        <v>15</v>
      </c>
      <c r="B61" s="122"/>
      <c r="C61" s="118">
        <v>0</v>
      </c>
      <c r="D61" s="122"/>
      <c r="E61" s="118">
        <v>0</v>
      </c>
      <c r="F61" s="122"/>
      <c r="G61" s="118">
        <v>0</v>
      </c>
      <c r="H61" s="122"/>
      <c r="I61" s="118">
        <v>0</v>
      </c>
      <c r="J61" s="122"/>
      <c r="K61" s="118">
        <v>0</v>
      </c>
      <c r="L61" s="122">
        <f t="shared" si="8"/>
        <v>0</v>
      </c>
      <c r="M61" s="118">
        <v>0</v>
      </c>
    </row>
    <row r="62" spans="1:13" x14ac:dyDescent="0.25">
      <c r="A62" s="117" t="s">
        <v>158</v>
      </c>
      <c r="B62" s="122">
        <f>'Detaljeret opgørelse 2014'!C53</f>
        <v>-6456.2</v>
      </c>
      <c r="D62" s="122">
        <v>-6526.48</v>
      </c>
      <c r="E62" s="161">
        <f>(D62-B62)/IF(B62&lt;0,B62,1)</f>
        <v>1.0885660295529839E-2</v>
      </c>
      <c r="F62" s="122">
        <v>-6730.6</v>
      </c>
      <c r="G62" s="161">
        <f>(F62-D62)/IF(D62&lt;0,D62,1)</f>
        <v>3.1275664676824383E-2</v>
      </c>
      <c r="H62" s="122">
        <v>-7218.38</v>
      </c>
      <c r="I62" s="161">
        <f>(H62-F62)/IF(F62&lt;0,F62,1)</f>
        <v>7.247199358155286E-2</v>
      </c>
      <c r="J62" s="122">
        <v>-7350.48</v>
      </c>
      <c r="K62" s="161">
        <f>(J62-H62)/IF(H62&lt;0,H62,1)</f>
        <v>1.830050509948208E-2</v>
      </c>
      <c r="L62" s="212">
        <f>J62*(1+M62)^12*('Nøgletal slutforbrug'!K63*'Nøgletal sekundær energi'!K138+'Nøgletal slutforbrug'!K64*'Nøgletal sekundær energi'!K142+'Nøgletal slutforbrug'!K65*'Nøgletal sekundær energi'!K141+'Nøgletal slutforbrug'!K66*'Nøgletal sekundær energi'!K140+('Nøgletal slutforbrug'!K67+'Nøgletal slutforbrug'!K68+'Nøgletal slutforbrug'!K69+'Nøgletal slutforbrug'!K70)*'Nøgletal sekundær energi'!K143+'Nøgletal slutforbrug'!K71*'Nøgletal sekundær energi'!K140+'Nøgletal slutforbrug'!K72*'Nøgletal sekundær energi'!K139+'Nøgletal slutforbrug'!K73*'Nøgletal sekundær energi'!K144+'Nøgletal slutforbrug'!K74*'Nøgletal sekundær energi'!K145+'Nøgletal slutforbrug'!K75*'Nøgletal sekundær energi'!K143)/('Nøgletal slutforbrug'!M63*'Nøgletal sekundær energi'!L138+'Nøgletal slutforbrug'!M64*'Nøgletal sekundær energi'!L142+'Nøgletal slutforbrug'!M65*'Nøgletal sekundær energi'!L141+'Nøgletal slutforbrug'!M66*'Nøgletal sekundær energi'!L140+('Nøgletal slutforbrug'!M67+'Nøgletal slutforbrug'!M68+'Nøgletal slutforbrug'!M69+'Nøgletal slutforbrug'!M70)*'Nøgletal sekundær energi'!L143+'Nøgletal slutforbrug'!M71*'Nøgletal sekundær energi'!L140+'Nøgletal slutforbrug'!M72*'Nøgletal sekundær energi'!L139+'Nøgletal slutforbrug'!M73*'Nøgletal sekundær energi'!L144+'Nøgletal slutforbrug'!M74*'Nøgletal sekundær energi'!L145+'Nøgletal slutforbrug'!M75*'Nøgletal sekundær energi'!L143)</f>
        <v>-7350.4990454265289</v>
      </c>
      <c r="M62" s="162">
        <v>0</v>
      </c>
    </row>
    <row r="63" spans="1:13" x14ac:dyDescent="0.25">
      <c r="A63" s="115" t="s">
        <v>3</v>
      </c>
      <c r="B63" s="122"/>
      <c r="C63" s="118">
        <f>('Detaljeret opgørelse 2014'!Q53+'Detaljeret opgørelse 2014'!AJ53)/'Detaljeret opgørelse 2014'!C53</f>
        <v>7.1758929401195756E-2</v>
      </c>
      <c r="D63" s="122"/>
      <c r="E63" s="118">
        <v>6.4514102548387492E-2</v>
      </c>
      <c r="F63" s="122"/>
      <c r="G63" s="118">
        <v>5.0941966540873025E-2</v>
      </c>
      <c r="H63" s="122"/>
      <c r="I63" s="118">
        <v>4.5012869923722498E-2</v>
      </c>
      <c r="J63" s="122"/>
      <c r="K63" s="118">
        <v>3.7955344412881883E-2</v>
      </c>
      <c r="L63" s="122">
        <f t="shared" si="8"/>
        <v>0</v>
      </c>
      <c r="M63" s="118">
        <v>3.7955344412881883E-2</v>
      </c>
    </row>
    <row r="64" spans="1:13" x14ac:dyDescent="0.25">
      <c r="A64" s="115" t="s">
        <v>4</v>
      </c>
      <c r="B64" s="122"/>
      <c r="C64" s="118">
        <f>('Detaljeret opgørelse 2014'!R53+'Detaljeret opgørelse 2014'!S53)/'Detaljeret opgørelse 2014'!C53</f>
        <v>0</v>
      </c>
      <c r="D64" s="122"/>
      <c r="E64" s="118">
        <v>0</v>
      </c>
      <c r="F64" s="122"/>
      <c r="G64" s="118">
        <v>0</v>
      </c>
      <c r="H64" s="122"/>
      <c r="I64" s="118">
        <v>0</v>
      </c>
      <c r="J64" s="122"/>
      <c r="K64" s="118">
        <v>0</v>
      </c>
      <c r="L64" s="122">
        <f t="shared" si="8"/>
        <v>0</v>
      </c>
      <c r="M64" s="118">
        <v>0</v>
      </c>
    </row>
    <row r="65" spans="1:13" x14ac:dyDescent="0.25">
      <c r="A65" s="115" t="s">
        <v>5</v>
      </c>
      <c r="B65" s="122"/>
      <c r="C65" s="118">
        <f>'Detaljeret opgørelse 2014'!AE53/'Detaljeret opgørelse 2014'!C53</f>
        <v>0</v>
      </c>
      <c r="D65" s="122"/>
      <c r="E65" s="118">
        <v>0</v>
      </c>
      <c r="F65" s="122"/>
      <c r="G65" s="118">
        <v>0</v>
      </c>
      <c r="H65" s="122"/>
      <c r="I65" s="118">
        <v>0</v>
      </c>
      <c r="J65" s="122"/>
      <c r="K65" s="118">
        <v>0</v>
      </c>
      <c r="L65" s="122">
        <f t="shared" si="8"/>
        <v>0</v>
      </c>
      <c r="M65" s="118">
        <v>0</v>
      </c>
    </row>
    <row r="66" spans="1:13" x14ac:dyDescent="0.25">
      <c r="A66" s="115" t="s">
        <v>188</v>
      </c>
      <c r="B66" s="122"/>
      <c r="C66" s="118">
        <f>SUM('Detaljeret opgørelse 2014'!X53:AD53)/'Detaljeret opgørelse 2014'!C53</f>
        <v>0</v>
      </c>
      <c r="D66" s="122"/>
      <c r="E66" s="118">
        <v>6.7877324376999543E-4</v>
      </c>
      <c r="F66" s="122"/>
      <c r="G66" s="118">
        <v>1.5867827533949425E-3</v>
      </c>
      <c r="H66" s="122"/>
      <c r="I66" s="118">
        <v>2.4756247246612122E-3</v>
      </c>
      <c r="J66" s="122"/>
      <c r="K66" s="118">
        <v>2.9195372275007893E-3</v>
      </c>
      <c r="L66" s="122">
        <f t="shared" si="8"/>
        <v>0</v>
      </c>
      <c r="M66" s="118">
        <v>2.9195372275007893E-3</v>
      </c>
    </row>
    <row r="67" spans="1:13" x14ac:dyDescent="0.25">
      <c r="A67" s="115" t="s">
        <v>7</v>
      </c>
      <c r="B67" s="122"/>
      <c r="C67" s="118">
        <f>'Detaljeret opgørelse 2014'!T53/'Detaljeret opgørelse 2014'!C53</f>
        <v>0</v>
      </c>
      <c r="D67" s="122"/>
      <c r="E67" s="118">
        <v>0</v>
      </c>
      <c r="F67" s="122"/>
      <c r="G67" s="118">
        <v>0</v>
      </c>
      <c r="H67" s="122"/>
      <c r="I67" s="118">
        <v>0</v>
      </c>
      <c r="J67" s="122"/>
      <c r="K67" s="118">
        <v>0</v>
      </c>
      <c r="L67" s="122">
        <f t="shared" si="8"/>
        <v>0</v>
      </c>
      <c r="M67" s="118">
        <v>0</v>
      </c>
    </row>
    <row r="68" spans="1:13" x14ac:dyDescent="0.25">
      <c r="A68" s="115" t="s">
        <v>8</v>
      </c>
      <c r="B68" s="122"/>
      <c r="C68" s="118">
        <f>'Detaljeret opgørelse 2014'!U53/'Detaljeret opgørelse 2014'!C53</f>
        <v>0</v>
      </c>
      <c r="D68" s="122"/>
      <c r="E68" s="118">
        <v>0</v>
      </c>
      <c r="F68" s="122"/>
      <c r="G68" s="118">
        <v>0</v>
      </c>
      <c r="H68" s="122"/>
      <c r="I68" s="118">
        <v>0</v>
      </c>
      <c r="J68" s="122"/>
      <c r="K68" s="118">
        <v>0</v>
      </c>
      <c r="L68" s="122">
        <f t="shared" ref="L68:L99" si="9">B68</f>
        <v>0</v>
      </c>
      <c r="M68" s="118">
        <v>0</v>
      </c>
    </row>
    <row r="69" spans="1:13" x14ac:dyDescent="0.25">
      <c r="A69" s="115" t="s">
        <v>9</v>
      </c>
      <c r="B69" s="122"/>
      <c r="C69" s="118">
        <f>('Detaljeret opgørelse 2014'!W53+'Detaljeret opgørelse 2014'!AG53)/'Detaljeret opgørelse 2014'!C53</f>
        <v>0</v>
      </c>
      <c r="D69" s="122"/>
      <c r="E69" s="118">
        <v>0</v>
      </c>
      <c r="F69" s="122"/>
      <c r="G69" s="118">
        <v>0</v>
      </c>
      <c r="H69" s="122"/>
      <c r="I69" s="118">
        <v>0</v>
      </c>
      <c r="J69" s="122"/>
      <c r="K69" s="118">
        <v>0</v>
      </c>
      <c r="L69" s="122">
        <f t="shared" si="9"/>
        <v>0</v>
      </c>
      <c r="M69" s="118">
        <v>0</v>
      </c>
    </row>
    <row r="70" spans="1:13" x14ac:dyDescent="0.25">
      <c r="A70" s="115" t="s">
        <v>10</v>
      </c>
      <c r="B70" s="122"/>
      <c r="C70" s="118">
        <f>('Detaljeret opgørelse 2014'!V53)/'Detaljeret opgørelse 2014'!C53</f>
        <v>0</v>
      </c>
      <c r="D70" s="122"/>
      <c r="E70" s="118">
        <v>0</v>
      </c>
      <c r="F70" s="122"/>
      <c r="G70" s="118">
        <v>0</v>
      </c>
      <c r="H70" s="122"/>
      <c r="I70" s="118">
        <v>0</v>
      </c>
      <c r="J70" s="122"/>
      <c r="K70" s="118">
        <v>0</v>
      </c>
      <c r="L70" s="122">
        <f t="shared" si="9"/>
        <v>0</v>
      </c>
      <c r="M70" s="118">
        <v>0</v>
      </c>
    </row>
    <row r="71" spans="1:13" x14ac:dyDescent="0.25">
      <c r="A71" s="116" t="s">
        <v>11</v>
      </c>
      <c r="B71" s="122"/>
      <c r="C71" s="118">
        <f>'Detaljeret opgørelse 2014'!AF53/'Detaljeret opgørelse 2014'!C53</f>
        <v>0</v>
      </c>
      <c r="D71" s="122"/>
      <c r="E71" s="118">
        <v>0</v>
      </c>
      <c r="F71" s="122"/>
      <c r="G71" s="118">
        <v>0</v>
      </c>
      <c r="H71" s="122"/>
      <c r="I71" s="118">
        <v>0</v>
      </c>
      <c r="J71" s="122"/>
      <c r="K71" s="118">
        <v>0</v>
      </c>
      <c r="L71" s="122">
        <f t="shared" si="9"/>
        <v>0</v>
      </c>
      <c r="M71" s="118">
        <v>0</v>
      </c>
    </row>
    <row r="72" spans="1:13" x14ac:dyDescent="0.25">
      <c r="A72" s="116" t="s">
        <v>12</v>
      </c>
      <c r="B72" s="122"/>
      <c r="C72" s="118">
        <f>SUM('Detaljeret opgørelse 2014'!F53:P53)/'Detaljeret opgørelse 2014'!C53</f>
        <v>0.72923236578792472</v>
      </c>
      <c r="D72" s="122"/>
      <c r="E72" s="118">
        <v>0.73567987644181854</v>
      </c>
      <c r="F72" s="122"/>
      <c r="G72" s="118">
        <v>0.74796452025079485</v>
      </c>
      <c r="H72" s="122"/>
      <c r="I72" s="118">
        <v>0.75166173019430949</v>
      </c>
      <c r="J72" s="122"/>
      <c r="K72" s="118">
        <v>0.75864433343128612</v>
      </c>
      <c r="L72" s="122">
        <f t="shared" si="9"/>
        <v>0</v>
      </c>
      <c r="M72" s="219">
        <f>1-M63-M64-M65-M66-M67-M68-M69-M70-M71-M73-M74-M75</f>
        <v>0.75864161252054285</v>
      </c>
    </row>
    <row r="73" spans="1:13" x14ac:dyDescent="0.25">
      <c r="A73" s="116" t="s">
        <v>13</v>
      </c>
      <c r="B73" s="122"/>
      <c r="C73" s="118">
        <f>'Detaljeret opgørelse 2014'!AH53/'Detaljeret opgørelse 2014'!C53</f>
        <v>0.19900870481087946</v>
      </c>
      <c r="D73" s="122"/>
      <c r="E73" s="118">
        <v>0.19912724776602395</v>
      </c>
      <c r="F73" s="122"/>
      <c r="G73" s="118">
        <v>0.19950673045493714</v>
      </c>
      <c r="H73" s="122"/>
      <c r="I73" s="118">
        <v>0.20084838980491468</v>
      </c>
      <c r="J73" s="122"/>
      <c r="K73" s="118">
        <v>0.20048350583907448</v>
      </c>
      <c r="L73" s="122">
        <f t="shared" si="9"/>
        <v>0</v>
      </c>
      <c r="M73" s="118">
        <v>0.20048350583907448</v>
      </c>
    </row>
    <row r="74" spans="1:13" x14ac:dyDescent="0.25">
      <c r="A74" s="116" t="s">
        <v>14</v>
      </c>
      <c r="B74" s="122"/>
      <c r="C74" s="118">
        <f>'Detaljeret opgørelse 2014'!AI53/'Detaljeret opgørelse 2014'!C53</f>
        <v>0</v>
      </c>
      <c r="D74" s="122"/>
      <c r="E74" s="118">
        <v>0</v>
      </c>
      <c r="F74" s="122"/>
      <c r="G74" s="118">
        <v>0</v>
      </c>
      <c r="H74" s="122"/>
      <c r="I74" s="118">
        <v>0</v>
      </c>
      <c r="J74" s="122"/>
      <c r="K74" s="118">
        <v>0</v>
      </c>
      <c r="L74" s="122">
        <f t="shared" si="9"/>
        <v>0</v>
      </c>
      <c r="M74" s="118">
        <v>0</v>
      </c>
    </row>
    <row r="75" spans="1:13" x14ac:dyDescent="0.25">
      <c r="A75" s="115" t="s">
        <v>15</v>
      </c>
      <c r="B75" s="122"/>
      <c r="C75" s="118">
        <v>0</v>
      </c>
      <c r="D75" s="122"/>
      <c r="E75" s="118">
        <v>0</v>
      </c>
      <c r="F75" s="122"/>
      <c r="G75" s="118">
        <v>0</v>
      </c>
      <c r="H75" s="122"/>
      <c r="I75" s="118">
        <v>0</v>
      </c>
      <c r="J75" s="122"/>
      <c r="K75" s="118">
        <v>0</v>
      </c>
      <c r="L75" s="122">
        <f t="shared" si="9"/>
        <v>0</v>
      </c>
      <c r="M75" s="118">
        <v>0</v>
      </c>
    </row>
    <row r="76" spans="1:13" x14ac:dyDescent="0.25">
      <c r="A76" s="117" t="s">
        <v>142</v>
      </c>
      <c r="B76" s="122">
        <f>'Detaljeret opgørelse 2014'!C54</f>
        <v>-10283.33</v>
      </c>
      <c r="D76" s="122">
        <v>-10498.2</v>
      </c>
      <c r="E76" s="161">
        <f>(D76-B76)/IF(B76&lt;0,B76,1)</f>
        <v>2.0894982461906873E-2</v>
      </c>
      <c r="F76" s="122">
        <v>-10983.65</v>
      </c>
      <c r="G76" s="161">
        <f>(F76-D76)/IF(D76&lt;0,D76,1)</f>
        <v>4.6241260406545776E-2</v>
      </c>
      <c r="H76" s="122">
        <v>-11059.59</v>
      </c>
      <c r="I76" s="161">
        <f>(H76-F76)/IF(F76&lt;0,F76,1)</f>
        <v>6.9139129524338917E-3</v>
      </c>
      <c r="J76" s="122">
        <v>-11046.46</v>
      </c>
      <c r="K76" s="161">
        <f>(J76-H76)/IF(H76&lt;0,H76,1)</f>
        <v>-1.1872049506356944E-3</v>
      </c>
      <c r="L76" s="212">
        <f>J76*(1+M76)^12*('Nøgletal slutforbrug'!K77*'Nøgletal sekundær energi'!K138+'Nøgletal slutforbrug'!K78*'Nøgletal sekundær energi'!K142+'Nøgletal slutforbrug'!K79*'Nøgletal sekundær energi'!K141+'Nøgletal slutforbrug'!K80*'Nøgletal sekundær energi'!K140+('Nøgletal slutforbrug'!K81+'Nøgletal slutforbrug'!K82+'Nøgletal slutforbrug'!K83+'Nøgletal slutforbrug'!K84)*'Nøgletal sekundær energi'!K143+'Nøgletal slutforbrug'!K85*'Nøgletal sekundær energi'!K140+'Nøgletal slutforbrug'!K86*'Nøgletal sekundær energi'!K139+'Nøgletal slutforbrug'!K87*'Nøgletal sekundær energi'!K144+'Nøgletal slutforbrug'!K88*'Nøgletal sekundær energi'!K145+'Nøgletal slutforbrug'!K89*'Nøgletal sekundær energi'!K143)/('Nøgletal slutforbrug'!M77*'Nøgletal sekundær energi'!L138+'Nøgletal slutforbrug'!M78*'Nøgletal sekundær energi'!L142+'Nøgletal slutforbrug'!M79*'Nøgletal sekundær energi'!L141+'Nøgletal slutforbrug'!M80*'Nøgletal sekundær energi'!L140+('Nøgletal slutforbrug'!M81+'Nøgletal slutforbrug'!M82+'Nøgletal slutforbrug'!M83+'Nøgletal slutforbrug'!M84)*'Nøgletal sekundær energi'!L143+'Nøgletal slutforbrug'!M85*'Nøgletal sekundær energi'!L140+'Nøgletal slutforbrug'!M86*'Nøgletal sekundær energi'!L139+'Nøgletal slutforbrug'!M87*'Nøgletal sekundær energi'!L144+'Nøgletal slutforbrug'!M88*'Nøgletal sekundær energi'!L145+'Nøgletal slutforbrug'!M89*'Nøgletal sekundær energi'!L143)</f>
        <v>-11046.451794225331</v>
      </c>
      <c r="M76" s="162">
        <v>0</v>
      </c>
    </row>
    <row r="77" spans="1:13" x14ac:dyDescent="0.25">
      <c r="A77" s="115" t="s">
        <v>3</v>
      </c>
      <c r="B77" s="122"/>
      <c r="C77" s="118">
        <f>('Detaljeret opgørelse 2014'!Q54+'Detaljeret opgørelse 2014'!AJ54)/'Detaljeret opgørelse 2014'!C54</f>
        <v>8.8265182581906826E-2</v>
      </c>
      <c r="D77" s="122"/>
      <c r="E77" s="118">
        <v>9.7090929873692625E-2</v>
      </c>
      <c r="F77" s="122"/>
      <c r="G77" s="118">
        <v>9.4986639231949305E-2</v>
      </c>
      <c r="H77" s="122"/>
      <c r="I77" s="118">
        <v>9.4134592692857497E-2</v>
      </c>
      <c r="J77" s="122"/>
      <c r="K77" s="118">
        <v>9.0209895296773812E-2</v>
      </c>
      <c r="L77" s="122">
        <f t="shared" si="9"/>
        <v>0</v>
      </c>
      <c r="M77" s="118">
        <v>9.0209895296773812E-2</v>
      </c>
    </row>
    <row r="78" spans="1:13" x14ac:dyDescent="0.25">
      <c r="A78" s="115" t="s">
        <v>4</v>
      </c>
      <c r="B78" s="122"/>
      <c r="C78" s="118">
        <f>('Detaljeret opgørelse 2014'!R54+'Detaljeret opgørelse 2014'!S54)/'Detaljeret opgørelse 2014'!C54</f>
        <v>0</v>
      </c>
      <c r="D78" s="122"/>
      <c r="E78" s="118">
        <v>0</v>
      </c>
      <c r="F78" s="122"/>
      <c r="G78" s="118">
        <v>0</v>
      </c>
      <c r="H78" s="122"/>
      <c r="I78" s="118">
        <v>0</v>
      </c>
      <c r="J78" s="122"/>
      <c r="K78" s="118">
        <v>0</v>
      </c>
      <c r="L78" s="122">
        <f t="shared" si="9"/>
        <v>0</v>
      </c>
      <c r="M78" s="118">
        <v>0</v>
      </c>
    </row>
    <row r="79" spans="1:13" x14ac:dyDescent="0.25">
      <c r="A79" s="115" t="s">
        <v>5</v>
      </c>
      <c r="B79" s="122"/>
      <c r="C79" s="118">
        <f>'Detaljeret opgørelse 2014'!AE54/'Detaljeret opgørelse 2014'!C54</f>
        <v>0</v>
      </c>
      <c r="D79" s="122"/>
      <c r="E79" s="118">
        <v>0</v>
      </c>
      <c r="F79" s="122"/>
      <c r="G79" s="118">
        <v>0</v>
      </c>
      <c r="H79" s="122"/>
      <c r="I79" s="118">
        <v>0</v>
      </c>
      <c r="J79" s="122"/>
      <c r="K79" s="118">
        <v>0</v>
      </c>
      <c r="L79" s="122">
        <f t="shared" si="9"/>
        <v>0</v>
      </c>
      <c r="M79" s="118">
        <v>0</v>
      </c>
    </row>
    <row r="80" spans="1:13" x14ac:dyDescent="0.25">
      <c r="A80" s="115" t="s">
        <v>188</v>
      </c>
      <c r="B80" s="122"/>
      <c r="C80" s="118">
        <f>SUM('Detaljeret opgørelse 2014'!X54:AD54)/'Detaljeret opgørelse 2014'!C54</f>
        <v>0</v>
      </c>
      <c r="D80" s="122"/>
      <c r="E80" s="118">
        <v>1.0220799756148673E-3</v>
      </c>
      <c r="F80" s="122"/>
      <c r="G80" s="118">
        <v>2.9580330764363396E-3</v>
      </c>
      <c r="H80" s="122"/>
      <c r="I80" s="118">
        <v>5.1765029264195144E-3</v>
      </c>
      <c r="J80" s="122"/>
      <c r="K80" s="118">
        <v>6.9379692679826842E-3</v>
      </c>
      <c r="L80" s="122">
        <f t="shared" si="9"/>
        <v>0</v>
      </c>
      <c r="M80" s="118">
        <v>6.9379692679826842E-3</v>
      </c>
    </row>
    <row r="81" spans="1:13" x14ac:dyDescent="0.25">
      <c r="A81" s="115" t="s">
        <v>7</v>
      </c>
      <c r="B81" s="122"/>
      <c r="C81" s="118">
        <f>'Detaljeret opgørelse 2014'!T54/'Detaljeret opgørelse 2014'!C54</f>
        <v>0</v>
      </c>
      <c r="D81" s="122"/>
      <c r="E81" s="118">
        <v>0</v>
      </c>
      <c r="F81" s="122"/>
      <c r="G81" s="118">
        <v>0</v>
      </c>
      <c r="H81" s="122"/>
      <c r="I81" s="118">
        <v>0</v>
      </c>
      <c r="J81" s="122"/>
      <c r="K81" s="118">
        <v>0</v>
      </c>
      <c r="L81" s="122">
        <f t="shared" si="9"/>
        <v>0</v>
      </c>
      <c r="M81" s="118">
        <v>0</v>
      </c>
    </row>
    <row r="82" spans="1:13" x14ac:dyDescent="0.25">
      <c r="A82" s="115" t="s">
        <v>8</v>
      </c>
      <c r="B82" s="122"/>
      <c r="C82" s="118">
        <f>'Detaljeret opgørelse 2014'!U54/'Detaljeret opgørelse 2014'!C54</f>
        <v>0</v>
      </c>
      <c r="D82" s="122"/>
      <c r="E82" s="118">
        <v>0</v>
      </c>
      <c r="F82" s="122"/>
      <c r="G82" s="118">
        <v>0</v>
      </c>
      <c r="H82" s="122"/>
      <c r="I82" s="118">
        <v>0</v>
      </c>
      <c r="J82" s="122"/>
      <c r="K82" s="118">
        <v>0</v>
      </c>
      <c r="L82" s="122">
        <f t="shared" si="9"/>
        <v>0</v>
      </c>
      <c r="M82" s="118">
        <v>0</v>
      </c>
    </row>
    <row r="83" spans="1:13" x14ac:dyDescent="0.25">
      <c r="A83" s="115" t="s">
        <v>9</v>
      </c>
      <c r="B83" s="122"/>
      <c r="C83" s="118">
        <f>('Detaljeret opgørelse 2014'!W54+'Detaljeret opgørelse 2014'!AG54)/'Detaljeret opgørelse 2014'!C54</f>
        <v>0</v>
      </c>
      <c r="D83" s="122"/>
      <c r="E83" s="118">
        <v>0</v>
      </c>
      <c r="F83" s="122"/>
      <c r="G83" s="118">
        <v>0</v>
      </c>
      <c r="H83" s="122"/>
      <c r="I83" s="118">
        <v>0</v>
      </c>
      <c r="J83" s="122"/>
      <c r="K83" s="118">
        <v>0</v>
      </c>
      <c r="L83" s="122">
        <f t="shared" si="9"/>
        <v>0</v>
      </c>
      <c r="M83" s="118">
        <v>0</v>
      </c>
    </row>
    <row r="84" spans="1:13" x14ac:dyDescent="0.25">
      <c r="A84" s="115" t="s">
        <v>10</v>
      </c>
      <c r="B84" s="122"/>
      <c r="C84" s="118">
        <f>('Detaljeret opgørelse 2014'!V54)/'Detaljeret opgørelse 2014'!C54</f>
        <v>0</v>
      </c>
      <c r="D84" s="122"/>
      <c r="E84" s="118">
        <v>0</v>
      </c>
      <c r="F84" s="122"/>
      <c r="G84" s="118">
        <v>0</v>
      </c>
      <c r="H84" s="122"/>
      <c r="I84" s="118">
        <v>0</v>
      </c>
      <c r="J84" s="122"/>
      <c r="K84" s="118">
        <v>0</v>
      </c>
      <c r="L84" s="122">
        <f t="shared" si="9"/>
        <v>0</v>
      </c>
      <c r="M84" s="118">
        <v>0</v>
      </c>
    </row>
    <row r="85" spans="1:13" x14ac:dyDescent="0.25">
      <c r="A85" s="116" t="s">
        <v>11</v>
      </c>
      <c r="B85" s="122"/>
      <c r="C85" s="118">
        <f>'Detaljeret opgørelse 2014'!AF54/'Detaljeret opgørelse 2014'!C54</f>
        <v>0</v>
      </c>
      <c r="D85" s="122"/>
      <c r="E85" s="118">
        <v>0</v>
      </c>
      <c r="F85" s="122"/>
      <c r="G85" s="118">
        <v>0</v>
      </c>
      <c r="H85" s="122"/>
      <c r="I85" s="118">
        <v>0</v>
      </c>
      <c r="J85" s="122"/>
      <c r="K85" s="118">
        <v>0</v>
      </c>
      <c r="L85" s="122">
        <f t="shared" si="9"/>
        <v>0</v>
      </c>
      <c r="M85" s="118">
        <v>0</v>
      </c>
    </row>
    <row r="86" spans="1:13" x14ac:dyDescent="0.25">
      <c r="A86" s="116" t="s">
        <v>12</v>
      </c>
      <c r="B86" s="122"/>
      <c r="C86" s="118">
        <f>SUM('Detaljeret opgørelse 2014'!F54:P54)/'Detaljeret opgørelse 2014'!C54</f>
        <v>2.5438257840602222E-2</v>
      </c>
      <c r="D86" s="122"/>
      <c r="E86" s="118">
        <v>2.9227867634451621E-2</v>
      </c>
      <c r="F86" s="122"/>
      <c r="G86" s="118">
        <v>2.8278395615300923E-2</v>
      </c>
      <c r="H86" s="122"/>
      <c r="I86" s="118">
        <v>2.7600480668813213E-2</v>
      </c>
      <c r="J86" s="122"/>
      <c r="K86" s="118">
        <v>2.8235289857565234E-2</v>
      </c>
      <c r="L86" s="122">
        <f t="shared" si="9"/>
        <v>0</v>
      </c>
      <c r="M86" s="219">
        <f>1-M77-M78-M79-M80-M81-M82-M83-M84-M85-M87-M88-M89</f>
        <v>2.8236195124953956E-2</v>
      </c>
    </row>
    <row r="87" spans="1:13" x14ac:dyDescent="0.25">
      <c r="A87" s="116" t="s">
        <v>13</v>
      </c>
      <c r="B87" s="122"/>
      <c r="C87" s="118">
        <f>'Detaljeret opgørelse 2014'!AH54/'Detaljeret opgørelse 2014'!C54</f>
        <v>0.52099854813567203</v>
      </c>
      <c r="D87" s="122"/>
      <c r="E87" s="118">
        <v>0.49380750985883293</v>
      </c>
      <c r="F87" s="122"/>
      <c r="G87" s="118">
        <v>0.48565822836670874</v>
      </c>
      <c r="H87" s="122"/>
      <c r="I87" s="118">
        <v>0.48960947015214851</v>
      </c>
      <c r="J87" s="122"/>
      <c r="K87" s="118">
        <v>0.49318605236428686</v>
      </c>
      <c r="L87" s="122">
        <f t="shared" si="9"/>
        <v>0</v>
      </c>
      <c r="M87" s="118">
        <v>0.49318605236428686</v>
      </c>
    </row>
    <row r="88" spans="1:13" x14ac:dyDescent="0.25">
      <c r="A88" s="116" t="s">
        <v>14</v>
      </c>
      <c r="B88" s="122"/>
      <c r="C88" s="118">
        <f>'Detaljeret opgørelse 2014'!AI54/'Detaljeret opgørelse 2014'!C54</f>
        <v>0.36529801144181895</v>
      </c>
      <c r="D88" s="122"/>
      <c r="E88" s="118">
        <v>0.37885161265740791</v>
      </c>
      <c r="F88" s="122"/>
      <c r="G88" s="118">
        <v>0.38811961415376495</v>
      </c>
      <c r="H88" s="122"/>
      <c r="I88" s="118">
        <v>0.38348076194506309</v>
      </c>
      <c r="J88" s="122"/>
      <c r="K88" s="118">
        <v>0.38142988794600263</v>
      </c>
      <c r="L88" s="122">
        <f t="shared" si="9"/>
        <v>0</v>
      </c>
      <c r="M88" s="118">
        <v>0.38142988794600263</v>
      </c>
    </row>
    <row r="89" spans="1:13" x14ac:dyDescent="0.25">
      <c r="A89" s="115" t="s">
        <v>15</v>
      </c>
      <c r="B89" s="122"/>
      <c r="C89" s="118">
        <v>0</v>
      </c>
      <c r="D89" s="122"/>
      <c r="E89" s="118">
        <v>0</v>
      </c>
      <c r="F89" s="122"/>
      <c r="G89" s="118">
        <v>0</v>
      </c>
      <c r="H89" s="122"/>
      <c r="I89" s="118">
        <v>0</v>
      </c>
      <c r="J89" s="122"/>
      <c r="K89" s="118">
        <v>0</v>
      </c>
      <c r="L89" s="122">
        <f t="shared" si="9"/>
        <v>0</v>
      </c>
      <c r="M89" s="118">
        <v>0</v>
      </c>
    </row>
    <row r="90" spans="1:13" x14ac:dyDescent="0.25">
      <c r="A90" s="117" t="s">
        <v>144</v>
      </c>
      <c r="B90" s="122">
        <f>'Detaljeret opgørelse 2014'!C55</f>
        <v>-9864.51</v>
      </c>
      <c r="D90" s="122">
        <v>-9981.3700000000008</v>
      </c>
      <c r="E90" s="161">
        <f>(D90-B90)/IF(B90&lt;0,B90,1)</f>
        <v>1.1846508341519303E-2</v>
      </c>
      <c r="F90" s="122">
        <v>-10278.950000000001</v>
      </c>
      <c r="G90" s="161">
        <f>(F90-D90)/IF(D90&lt;0,D90,1)</f>
        <v>2.9813542629919532E-2</v>
      </c>
      <c r="H90" s="122">
        <v>-10232.66</v>
      </c>
      <c r="I90" s="161">
        <f>(H90-F90)/IF(F90&lt;0,F90,1)</f>
        <v>-4.5033782633441032E-3</v>
      </c>
      <c r="J90" s="122">
        <v>-9886.06</v>
      </c>
      <c r="K90" s="161">
        <f>(J90-H90)/IF(H90&lt;0,H90,1)</f>
        <v>-3.3871935547550719E-2</v>
      </c>
      <c r="L90" s="212">
        <f>J90*(1+M90)^12*('Nøgletal slutforbrug'!K91*'Nøgletal sekundær energi'!K138+'Nøgletal slutforbrug'!K92*'Nøgletal sekundær energi'!K142+'Nøgletal slutforbrug'!K93*'Nøgletal sekundær energi'!K141+'Nøgletal slutforbrug'!K94*'Nøgletal sekundær energi'!K140+('Nøgletal slutforbrug'!K95+'Nøgletal slutforbrug'!K96+'Nøgletal slutforbrug'!K97+'Nøgletal slutforbrug'!K98)*'Nøgletal sekundær energi'!K143+'Nøgletal slutforbrug'!K99*'Nøgletal sekundær energi'!K140+'Nøgletal slutforbrug'!K100*'Nøgletal sekundær energi'!K139+'Nøgletal slutforbrug'!K101*'Nøgletal sekundær energi'!K144+'Nøgletal slutforbrug'!K102*'Nøgletal sekundær energi'!K145+'Nøgletal slutforbrug'!K103*'Nøgletal sekundær energi'!K143)/('Nøgletal slutforbrug'!M91*'Nøgletal sekundær energi'!L138+'Nøgletal slutforbrug'!M92*'Nøgletal sekundær energi'!L142+'Nøgletal slutforbrug'!M93*'Nøgletal sekundær energi'!L141+'Nøgletal slutforbrug'!M94*'Nøgletal sekundær energi'!L140+('Nøgletal slutforbrug'!M95+'Nøgletal slutforbrug'!M96+'Nøgletal slutforbrug'!M97+'Nøgletal slutforbrug'!M98)*'Nøgletal sekundær energi'!L143+'Nøgletal slutforbrug'!M99*'Nøgletal sekundær energi'!L140+'Nøgletal slutforbrug'!M100*'Nøgletal sekundær energi'!L139+'Nøgletal slutforbrug'!M101*'Nøgletal sekundær energi'!L144+'Nøgletal slutforbrug'!M102*'Nøgletal sekundær energi'!L145+'Nøgletal slutforbrug'!M103*'Nøgletal sekundær energi'!L143)</f>
        <v>-9886.0599999999977</v>
      </c>
      <c r="M90" s="162">
        <v>0</v>
      </c>
    </row>
    <row r="91" spans="1:13" x14ac:dyDescent="0.25">
      <c r="A91" s="115" t="s">
        <v>3</v>
      </c>
      <c r="B91" s="122"/>
      <c r="C91" s="118">
        <f>('Detaljeret opgørelse 2014'!Q55+'Detaljeret opgørelse 2014'!AJ55)/'Detaljeret opgørelse 2014'!C55</f>
        <v>6.9870677813697796E-2</v>
      </c>
      <c r="D91" s="122"/>
      <c r="E91" s="118">
        <v>7.8016344449709812E-2</v>
      </c>
      <c r="F91" s="122"/>
      <c r="G91" s="118">
        <v>7.8349442306850411E-2</v>
      </c>
      <c r="H91" s="122"/>
      <c r="I91" s="118">
        <v>7.8537740919760846E-2</v>
      </c>
      <c r="J91" s="122"/>
      <c r="K91" s="118">
        <v>7.7809562151150216E-2</v>
      </c>
      <c r="L91" s="122">
        <f t="shared" si="9"/>
        <v>0</v>
      </c>
      <c r="M91" s="118">
        <v>7.7809562151150216E-2</v>
      </c>
    </row>
    <row r="92" spans="1:13" x14ac:dyDescent="0.25">
      <c r="A92" s="115" t="s">
        <v>4</v>
      </c>
      <c r="B92" s="122"/>
      <c r="C92" s="118">
        <f>('Detaljeret opgørelse 2014'!R55+'Detaljeret opgørelse 2014'!S55)/'Detaljeret opgørelse 2014'!C55</f>
        <v>0</v>
      </c>
      <c r="D92" s="122"/>
      <c r="E92" s="118">
        <v>0</v>
      </c>
      <c r="F92" s="122"/>
      <c r="G92" s="118">
        <v>0</v>
      </c>
      <c r="H92" s="122"/>
      <c r="I92" s="118">
        <v>0</v>
      </c>
      <c r="J92" s="122"/>
      <c r="K92" s="118">
        <v>0</v>
      </c>
      <c r="L92" s="122">
        <f t="shared" si="9"/>
        <v>0</v>
      </c>
      <c r="M92" s="118">
        <v>0</v>
      </c>
    </row>
    <row r="93" spans="1:13" x14ac:dyDescent="0.25">
      <c r="A93" s="115" t="s">
        <v>5</v>
      </c>
      <c r="B93" s="122"/>
      <c r="C93" s="118">
        <f>'Detaljeret opgørelse 2014'!AE55/'Detaljeret opgørelse 2014'!C55</f>
        <v>0</v>
      </c>
      <c r="D93" s="122"/>
      <c r="E93" s="118">
        <v>0</v>
      </c>
      <c r="F93" s="122"/>
      <c r="G93" s="118">
        <v>0</v>
      </c>
      <c r="H93" s="122"/>
      <c r="I93" s="118">
        <v>0</v>
      </c>
      <c r="J93" s="122"/>
      <c r="K93" s="118">
        <v>0</v>
      </c>
      <c r="L93" s="122">
        <f t="shared" si="9"/>
        <v>0</v>
      </c>
      <c r="M93" s="118">
        <v>0</v>
      </c>
    </row>
    <row r="94" spans="1:13" x14ac:dyDescent="0.25">
      <c r="A94" s="115" t="s">
        <v>188</v>
      </c>
      <c r="B94" s="122"/>
      <c r="C94" s="118">
        <f>SUM('Detaljeret opgørelse 2014'!X55:AD55)/'Detaljeret opgørelse 2014'!C55</f>
        <v>0</v>
      </c>
      <c r="D94" s="122"/>
      <c r="E94" s="118">
        <v>8.2153051134263122E-4</v>
      </c>
      <c r="F94" s="122"/>
      <c r="G94" s="118">
        <v>2.4399379314034991E-3</v>
      </c>
      <c r="H94" s="122"/>
      <c r="I94" s="118">
        <v>4.3185251928628526E-3</v>
      </c>
      <c r="J94" s="122"/>
      <c r="K94" s="118">
        <v>5.9841837901044503E-3</v>
      </c>
      <c r="L94" s="122">
        <f t="shared" si="9"/>
        <v>0</v>
      </c>
      <c r="M94" s="118">
        <v>5.9841837901044503E-3</v>
      </c>
    </row>
    <row r="95" spans="1:13" x14ac:dyDescent="0.25">
      <c r="A95" s="115" t="s">
        <v>7</v>
      </c>
      <c r="B95" s="122"/>
      <c r="C95" s="118">
        <f>'Detaljeret opgørelse 2014'!T55/'Detaljeret opgørelse 2014'!C55</f>
        <v>0</v>
      </c>
      <c r="D95" s="122"/>
      <c r="E95" s="118">
        <v>0</v>
      </c>
      <c r="F95" s="122"/>
      <c r="G95" s="118">
        <v>0</v>
      </c>
      <c r="H95" s="122"/>
      <c r="I95" s="118">
        <v>0</v>
      </c>
      <c r="J95" s="122"/>
      <c r="K95" s="118">
        <v>0</v>
      </c>
      <c r="L95" s="122">
        <f t="shared" si="9"/>
        <v>0</v>
      </c>
      <c r="M95" s="118">
        <v>0</v>
      </c>
    </row>
    <row r="96" spans="1:13" x14ac:dyDescent="0.25">
      <c r="A96" s="115" t="s">
        <v>8</v>
      </c>
      <c r="B96" s="122"/>
      <c r="C96" s="118">
        <f>'Detaljeret opgørelse 2014'!U55/'Detaljeret opgørelse 2014'!C55</f>
        <v>0</v>
      </c>
      <c r="D96" s="122"/>
      <c r="E96" s="118">
        <v>0</v>
      </c>
      <c r="F96" s="122"/>
      <c r="G96" s="118">
        <v>0</v>
      </c>
      <c r="H96" s="122"/>
      <c r="I96" s="118">
        <v>0</v>
      </c>
      <c r="J96" s="122"/>
      <c r="K96" s="118">
        <v>0</v>
      </c>
      <c r="L96" s="122">
        <f t="shared" si="9"/>
        <v>0</v>
      </c>
      <c r="M96" s="118">
        <v>0</v>
      </c>
    </row>
    <row r="97" spans="1:13" x14ac:dyDescent="0.25">
      <c r="A97" s="115" t="s">
        <v>9</v>
      </c>
      <c r="B97" s="122"/>
      <c r="C97" s="118">
        <f>('Detaljeret opgørelse 2014'!W55+'Detaljeret opgørelse 2014'!AG55)/'Detaljeret opgørelse 2014'!C55</f>
        <v>0</v>
      </c>
      <c r="D97" s="122"/>
      <c r="E97" s="118">
        <v>0</v>
      </c>
      <c r="F97" s="122"/>
      <c r="G97" s="118">
        <v>0</v>
      </c>
      <c r="H97" s="122"/>
      <c r="I97" s="118">
        <v>0</v>
      </c>
      <c r="J97" s="122"/>
      <c r="K97" s="118">
        <v>0</v>
      </c>
      <c r="L97" s="122">
        <f t="shared" si="9"/>
        <v>0</v>
      </c>
      <c r="M97" s="118">
        <v>0</v>
      </c>
    </row>
    <row r="98" spans="1:13" x14ac:dyDescent="0.25">
      <c r="A98" s="115" t="s">
        <v>10</v>
      </c>
      <c r="B98" s="122"/>
      <c r="C98" s="118">
        <f>('Detaljeret opgørelse 2014'!V55)/'Detaljeret opgørelse 2014'!C55</f>
        <v>0</v>
      </c>
      <c r="D98" s="122"/>
      <c r="E98" s="118">
        <v>0</v>
      </c>
      <c r="F98" s="122"/>
      <c r="G98" s="118">
        <v>0</v>
      </c>
      <c r="H98" s="122"/>
      <c r="I98" s="118">
        <v>0</v>
      </c>
      <c r="J98" s="122"/>
      <c r="K98" s="118">
        <v>0</v>
      </c>
      <c r="L98" s="122">
        <f t="shared" si="9"/>
        <v>0</v>
      </c>
      <c r="M98" s="118">
        <v>0</v>
      </c>
    </row>
    <row r="99" spans="1:13" x14ac:dyDescent="0.25">
      <c r="A99" s="116" t="s">
        <v>11</v>
      </c>
      <c r="B99" s="122"/>
      <c r="C99" s="118">
        <f>'Detaljeret opgørelse 2014'!AF55/'Detaljeret opgørelse 2014'!C55</f>
        <v>0</v>
      </c>
      <c r="D99" s="122"/>
      <c r="E99" s="118">
        <v>0</v>
      </c>
      <c r="F99" s="122"/>
      <c r="G99" s="118">
        <v>0</v>
      </c>
      <c r="H99" s="122"/>
      <c r="I99" s="118">
        <v>0</v>
      </c>
      <c r="J99" s="122"/>
      <c r="K99" s="118">
        <v>0</v>
      </c>
      <c r="L99" s="122">
        <f t="shared" si="9"/>
        <v>0</v>
      </c>
      <c r="M99" s="118">
        <v>0</v>
      </c>
    </row>
    <row r="100" spans="1:13" x14ac:dyDescent="0.25">
      <c r="A100" s="116" t="s">
        <v>12</v>
      </c>
      <c r="B100" s="122"/>
      <c r="C100" s="118">
        <f>SUM('Detaljeret opgørelse 2014'!F55:P55)/'Detaljeret opgørelse 2014'!C55</f>
        <v>1.2166848632116548E-2</v>
      </c>
      <c r="D100" s="122"/>
      <c r="E100" s="118">
        <v>1.4738457746782252E-2</v>
      </c>
      <c r="F100" s="122"/>
      <c r="G100" s="118">
        <v>1.4535531352910559E-2</v>
      </c>
      <c r="H100" s="122"/>
      <c r="I100" s="118">
        <v>1.434328903725913E-2</v>
      </c>
      <c r="J100" s="122"/>
      <c r="K100" s="118">
        <v>1.5221433007689616E-2</v>
      </c>
      <c r="L100" s="122">
        <f t="shared" ref="L100:L131" si="10">B100</f>
        <v>0</v>
      </c>
      <c r="M100" s="219">
        <f>1-M91-M92-M93-M94-M95-M96-M97-M98-M99-M101-M102-M103</f>
        <v>1.5221433007689633E-2</v>
      </c>
    </row>
    <row r="101" spans="1:13" x14ac:dyDescent="0.25">
      <c r="A101" s="116" t="s">
        <v>13</v>
      </c>
      <c r="B101" s="122"/>
      <c r="C101" s="118">
        <f>'Detaljeret opgørelse 2014'!AH55/'Detaljeret opgørelse 2014'!C55</f>
        <v>0.62400463885180302</v>
      </c>
      <c r="D101" s="122"/>
      <c r="E101" s="118">
        <v>0.5988336270471889</v>
      </c>
      <c r="F101" s="122"/>
      <c r="G101" s="118">
        <v>0.58453441256159422</v>
      </c>
      <c r="H101" s="122"/>
      <c r="I101" s="118">
        <v>0.58285724337562284</v>
      </c>
      <c r="J101" s="122"/>
      <c r="K101" s="118">
        <v>0.57198621088684465</v>
      </c>
      <c r="L101" s="122">
        <f t="shared" si="10"/>
        <v>0</v>
      </c>
      <c r="M101" s="118">
        <v>0.57198621088684465</v>
      </c>
    </row>
    <row r="102" spans="1:13" x14ac:dyDescent="0.25">
      <c r="A102" s="116" t="s">
        <v>14</v>
      </c>
      <c r="B102" s="122"/>
      <c r="C102" s="118">
        <f>'Detaljeret opgørelse 2014'!AI55/'Detaljeret opgørelse 2014'!C55</f>
        <v>0.29395783470238257</v>
      </c>
      <c r="D102" s="122"/>
      <c r="E102" s="118">
        <v>0.30759004024497638</v>
      </c>
      <c r="F102" s="122"/>
      <c r="G102" s="118">
        <v>0.32014262157126944</v>
      </c>
      <c r="H102" s="122"/>
      <c r="I102" s="118">
        <v>0.3199432014744944</v>
      </c>
      <c r="J102" s="122"/>
      <c r="K102" s="118">
        <v>0.32899861016421106</v>
      </c>
      <c r="L102" s="122">
        <f t="shared" si="10"/>
        <v>0</v>
      </c>
      <c r="M102" s="118">
        <v>0.32899861016421106</v>
      </c>
    </row>
    <row r="103" spans="1:13" x14ac:dyDescent="0.25">
      <c r="A103" s="115" t="s">
        <v>15</v>
      </c>
      <c r="B103" s="122"/>
      <c r="C103" s="118">
        <v>0</v>
      </c>
      <c r="D103" s="122"/>
      <c r="E103" s="118">
        <v>0</v>
      </c>
      <c r="F103" s="122"/>
      <c r="G103" s="118">
        <v>0</v>
      </c>
      <c r="H103" s="122"/>
      <c r="I103" s="118">
        <v>0</v>
      </c>
      <c r="J103" s="122"/>
      <c r="K103" s="118">
        <v>0</v>
      </c>
      <c r="L103" s="122">
        <f t="shared" si="10"/>
        <v>0</v>
      </c>
      <c r="M103" s="118">
        <v>0</v>
      </c>
    </row>
    <row r="104" spans="1:13" x14ac:dyDescent="0.25">
      <c r="A104" s="117" t="s">
        <v>189</v>
      </c>
      <c r="B104" s="122">
        <f>'Detaljeret opgørelse 2014'!C56</f>
        <v>-33512.839999999997</v>
      </c>
      <c r="D104" s="122">
        <v>-34213.339999999997</v>
      </c>
      <c r="E104" s="161">
        <f>(D104-B104)/IF(B104&lt;0,B104,1)</f>
        <v>2.090243620057268E-2</v>
      </c>
      <c r="F104" s="122">
        <v>-36317.040000000001</v>
      </c>
      <c r="G104" s="161">
        <f>(F104-D104)/IF(D104&lt;0,D104,1)</f>
        <v>6.1487712102940101E-2</v>
      </c>
      <c r="H104" s="122">
        <v>-37610.339999999997</v>
      </c>
      <c r="I104" s="161">
        <f>(H104-F104)/IF(F104&lt;0,F104,1)</f>
        <v>3.561138242543984E-2</v>
      </c>
      <c r="J104" s="122">
        <v>-37662.629999999997</v>
      </c>
      <c r="K104" s="161">
        <f>(J104-H104)/IF(H104&lt;0,H104,1)</f>
        <v>1.3903091543442808E-3</v>
      </c>
      <c r="L104" s="212">
        <f>J104*(1+M104)^12*('Nøgletal slutforbrug'!K105*'Nøgletal sekundær energi'!K138+'Nøgletal slutforbrug'!K106*'Nøgletal sekundær energi'!K142+'Nøgletal slutforbrug'!K107*'Nøgletal sekundær energi'!K141+'Nøgletal slutforbrug'!K108*'Nøgletal sekundær energi'!K140+('Nøgletal slutforbrug'!K109+'Nøgletal slutforbrug'!K110+'Nøgletal slutforbrug'!K111+'Nøgletal slutforbrug'!K112)*'Nøgletal sekundær energi'!K143+'Nøgletal slutforbrug'!K113*'Nøgletal sekundær energi'!K140+'Nøgletal slutforbrug'!K114*'Nøgletal sekundær energi'!K139+'Nøgletal slutforbrug'!K115*'Nøgletal sekundær energi'!K144+'Nøgletal slutforbrug'!K116*'Nøgletal sekundær energi'!K145+'Nøgletal slutforbrug'!K117*'Nøgletal sekundær energi'!K143)/('Nøgletal slutforbrug'!M105*'Nøgletal sekundær energi'!L138+'Nøgletal slutforbrug'!M106*'Nøgletal sekundær energi'!L142+'Nøgletal slutforbrug'!M107*'Nøgletal sekundær energi'!L141+'Nøgletal slutforbrug'!M108*'Nøgletal sekundær energi'!L140+('Nøgletal slutforbrug'!M109+'Nøgletal slutforbrug'!M110+'Nøgletal slutforbrug'!M111+'Nøgletal slutforbrug'!M112)*'Nøgletal sekundær energi'!L143+'Nøgletal slutforbrug'!M113*'Nøgletal sekundær energi'!L140+'Nøgletal slutforbrug'!M114*'Nøgletal sekundær energi'!L139+'Nøgletal slutforbrug'!M115*'Nøgletal sekundær energi'!L144+'Nøgletal slutforbrug'!M116*'Nøgletal sekundær energi'!L145+'Nøgletal slutforbrug'!M117*'Nøgletal sekundær energi'!L143)</f>
        <v>-37662.638234979189</v>
      </c>
      <c r="M104" s="162">
        <v>0</v>
      </c>
    </row>
    <row r="105" spans="1:13" x14ac:dyDescent="0.25">
      <c r="A105" s="115" t="s">
        <v>3</v>
      </c>
      <c r="B105" s="122"/>
      <c r="C105" s="118">
        <f>('Detaljeret opgørelse 2014'!Q56+'Detaljeret opgørelse 2014'!AJ56)/'Detaljeret opgørelse 2014'!C56</f>
        <v>8.3992284748174134E-2</v>
      </c>
      <c r="D105" s="122"/>
      <c r="E105" s="118">
        <v>9.5802689828002774E-2</v>
      </c>
      <c r="F105" s="122"/>
      <c r="G105" s="118">
        <v>9.1868995931386477E-2</v>
      </c>
      <c r="H105" s="122"/>
      <c r="I105" s="118">
        <v>9.0562595286296274E-2</v>
      </c>
      <c r="J105" s="122"/>
      <c r="K105" s="118">
        <v>8.3698615842812893E-2</v>
      </c>
      <c r="L105" s="122">
        <f t="shared" si="10"/>
        <v>0</v>
      </c>
      <c r="M105" s="118">
        <v>8.3698615842812893E-2</v>
      </c>
    </row>
    <row r="106" spans="1:13" x14ac:dyDescent="0.25">
      <c r="A106" s="115" t="s">
        <v>4</v>
      </c>
      <c r="B106" s="122"/>
      <c r="C106" s="118">
        <f>('Detaljeret opgørelse 2014'!R56+'Detaljeret opgørelse 2014'!S56)/'Detaljeret opgørelse 2014'!C56</f>
        <v>0</v>
      </c>
      <c r="D106" s="122"/>
      <c r="E106" s="118">
        <v>0</v>
      </c>
      <c r="F106" s="122"/>
      <c r="G106" s="118">
        <v>0</v>
      </c>
      <c r="H106" s="122"/>
      <c r="I106" s="118">
        <v>0</v>
      </c>
      <c r="J106" s="122"/>
      <c r="K106" s="118">
        <v>0</v>
      </c>
      <c r="L106" s="122">
        <f t="shared" si="10"/>
        <v>0</v>
      </c>
      <c r="M106" s="118">
        <v>0</v>
      </c>
    </row>
    <row r="107" spans="1:13" x14ac:dyDescent="0.25">
      <c r="A107" s="115" t="s">
        <v>5</v>
      </c>
      <c r="B107" s="122"/>
      <c r="C107" s="118">
        <f>'Detaljeret opgørelse 2014'!AE56/'Detaljeret opgørelse 2014'!C56</f>
        <v>2.2299512664399678E-2</v>
      </c>
      <c r="D107" s="122"/>
      <c r="E107" s="118">
        <v>1.2109604031643798E-2</v>
      </c>
      <c r="F107" s="122"/>
      <c r="G107" s="118">
        <v>1.620506517050949E-2</v>
      </c>
      <c r="H107" s="122"/>
      <c r="I107" s="118">
        <v>1.8623336029400427E-2</v>
      </c>
      <c r="J107" s="122"/>
      <c r="K107" s="118">
        <v>1.8594293600845187E-2</v>
      </c>
      <c r="L107" s="122">
        <f t="shared" si="10"/>
        <v>0</v>
      </c>
      <c r="M107" s="118">
        <v>1.8594293600845187E-2</v>
      </c>
    </row>
    <row r="108" spans="1:13" x14ac:dyDescent="0.25">
      <c r="A108" s="115" t="s">
        <v>188</v>
      </c>
      <c r="B108" s="122"/>
      <c r="C108" s="118">
        <f>SUM('Detaljeret opgørelse 2014'!X56:AD56)/'Detaljeret opgørelse 2014'!C56</f>
        <v>8.0939126615351027E-3</v>
      </c>
      <c r="D108" s="122"/>
      <c r="E108" s="118">
        <v>6.99931664081905E-3</v>
      </c>
      <c r="F108" s="122"/>
      <c r="G108" s="118">
        <v>1.5252344354055284E-2</v>
      </c>
      <c r="H108" s="122"/>
      <c r="I108" s="118">
        <v>1.7944001569781078E-2</v>
      </c>
      <c r="J108" s="122"/>
      <c r="K108" s="118">
        <v>1.9388449505517807E-2</v>
      </c>
      <c r="L108" s="122">
        <f t="shared" si="10"/>
        <v>0</v>
      </c>
      <c r="M108" s="118">
        <v>1.9388449505517807E-2</v>
      </c>
    </row>
    <row r="109" spans="1:13" x14ac:dyDescent="0.25">
      <c r="A109" s="115" t="s">
        <v>7</v>
      </c>
      <c r="B109" s="122"/>
      <c r="C109" s="118">
        <f>'Detaljeret opgørelse 2014'!T56/'Detaljeret opgørelse 2014'!C56</f>
        <v>0</v>
      </c>
      <c r="D109" s="122"/>
      <c r="E109" s="118">
        <v>0</v>
      </c>
      <c r="F109" s="122"/>
      <c r="G109" s="118">
        <v>0</v>
      </c>
      <c r="H109" s="122"/>
      <c r="I109" s="118">
        <v>0</v>
      </c>
      <c r="J109" s="122"/>
      <c r="K109" s="118">
        <v>0</v>
      </c>
      <c r="L109" s="122">
        <f t="shared" si="10"/>
        <v>0</v>
      </c>
      <c r="M109" s="118">
        <v>0</v>
      </c>
    </row>
    <row r="110" spans="1:13" x14ac:dyDescent="0.25">
      <c r="A110" s="115" t="s">
        <v>8</v>
      </c>
      <c r="B110" s="122"/>
      <c r="C110" s="118">
        <f>'Detaljeret opgørelse 2014'!U56/'Detaljeret opgørelse 2014'!C56</f>
        <v>0</v>
      </c>
      <c r="D110" s="122"/>
      <c r="E110" s="118">
        <v>0</v>
      </c>
      <c r="F110" s="122"/>
      <c r="G110" s="118">
        <v>0</v>
      </c>
      <c r="H110" s="122"/>
      <c r="I110" s="118">
        <v>0</v>
      </c>
      <c r="J110" s="122"/>
      <c r="K110" s="118">
        <v>0</v>
      </c>
      <c r="L110" s="122">
        <f t="shared" si="10"/>
        <v>0</v>
      </c>
      <c r="M110" s="118">
        <v>0</v>
      </c>
    </row>
    <row r="111" spans="1:13" x14ac:dyDescent="0.25">
      <c r="A111" s="115" t="s">
        <v>9</v>
      </c>
      <c r="B111" s="122"/>
      <c r="C111" s="118">
        <f>('Detaljeret opgørelse 2014'!W56+'Detaljeret opgørelse 2014'!AG56)/'Detaljeret opgørelse 2014'!C56</f>
        <v>0</v>
      </c>
      <c r="D111" s="122"/>
      <c r="E111" s="118">
        <v>0</v>
      </c>
      <c r="F111" s="122"/>
      <c r="G111" s="118">
        <v>0</v>
      </c>
      <c r="H111" s="122"/>
      <c r="I111" s="118">
        <v>0</v>
      </c>
      <c r="J111" s="122"/>
      <c r="K111" s="118">
        <v>0</v>
      </c>
      <c r="L111" s="122">
        <f t="shared" si="10"/>
        <v>0</v>
      </c>
      <c r="M111" s="118">
        <v>0</v>
      </c>
    </row>
    <row r="112" spans="1:13" x14ac:dyDescent="0.25">
      <c r="A112" s="115" t="s">
        <v>10</v>
      </c>
      <c r="B112" s="122"/>
      <c r="C112" s="118">
        <f>('Detaljeret opgørelse 2014'!V56)/'Detaljeret opgørelse 2014'!C56</f>
        <v>0</v>
      </c>
      <c r="D112" s="122"/>
      <c r="E112" s="118">
        <v>0</v>
      </c>
      <c r="F112" s="122"/>
      <c r="G112" s="118">
        <v>0</v>
      </c>
      <c r="H112" s="122"/>
      <c r="I112" s="118">
        <v>0</v>
      </c>
      <c r="J112" s="122"/>
      <c r="K112" s="118">
        <v>0</v>
      </c>
      <c r="L112" s="122">
        <f t="shared" si="10"/>
        <v>0</v>
      </c>
      <c r="M112" s="118">
        <v>0</v>
      </c>
    </row>
    <row r="113" spans="1:13" x14ac:dyDescent="0.25">
      <c r="A113" s="116" t="s">
        <v>11</v>
      </c>
      <c r="B113" s="122"/>
      <c r="C113" s="118">
        <f>'Detaljeret opgørelse 2014'!AF56/'Detaljeret opgørelse 2014'!C56</f>
        <v>0</v>
      </c>
      <c r="D113" s="122"/>
      <c r="E113" s="118">
        <v>0</v>
      </c>
      <c r="F113" s="122"/>
      <c r="G113" s="118">
        <v>0</v>
      </c>
      <c r="H113" s="122"/>
      <c r="I113" s="118">
        <v>0</v>
      </c>
      <c r="J113" s="122"/>
      <c r="K113" s="118">
        <v>0</v>
      </c>
      <c r="L113" s="122">
        <f t="shared" si="10"/>
        <v>0</v>
      </c>
      <c r="M113" s="118">
        <v>0</v>
      </c>
    </row>
    <row r="114" spans="1:13" x14ac:dyDescent="0.25">
      <c r="A114" s="116" t="s">
        <v>12</v>
      </c>
      <c r="B114" s="122"/>
      <c r="C114" s="118">
        <f>SUM('Detaljeret opgørelse 2014'!F56:P56)/'Detaljeret opgørelse 2014'!C56</f>
        <v>2.2305480526269933E-2</v>
      </c>
      <c r="D114" s="122"/>
      <c r="E114" s="118">
        <v>2.476782448015891E-2</v>
      </c>
      <c r="F114" s="122"/>
      <c r="G114" s="118">
        <v>2.3485944889781767E-2</v>
      </c>
      <c r="H114" s="122"/>
      <c r="I114" s="118">
        <v>1.6899873811297639E-2</v>
      </c>
      <c r="J114" s="122"/>
      <c r="K114" s="118">
        <v>2.0990302589065077E-2</v>
      </c>
      <c r="L114" s="122">
        <f t="shared" si="10"/>
        <v>0</v>
      </c>
      <c r="M114" s="219">
        <f>1-M105-M106-M107-M108-M109-M110-M111-M112-M113-M115-M116-M117</f>
        <v>2.0990037073884638E-2</v>
      </c>
    </row>
    <row r="115" spans="1:13" x14ac:dyDescent="0.25">
      <c r="A115" s="116" t="s">
        <v>13</v>
      </c>
      <c r="B115" s="122"/>
      <c r="C115" s="118">
        <f>'Detaljeret opgørelse 2014'!AH56/'Detaljeret opgørelse 2014'!C56</f>
        <v>0.48637835528114004</v>
      </c>
      <c r="D115" s="122"/>
      <c r="E115" s="118">
        <v>0.46940900829910209</v>
      </c>
      <c r="F115" s="122"/>
      <c r="G115" s="118">
        <v>0.45846385057813077</v>
      </c>
      <c r="H115" s="122"/>
      <c r="I115" s="118">
        <v>0.47677287682057651</v>
      </c>
      <c r="J115" s="122"/>
      <c r="K115" s="118">
        <v>0.48112943785391515</v>
      </c>
      <c r="L115" s="122">
        <f t="shared" si="10"/>
        <v>0</v>
      </c>
      <c r="M115" s="118">
        <v>0.48112943785391515</v>
      </c>
    </row>
    <row r="116" spans="1:13" x14ac:dyDescent="0.25">
      <c r="A116" s="116" t="s">
        <v>14</v>
      </c>
      <c r="B116" s="122"/>
      <c r="C116" s="118">
        <f>'Detaljeret opgørelse 2014'!AI56/'Detaljeret opgørelse 2014'!C56</f>
        <v>0.37693015572538768</v>
      </c>
      <c r="D116" s="122"/>
      <c r="E116" s="118">
        <v>0.39091155672027345</v>
      </c>
      <c r="F116" s="122"/>
      <c r="G116" s="118">
        <v>0.39472324837046191</v>
      </c>
      <c r="H116" s="122"/>
      <c r="I116" s="118">
        <v>0.37919758236697676</v>
      </c>
      <c r="J116" s="122"/>
      <c r="K116" s="118">
        <v>0.37619916612302434</v>
      </c>
      <c r="L116" s="122">
        <f t="shared" si="10"/>
        <v>0</v>
      </c>
      <c r="M116" s="118">
        <v>0.37619916612302434</v>
      </c>
    </row>
    <row r="117" spans="1:13" x14ac:dyDescent="0.25">
      <c r="A117" s="115" t="s">
        <v>15</v>
      </c>
      <c r="B117" s="122"/>
      <c r="C117" s="118">
        <v>0</v>
      </c>
      <c r="D117" s="122"/>
      <c r="E117" s="118">
        <v>0</v>
      </c>
      <c r="F117" s="122"/>
      <c r="G117" s="118">
        <v>0</v>
      </c>
      <c r="H117" s="122"/>
      <c r="I117" s="118">
        <v>0</v>
      </c>
      <c r="J117" s="122"/>
      <c r="K117" s="118">
        <v>0</v>
      </c>
      <c r="L117" s="122">
        <f t="shared" si="10"/>
        <v>0</v>
      </c>
      <c r="M117" s="118">
        <v>0</v>
      </c>
    </row>
    <row r="118" spans="1:13" x14ac:dyDescent="0.25">
      <c r="A118" s="117" t="s">
        <v>190</v>
      </c>
      <c r="B118" s="122">
        <f>'Detaljeret opgørelse 2014'!C57</f>
        <v>-22538.85</v>
      </c>
      <c r="D118" s="122">
        <v>-23375.040000000001</v>
      </c>
      <c r="E118" s="161">
        <f>(D118-B118)/IF(B118&lt;0,B118,1)</f>
        <v>3.709994076893907E-2</v>
      </c>
      <c r="F118" s="122">
        <v>-24858.63</v>
      </c>
      <c r="G118" s="161">
        <f>(F118-D118)/IF(D118&lt;0,D118,1)</f>
        <v>6.3468982299067722E-2</v>
      </c>
      <c r="H118" s="122">
        <v>-25013.1</v>
      </c>
      <c r="I118" s="161">
        <f>(H118-F118)/IF(F118&lt;0,F118,1)</f>
        <v>6.2139385798814142E-3</v>
      </c>
      <c r="J118" s="122">
        <v>-24772.82</v>
      </c>
      <c r="K118" s="161">
        <f>(J118-H118)/IF(H118&lt;0,H118,1)</f>
        <v>-9.6061663688226905E-3</v>
      </c>
      <c r="L118" s="212">
        <f>J118*(1+M118)^12*('Nøgletal slutforbrug'!K119*'Nøgletal sekundær energi'!K138+'Nøgletal slutforbrug'!K120*'Nøgletal sekundær energi'!K142+'Nøgletal slutforbrug'!K121*'Nøgletal sekundær energi'!K141+'Nøgletal slutforbrug'!K122*'Nøgletal sekundær energi'!K140+('Nøgletal slutforbrug'!K123+'Nøgletal slutforbrug'!K124+'Nøgletal slutforbrug'!K125+'Nøgletal slutforbrug'!K126)*'Nøgletal sekundær energi'!K143+'Nøgletal slutforbrug'!K127*'Nøgletal sekundær energi'!K140+'Nøgletal slutforbrug'!K128*'Nøgletal sekundær energi'!K139+'Nøgletal slutforbrug'!K129*'Nøgletal sekundær energi'!K144+'Nøgletal slutforbrug'!K130*'Nøgletal sekundær energi'!K145+'Nøgletal slutforbrug'!K131*'Nøgletal sekundær energi'!K143)/('Nøgletal slutforbrug'!M119*'Nøgletal sekundær energi'!L138+'Nøgletal slutforbrug'!M120*'Nøgletal sekundær energi'!L142+'Nøgletal slutforbrug'!M121*'Nøgletal sekundær energi'!L141+'Nøgletal slutforbrug'!M122*'Nøgletal sekundær energi'!L140+('Nøgletal slutforbrug'!M123+'Nøgletal slutforbrug'!M124+'Nøgletal slutforbrug'!M125+'Nøgletal slutforbrug'!M126)*'Nøgletal sekundær energi'!L143+'Nøgletal slutforbrug'!M127*'Nøgletal sekundær energi'!L140+'Nøgletal slutforbrug'!M128*'Nøgletal sekundær energi'!L139+'Nøgletal slutforbrug'!M129*'Nøgletal sekundær energi'!L144+'Nøgletal slutforbrug'!M130*'Nøgletal sekundær energi'!L145+'Nøgletal slutforbrug'!M131*'Nøgletal sekundær energi'!L143)</f>
        <v>-24772.82</v>
      </c>
      <c r="M118" s="162">
        <v>0</v>
      </c>
    </row>
    <row r="119" spans="1:13" x14ac:dyDescent="0.25">
      <c r="A119" s="115" t="s">
        <v>3</v>
      </c>
      <c r="B119" s="122"/>
      <c r="C119" s="118">
        <f>('Detaljeret opgørelse 2014'!Q57+'Detaljeret opgørelse 2014'!AJ57)/'Detaljeret opgørelse 2014'!C57</f>
        <v>9.8966894939182787E-2</v>
      </c>
      <c r="D119" s="122"/>
      <c r="E119" s="118">
        <v>0.10580687776363164</v>
      </c>
      <c r="F119" s="122"/>
      <c r="G119" s="118">
        <v>0.10405682050861209</v>
      </c>
      <c r="H119" s="122"/>
      <c r="I119" s="118">
        <v>0.10349936633204203</v>
      </c>
      <c r="J119" s="122"/>
      <c r="K119" s="118">
        <v>0.10078787961967997</v>
      </c>
      <c r="L119" s="122">
        <f t="shared" si="10"/>
        <v>0</v>
      </c>
      <c r="M119" s="118">
        <v>0.10078787961967997</v>
      </c>
    </row>
    <row r="120" spans="1:13" x14ac:dyDescent="0.25">
      <c r="A120" s="115" t="s">
        <v>4</v>
      </c>
      <c r="B120" s="122"/>
      <c r="C120" s="118">
        <f>('Detaljeret opgørelse 2014'!R57+'Detaljeret opgørelse 2014'!S57)/'Detaljeret opgørelse 2014'!C57</f>
        <v>0</v>
      </c>
      <c r="D120" s="122"/>
      <c r="E120" s="118">
        <v>0</v>
      </c>
      <c r="F120" s="122"/>
      <c r="G120" s="118">
        <v>0</v>
      </c>
      <c r="H120" s="122"/>
      <c r="I120" s="118">
        <v>0</v>
      </c>
      <c r="J120" s="122"/>
      <c r="K120" s="118">
        <v>0</v>
      </c>
      <c r="L120" s="122">
        <f t="shared" si="10"/>
        <v>0</v>
      </c>
      <c r="M120" s="118">
        <v>0</v>
      </c>
    </row>
    <row r="121" spans="1:13" x14ac:dyDescent="0.25">
      <c r="A121" s="115" t="s">
        <v>5</v>
      </c>
      <c r="B121" s="122"/>
      <c r="C121" s="118">
        <f>'Detaljeret opgørelse 2014'!AE57/'Detaljeret opgørelse 2014'!C57</f>
        <v>0</v>
      </c>
      <c r="D121" s="122"/>
      <c r="E121" s="118">
        <v>0</v>
      </c>
      <c r="F121" s="122"/>
      <c r="G121" s="118">
        <v>0</v>
      </c>
      <c r="H121" s="122"/>
      <c r="I121" s="118">
        <v>0</v>
      </c>
      <c r="J121" s="122"/>
      <c r="K121" s="118">
        <v>0</v>
      </c>
      <c r="L121" s="122">
        <f t="shared" si="10"/>
        <v>0</v>
      </c>
      <c r="M121" s="118">
        <v>0</v>
      </c>
    </row>
    <row r="122" spans="1:13" x14ac:dyDescent="0.25">
      <c r="A122" s="115" t="s">
        <v>188</v>
      </c>
      <c r="B122" s="122"/>
      <c r="C122" s="118">
        <f>SUM('Detaljeret opgørelse 2014'!X57:AD57)/'Detaljeret opgørelse 2014'!C57</f>
        <v>4.8969667928931607E-2</v>
      </c>
      <c r="D122" s="122"/>
      <c r="E122" s="118">
        <v>4.8694248223746357E-2</v>
      </c>
      <c r="F122" s="122"/>
      <c r="G122" s="118">
        <v>5.6312033285824674E-2</v>
      </c>
      <c r="H122" s="122"/>
      <c r="I122" s="118">
        <v>5.9826650834962483E-2</v>
      </c>
      <c r="J122" s="122"/>
      <c r="K122" s="118">
        <v>6.7566389292781359E-2</v>
      </c>
      <c r="L122" s="122">
        <f t="shared" si="10"/>
        <v>0</v>
      </c>
      <c r="M122" s="118">
        <v>6.7566389292781359E-2</v>
      </c>
    </row>
    <row r="123" spans="1:13" x14ac:dyDescent="0.25">
      <c r="A123" s="115" t="s">
        <v>7</v>
      </c>
      <c r="B123" s="122"/>
      <c r="C123" s="118">
        <f>'Detaljeret opgørelse 2014'!T57/'Detaljeret opgørelse 2014'!C57</f>
        <v>3.757068350869721E-3</v>
      </c>
      <c r="D123" s="122"/>
      <c r="E123" s="118">
        <v>3.726624638931099E-3</v>
      </c>
      <c r="F123" s="122"/>
      <c r="G123" s="118">
        <v>3.5532931621734582E-3</v>
      </c>
      <c r="H123" s="122"/>
      <c r="I123" s="118">
        <v>3.5797242245063591E-3</v>
      </c>
      <c r="J123" s="122"/>
      <c r="K123" s="118">
        <v>3.653601003034778E-3</v>
      </c>
      <c r="L123" s="122">
        <f t="shared" si="10"/>
        <v>0</v>
      </c>
      <c r="M123" s="118">
        <v>3.653601003034778E-3</v>
      </c>
    </row>
    <row r="124" spans="1:13" x14ac:dyDescent="0.25">
      <c r="A124" s="115" t="s">
        <v>8</v>
      </c>
      <c r="B124" s="122"/>
      <c r="C124" s="118">
        <f>'Detaljeret opgørelse 2014'!U57/'Detaljeret opgørelse 2014'!C57</f>
        <v>0</v>
      </c>
      <c r="D124" s="122"/>
      <c r="E124" s="118">
        <v>0</v>
      </c>
      <c r="F124" s="122"/>
      <c r="G124" s="118">
        <v>0</v>
      </c>
      <c r="H124" s="122"/>
      <c r="I124" s="118">
        <v>0</v>
      </c>
      <c r="J124" s="122"/>
      <c r="K124" s="118">
        <v>0</v>
      </c>
      <c r="L124" s="122">
        <f t="shared" si="10"/>
        <v>0</v>
      </c>
      <c r="M124" s="118">
        <v>0</v>
      </c>
    </row>
    <row r="125" spans="1:13" x14ac:dyDescent="0.25">
      <c r="A125" s="115" t="s">
        <v>9</v>
      </c>
      <c r="B125" s="122"/>
      <c r="C125" s="118">
        <f>('Detaljeret opgørelse 2014'!W57+'Detaljeret opgørelse 2014'!AG57)/'Detaljeret opgørelse 2014'!C57</f>
        <v>0</v>
      </c>
      <c r="D125" s="122"/>
      <c r="E125" s="118">
        <v>0</v>
      </c>
      <c r="F125" s="122"/>
      <c r="G125" s="118">
        <v>0</v>
      </c>
      <c r="H125" s="122"/>
      <c r="I125" s="118">
        <v>0</v>
      </c>
      <c r="J125" s="122"/>
      <c r="K125" s="118">
        <v>0</v>
      </c>
      <c r="L125" s="122">
        <f t="shared" si="10"/>
        <v>0</v>
      </c>
      <c r="M125" s="118">
        <v>0</v>
      </c>
    </row>
    <row r="126" spans="1:13" x14ac:dyDescent="0.25">
      <c r="A126" s="115" t="s">
        <v>10</v>
      </c>
      <c r="B126" s="122"/>
      <c r="C126" s="118">
        <f>('Detaljeret opgørelse 2014'!V57)/'Detaljeret opgørelse 2014'!C57</f>
        <v>0</v>
      </c>
      <c r="D126" s="122"/>
      <c r="E126" s="118">
        <v>0</v>
      </c>
      <c r="F126" s="122"/>
      <c r="G126" s="118">
        <v>0</v>
      </c>
      <c r="H126" s="122"/>
      <c r="I126" s="118">
        <v>0</v>
      </c>
      <c r="J126" s="122"/>
      <c r="K126" s="118">
        <v>0</v>
      </c>
      <c r="L126" s="122">
        <f t="shared" si="10"/>
        <v>0</v>
      </c>
      <c r="M126" s="118">
        <v>0</v>
      </c>
    </row>
    <row r="127" spans="1:13" x14ac:dyDescent="0.25">
      <c r="A127" s="116" t="s">
        <v>11</v>
      </c>
      <c r="B127" s="122"/>
      <c r="C127" s="118">
        <f>'Detaljeret opgørelse 2014'!AF57/'Detaljeret opgørelse 2014'!C57</f>
        <v>0</v>
      </c>
      <c r="D127" s="122"/>
      <c r="E127" s="118">
        <v>0</v>
      </c>
      <c r="F127" s="122"/>
      <c r="G127" s="118">
        <v>0</v>
      </c>
      <c r="H127" s="122"/>
      <c r="I127" s="118">
        <v>0</v>
      </c>
      <c r="J127" s="122"/>
      <c r="K127" s="118">
        <v>0</v>
      </c>
      <c r="L127" s="122">
        <f t="shared" si="10"/>
        <v>0</v>
      </c>
      <c r="M127" s="118">
        <v>0</v>
      </c>
    </row>
    <row r="128" spans="1:13" x14ac:dyDescent="0.25">
      <c r="A128" s="116" t="s">
        <v>12</v>
      </c>
      <c r="B128" s="122"/>
      <c r="C128" s="118">
        <f>SUM('Detaljeret opgørelse 2014'!F57:P57)/'Detaljeret opgørelse 2014'!C57</f>
        <v>5.3998318459016328E-2</v>
      </c>
      <c r="D128" s="122"/>
      <c r="E128" s="118">
        <v>5.6122256903089786E-2</v>
      </c>
      <c r="F128" s="122"/>
      <c r="G128" s="118">
        <v>5.3269629098626904E-2</v>
      </c>
      <c r="H128" s="122"/>
      <c r="I128" s="118">
        <v>5.2024339246234966E-2</v>
      </c>
      <c r="J128" s="122"/>
      <c r="K128" s="118">
        <v>5.3366552536207021E-2</v>
      </c>
      <c r="L128" s="122">
        <f t="shared" si="10"/>
        <v>0</v>
      </c>
      <c r="M128" s="219">
        <f>1-M119-M120-M121-M122-M123-M124-M125-M126-M127-M129-M130-M131</f>
        <v>5.3366552536207035E-2</v>
      </c>
    </row>
    <row r="129" spans="1:13" x14ac:dyDescent="0.25">
      <c r="A129" s="116" t="s">
        <v>13</v>
      </c>
      <c r="B129" s="122"/>
      <c r="C129" s="118">
        <f>'Detaljeret opgørelse 2014'!AH57/'Detaljeret opgørelse 2014'!C57</f>
        <v>0.3774118910237213</v>
      </c>
      <c r="D129" s="122"/>
      <c r="E129" s="118">
        <v>0.36004302024723811</v>
      </c>
      <c r="F129" s="122"/>
      <c r="G129" s="118">
        <v>0.35385296776210107</v>
      </c>
      <c r="H129" s="122"/>
      <c r="I129" s="118">
        <v>0.35694616021204889</v>
      </c>
      <c r="J129" s="122"/>
      <c r="K129" s="118">
        <v>0.34918390397217597</v>
      </c>
      <c r="L129" s="122">
        <f t="shared" si="10"/>
        <v>0</v>
      </c>
      <c r="M129" s="118">
        <v>0.34918390397217597</v>
      </c>
    </row>
    <row r="130" spans="1:13" x14ac:dyDescent="0.25">
      <c r="A130" s="116" t="s">
        <v>14</v>
      </c>
      <c r="B130" s="122"/>
      <c r="C130" s="118">
        <f>'Detaljeret opgørelse 2014'!AI57/'Detaljeret opgørelse 2014'!C57</f>
        <v>0.41689571561991856</v>
      </c>
      <c r="D130" s="122"/>
      <c r="E130" s="118">
        <v>0.42560697222336302</v>
      </c>
      <c r="F130" s="122"/>
      <c r="G130" s="118">
        <v>0.42895606073222858</v>
      </c>
      <c r="H130" s="122"/>
      <c r="I130" s="118">
        <v>0.42412335935969553</v>
      </c>
      <c r="J130" s="122"/>
      <c r="K130" s="118">
        <v>0.42544167357612089</v>
      </c>
      <c r="L130" s="122">
        <f t="shared" si="10"/>
        <v>0</v>
      </c>
      <c r="M130" s="118">
        <v>0.42544167357612089</v>
      </c>
    </row>
    <row r="131" spans="1:13" x14ac:dyDescent="0.25">
      <c r="A131" s="115" t="s">
        <v>15</v>
      </c>
      <c r="B131" s="122"/>
      <c r="C131" s="118">
        <v>0</v>
      </c>
      <c r="D131" s="122"/>
      <c r="E131" s="118">
        <v>0</v>
      </c>
      <c r="F131" s="122"/>
      <c r="G131" s="118">
        <v>0</v>
      </c>
      <c r="H131" s="122"/>
      <c r="I131" s="118">
        <v>0</v>
      </c>
      <c r="J131" s="122"/>
      <c r="K131" s="118">
        <v>0</v>
      </c>
      <c r="L131" s="122">
        <f t="shared" si="10"/>
        <v>0</v>
      </c>
      <c r="M131" s="118">
        <v>0</v>
      </c>
    </row>
    <row r="132" spans="1:13" x14ac:dyDescent="0.25">
      <c r="A132" s="117" t="s">
        <v>136</v>
      </c>
      <c r="B132" s="122">
        <f>'Detaljeret opgørelse 2014'!C58</f>
        <v>-124960.4</v>
      </c>
      <c r="D132" s="122">
        <v>-135960.34</v>
      </c>
      <c r="E132" s="161">
        <f>(D132-B132)/IF(B132&lt;0,B132,1)</f>
        <v>8.8027407082563777E-2</v>
      </c>
      <c r="F132" s="122">
        <v>-142599.84</v>
      </c>
      <c r="G132" s="161">
        <f>(F132-D132)/IF(D132&lt;0,D132,1)</f>
        <v>4.8834093824713883E-2</v>
      </c>
      <c r="H132" s="122">
        <v>-140772.51999999999</v>
      </c>
      <c r="I132" s="161">
        <f>(H132-F132)/IF(F132&lt;0,F132,1)</f>
        <v>-1.2814320128269477E-2</v>
      </c>
      <c r="J132" s="122">
        <v>-142218.57999999999</v>
      </c>
      <c r="K132" s="161">
        <f>(J132-H132)/IF(H132&lt;0,H132,1)</f>
        <v>1.0272317352846975E-2</v>
      </c>
      <c r="L132" s="212">
        <f>J132*(1+M132)^12*('Nøgletal slutforbrug'!K133*'Nøgletal sekundær energi'!K138+'Nøgletal slutforbrug'!K134*'Nøgletal sekundær energi'!K142+'Nøgletal slutforbrug'!K135*'Nøgletal sekundær energi'!K141+'Nøgletal slutforbrug'!K136*'Nøgletal sekundær energi'!K140+('Nøgletal slutforbrug'!K137+'Nøgletal slutforbrug'!K138+'Nøgletal slutforbrug'!K139+'Nøgletal slutforbrug'!K140)*'Nøgletal sekundær energi'!K143+'Nøgletal slutforbrug'!K141*'Nøgletal sekundær energi'!K140+'Nøgletal slutforbrug'!K142*'Nøgletal sekundær energi'!K139+'Nøgletal slutforbrug'!K143*'Nøgletal sekundær energi'!K144+'Nøgletal slutforbrug'!K144*'Nøgletal sekundær energi'!K145+'Nøgletal slutforbrug'!K145*'Nøgletal sekundær energi'!K143)/('Nøgletal slutforbrug'!M133*'Nøgletal sekundær energi'!L138+'Nøgletal slutforbrug'!M134*'Nøgletal sekundær energi'!L142+'Nøgletal slutforbrug'!M135*'Nøgletal sekundær energi'!L141+'Nøgletal slutforbrug'!M136*'Nøgletal sekundær energi'!L140+('Nøgletal slutforbrug'!M137+'Nøgletal slutforbrug'!M138+'Nøgletal slutforbrug'!M139+'Nøgletal slutforbrug'!M140)*'Nøgletal sekundær energi'!L143+'Nøgletal slutforbrug'!M141*'Nøgletal sekundær energi'!L140+'Nøgletal slutforbrug'!M142*'Nøgletal sekundær energi'!L139+'Nøgletal slutforbrug'!M143*'Nøgletal sekundær energi'!L144+'Nøgletal slutforbrug'!M144*'Nøgletal sekundær energi'!L145+'Nøgletal slutforbrug'!M145*'Nøgletal sekundær energi'!L143)</f>
        <v>-142218.58892819966</v>
      </c>
      <c r="M132" s="162">
        <v>0</v>
      </c>
    </row>
    <row r="133" spans="1:13" x14ac:dyDescent="0.25">
      <c r="A133" s="115" t="s">
        <v>3</v>
      </c>
      <c r="B133" s="122"/>
      <c r="C133" s="118">
        <f>('Detaljeret opgørelse 2014'!Q58+'Detaljeret opgørelse 2014'!AJ58)/'Detaljeret opgørelse 2014'!C58</f>
        <v>0.16011576467424882</v>
      </c>
      <c r="D133" s="122"/>
      <c r="E133" s="118">
        <v>0.15341084024944335</v>
      </c>
      <c r="F133" s="122"/>
      <c r="G133" s="118">
        <v>0.15304477199974417</v>
      </c>
      <c r="H133" s="122"/>
      <c r="I133" s="118">
        <v>0.14674660935245032</v>
      </c>
      <c r="J133" s="122"/>
      <c r="K133" s="118">
        <v>0.14073505726185706</v>
      </c>
      <c r="L133" s="122">
        <f t="shared" ref="L133:L159" si="11">B133</f>
        <v>0</v>
      </c>
      <c r="M133" s="118">
        <v>0.14073505726185706</v>
      </c>
    </row>
    <row r="134" spans="1:13" x14ac:dyDescent="0.25">
      <c r="A134" s="115" t="s">
        <v>4</v>
      </c>
      <c r="B134" s="122"/>
      <c r="C134" s="118">
        <f>('Detaljeret opgørelse 2014'!R58+'Detaljeret opgørelse 2014'!S58)/'Detaljeret opgørelse 2014'!C58</f>
        <v>1.6005070406304719E-6</v>
      </c>
      <c r="D134" s="122"/>
      <c r="E134" s="118">
        <v>0</v>
      </c>
      <c r="F134" s="122"/>
      <c r="G134" s="118">
        <v>2.8751785415748012E-6</v>
      </c>
      <c r="H134" s="122"/>
      <c r="I134" s="118">
        <v>0</v>
      </c>
      <c r="J134" s="122"/>
      <c r="K134" s="118">
        <v>0</v>
      </c>
      <c r="L134" s="122">
        <f t="shared" si="11"/>
        <v>0</v>
      </c>
      <c r="M134" s="118">
        <v>0</v>
      </c>
    </row>
    <row r="135" spans="1:13" x14ac:dyDescent="0.25">
      <c r="A135" s="115" t="s">
        <v>5</v>
      </c>
      <c r="B135" s="122"/>
      <c r="C135" s="118">
        <f>'Detaljeret opgørelse 2014'!AE58/'Detaljeret opgørelse 2014'!C58</f>
        <v>0</v>
      </c>
      <c r="D135" s="122"/>
      <c r="E135" s="118">
        <v>0</v>
      </c>
      <c r="F135" s="122"/>
      <c r="G135" s="118">
        <v>0</v>
      </c>
      <c r="H135" s="122"/>
      <c r="I135" s="118">
        <v>0</v>
      </c>
      <c r="J135" s="122"/>
      <c r="K135" s="118">
        <v>0</v>
      </c>
      <c r="L135" s="122">
        <f t="shared" si="11"/>
        <v>0</v>
      </c>
      <c r="M135" s="118">
        <v>0</v>
      </c>
    </row>
    <row r="136" spans="1:13" x14ac:dyDescent="0.25">
      <c r="A136" s="115" t="s">
        <v>188</v>
      </c>
      <c r="B136" s="122"/>
      <c r="C136" s="118">
        <f>SUM('Detaljeret opgørelse 2014'!X58:AD58)/'Detaljeret opgørelse 2014'!C58</f>
        <v>0.26489519879897955</v>
      </c>
      <c r="D136" s="122"/>
      <c r="E136" s="118">
        <v>0.29748373680148193</v>
      </c>
      <c r="F136" s="122"/>
      <c r="G136" s="118">
        <v>0.30174528947578066</v>
      </c>
      <c r="H136" s="122"/>
      <c r="I136" s="118">
        <v>0.31190455353076013</v>
      </c>
      <c r="J136" s="122"/>
      <c r="K136" s="118">
        <v>0.32020598152505819</v>
      </c>
      <c r="L136" s="122">
        <f t="shared" si="11"/>
        <v>0</v>
      </c>
      <c r="M136" s="118">
        <v>0.32020598152505819</v>
      </c>
    </row>
    <row r="137" spans="1:13" x14ac:dyDescent="0.25">
      <c r="A137" s="115" t="s">
        <v>7</v>
      </c>
      <c r="B137" s="122"/>
      <c r="C137" s="118">
        <f>'Detaljeret opgørelse 2014'!T58/'Detaljeret opgørelse 2014'!C58</f>
        <v>3.1624418615817493E-3</v>
      </c>
      <c r="D137" s="122"/>
      <c r="E137" s="118">
        <v>2.9899895807851025E-3</v>
      </c>
      <c r="F137" s="122"/>
      <c r="G137" s="118">
        <v>2.8905362025651643E-3</v>
      </c>
      <c r="H137" s="122"/>
      <c r="I137" s="118">
        <v>2.9683350131119342E-3</v>
      </c>
      <c r="J137" s="122"/>
      <c r="K137" s="118">
        <v>2.970076061791645E-3</v>
      </c>
      <c r="L137" s="122">
        <f t="shared" si="11"/>
        <v>0</v>
      </c>
      <c r="M137" s="118">
        <v>2.970076061791645E-3</v>
      </c>
    </row>
    <row r="138" spans="1:13" x14ac:dyDescent="0.25">
      <c r="A138" s="115" t="s">
        <v>8</v>
      </c>
      <c r="B138" s="122"/>
      <c r="C138" s="118">
        <f>'Detaljeret opgørelse 2014'!U58/'Detaljeret opgørelse 2014'!C58</f>
        <v>0</v>
      </c>
      <c r="D138" s="122"/>
      <c r="E138" s="118">
        <v>0</v>
      </c>
      <c r="F138" s="122"/>
      <c r="G138" s="118">
        <v>0</v>
      </c>
      <c r="H138" s="122"/>
      <c r="I138" s="118">
        <v>0</v>
      </c>
      <c r="J138" s="122"/>
      <c r="K138" s="118">
        <v>0</v>
      </c>
      <c r="L138" s="122">
        <f t="shared" si="11"/>
        <v>0</v>
      </c>
      <c r="M138" s="118">
        <v>0</v>
      </c>
    </row>
    <row r="139" spans="1:13" x14ac:dyDescent="0.25">
      <c r="A139" s="115" t="s">
        <v>9</v>
      </c>
      <c r="B139" s="122"/>
      <c r="C139" s="118">
        <f>('Detaljeret opgørelse 2014'!W58+'Detaljeret opgørelse 2014'!AG58)/'Detaljeret opgørelse 2014'!C58</f>
        <v>3.9449457588163934E-2</v>
      </c>
      <c r="D139" s="122"/>
      <c r="E139" s="118">
        <v>4.0627656565142452E-2</v>
      </c>
      <c r="F139" s="122"/>
      <c r="G139" s="118">
        <v>4.3482166599906426E-2</v>
      </c>
      <c r="H139" s="122"/>
      <c r="I139" s="118">
        <v>4.5222959708329437E-2</v>
      </c>
      <c r="J139" s="122"/>
      <c r="K139" s="118">
        <v>5.104670571172909E-2</v>
      </c>
      <c r="L139" s="122">
        <f t="shared" si="11"/>
        <v>0</v>
      </c>
      <c r="M139" s="118">
        <v>5.104670571172909E-2</v>
      </c>
    </row>
    <row r="140" spans="1:13" x14ac:dyDescent="0.25">
      <c r="A140" s="115" t="s">
        <v>10</v>
      </c>
      <c r="B140" s="122"/>
      <c r="C140" s="118">
        <f>('Detaljeret opgørelse 2014'!V58)/'Detaljeret opgørelse 2014'!C58</f>
        <v>0</v>
      </c>
      <c r="D140" s="122"/>
      <c r="E140" s="118">
        <v>0</v>
      </c>
      <c r="F140" s="122"/>
      <c r="G140" s="118">
        <v>0</v>
      </c>
      <c r="H140" s="122"/>
      <c r="I140" s="118">
        <v>0</v>
      </c>
      <c r="J140" s="122"/>
      <c r="K140" s="118">
        <v>0</v>
      </c>
      <c r="L140" s="122">
        <f t="shared" si="11"/>
        <v>0</v>
      </c>
      <c r="M140" s="118">
        <v>0</v>
      </c>
    </row>
    <row r="141" spans="1:13" x14ac:dyDescent="0.25">
      <c r="A141" s="116" t="s">
        <v>11</v>
      </c>
      <c r="B141" s="122"/>
      <c r="C141" s="118">
        <f>'Detaljeret opgørelse 2014'!AF58/'Detaljeret opgørelse 2014'!C58</f>
        <v>7.0662385843835325E-5</v>
      </c>
      <c r="D141" s="122"/>
      <c r="E141" s="118">
        <v>5.0088135996129457E-5</v>
      </c>
      <c r="F141" s="122"/>
      <c r="G141" s="118">
        <v>6.3113675302861489E-6</v>
      </c>
      <c r="H141" s="122"/>
      <c r="I141" s="118">
        <v>0</v>
      </c>
      <c r="J141" s="122"/>
      <c r="K141" s="118">
        <v>0</v>
      </c>
      <c r="L141" s="122">
        <f t="shared" si="11"/>
        <v>0</v>
      </c>
      <c r="M141" s="118">
        <v>0</v>
      </c>
    </row>
    <row r="142" spans="1:13" x14ac:dyDescent="0.25">
      <c r="A142" s="116" t="s">
        <v>12</v>
      </c>
      <c r="B142" s="122"/>
      <c r="C142" s="118">
        <f>SUM('Detaljeret opgørelse 2014'!F58:P58)/'Detaljeret opgørelse 2014'!C58</f>
        <v>7.0812593429598503E-2</v>
      </c>
      <c r="D142" s="122"/>
      <c r="E142" s="118">
        <v>6.6805584628576248E-2</v>
      </c>
      <c r="F142" s="122"/>
      <c r="G142" s="118">
        <v>6.1637656816445244E-2</v>
      </c>
      <c r="H142" s="122"/>
      <c r="I142" s="118">
        <v>5.8063320881092423E-2</v>
      </c>
      <c r="J142" s="122"/>
      <c r="K142" s="118">
        <v>5.8872476437326272E-2</v>
      </c>
      <c r="L142" s="122">
        <f t="shared" si="11"/>
        <v>0</v>
      </c>
      <c r="M142" s="219">
        <f>1-M133-M134-M135-M136-M137-M138-M139-M140-M141-M143-M144-M145</f>
        <v>5.8872406123025356E-2</v>
      </c>
    </row>
    <row r="143" spans="1:13" x14ac:dyDescent="0.25">
      <c r="A143" s="116" t="s">
        <v>13</v>
      </c>
      <c r="B143" s="122"/>
      <c r="C143" s="118">
        <f>'Detaljeret opgørelse 2014'!AH58/'Detaljeret opgørelse 2014'!C58</f>
        <v>0.21914022362284372</v>
      </c>
      <c r="D143" s="122"/>
      <c r="E143" s="118">
        <v>0.20279671262958007</v>
      </c>
      <c r="F143" s="122"/>
      <c r="G143" s="118">
        <v>0.19618261843772056</v>
      </c>
      <c r="H143" s="122"/>
      <c r="I143" s="118">
        <v>0.19220853615464156</v>
      </c>
      <c r="J143" s="122"/>
      <c r="K143" s="118">
        <v>0.18732306285156272</v>
      </c>
      <c r="L143" s="122">
        <f t="shared" si="11"/>
        <v>0</v>
      </c>
      <c r="M143" s="118">
        <v>0.18732306285156272</v>
      </c>
    </row>
    <row r="144" spans="1:13" x14ac:dyDescent="0.25">
      <c r="A144" s="116" t="s">
        <v>14</v>
      </c>
      <c r="B144" s="122"/>
      <c r="C144" s="118">
        <f>'Detaljeret opgørelse 2014'!AI58/'Detaljeret opgørelse 2014'!C58</f>
        <v>0.24235213715705134</v>
      </c>
      <c r="D144" s="122"/>
      <c r="E144" s="118">
        <v>0.23583531785813422</v>
      </c>
      <c r="F144" s="122"/>
      <c r="G144" s="118">
        <v>0.24100777392176598</v>
      </c>
      <c r="H144" s="122"/>
      <c r="I144" s="118">
        <v>0.24288568535961422</v>
      </c>
      <c r="J144" s="122"/>
      <c r="K144" s="118">
        <v>0.23884671046497585</v>
      </c>
      <c r="L144" s="122">
        <f t="shared" si="11"/>
        <v>0</v>
      </c>
      <c r="M144" s="118">
        <v>0.23884671046497585</v>
      </c>
    </row>
    <row r="145" spans="1:13" x14ac:dyDescent="0.25">
      <c r="A145" s="115" t="s">
        <v>15</v>
      </c>
      <c r="B145" s="122"/>
      <c r="C145" s="118">
        <v>0</v>
      </c>
      <c r="D145" s="122"/>
      <c r="E145" s="118">
        <v>0</v>
      </c>
      <c r="F145" s="122"/>
      <c r="G145" s="118">
        <v>0</v>
      </c>
      <c r="H145" s="122"/>
      <c r="I145" s="118">
        <v>0</v>
      </c>
      <c r="J145" s="122"/>
      <c r="K145" s="118">
        <v>0</v>
      </c>
      <c r="L145" s="122">
        <f t="shared" si="11"/>
        <v>0</v>
      </c>
      <c r="M145" s="118">
        <v>0</v>
      </c>
    </row>
    <row r="146" spans="1:13" x14ac:dyDescent="0.25">
      <c r="A146" s="117" t="s">
        <v>138</v>
      </c>
      <c r="B146" s="122">
        <f>'Detaljeret opgørelse 2014'!C59</f>
        <v>-46243.97</v>
      </c>
      <c r="D146" s="122">
        <v>-48373.08</v>
      </c>
      <c r="E146" s="161">
        <f>(D146-B146)/IF(B146&lt;0,B146,1)</f>
        <v>4.6040813537419054E-2</v>
      </c>
      <c r="F146" s="122">
        <v>-51114.400000000001</v>
      </c>
      <c r="G146" s="161">
        <f>(F146-D146)/IF(D146&lt;0,D146,1)</f>
        <v>5.6670362937402366E-2</v>
      </c>
      <c r="H146" s="122">
        <v>-50158.13</v>
      </c>
      <c r="I146" s="161">
        <f>(H146-F146)/IF(F146&lt;0,F146,1)</f>
        <v>-1.870842658820223E-2</v>
      </c>
      <c r="J146" s="122">
        <v>-50033.46</v>
      </c>
      <c r="K146" s="161">
        <f>(J146-H146)/IF(H146&lt;0,H146,1)</f>
        <v>-2.4855392336197196E-3</v>
      </c>
      <c r="L146" s="212">
        <f>J146*(1+M146)^12*('Nøgletal slutforbrug'!K147*'Nøgletal sekundær energi'!K138+'Nøgletal slutforbrug'!K148*'Nøgletal sekundær energi'!K142+'Nøgletal slutforbrug'!K149*'Nøgletal sekundær energi'!K141+'Nøgletal slutforbrug'!K150*'Nøgletal sekundær energi'!K140+('Nøgletal slutforbrug'!K151+'Nøgletal slutforbrug'!K152+'Nøgletal slutforbrug'!K153+'Nøgletal slutforbrug'!K154)*'Nøgletal sekundær energi'!K143+'Nøgletal slutforbrug'!K155*'Nøgletal sekundær energi'!K140+'Nøgletal slutforbrug'!K156*'Nøgletal sekundær energi'!K139+'Nøgletal slutforbrug'!K157*'Nøgletal sekundær energi'!K144+'Nøgletal slutforbrug'!K158*'Nøgletal sekundær energi'!K145+'Nøgletal slutforbrug'!K159*'Nøgletal sekundær energi'!K143)/('Nøgletal slutforbrug'!M147*'Nøgletal sekundær energi'!L138+'Nøgletal slutforbrug'!M148*'Nøgletal sekundær energi'!L142+'Nøgletal slutforbrug'!M149*'Nøgletal sekundær energi'!L141+'Nøgletal slutforbrug'!M150*'Nøgletal sekundær energi'!L140+('Nøgletal slutforbrug'!M151+'Nøgletal slutforbrug'!M152+'Nøgletal slutforbrug'!M153+'Nøgletal slutforbrug'!M154)*'Nøgletal sekundær energi'!L143+'Nøgletal slutforbrug'!M155*'Nøgletal sekundær energi'!L140+'Nøgletal slutforbrug'!M156*'Nøgletal sekundær energi'!L139+'Nøgletal slutforbrug'!M157*'Nøgletal sekundær energi'!L144+'Nøgletal slutforbrug'!M158*'Nøgletal sekundær energi'!L145+'Nøgletal slutforbrug'!M159*'Nøgletal sekundær energi'!L143)</f>
        <v>-50033.460000000006</v>
      </c>
      <c r="M146" s="162">
        <v>0</v>
      </c>
    </row>
    <row r="147" spans="1:13" x14ac:dyDescent="0.25">
      <c r="A147" s="115" t="s">
        <v>3</v>
      </c>
      <c r="B147" s="122"/>
      <c r="C147" s="118">
        <f>('Detaljeret opgørelse 2014'!Q59+'Detaljeret opgørelse 2014'!AJ59)/'Detaljeret opgørelse 2014'!C59</f>
        <v>8.3113106422307598E-2</v>
      </c>
      <c r="D147" s="122"/>
      <c r="E147" s="118">
        <v>8.0983472625683534E-2</v>
      </c>
      <c r="F147" s="122"/>
      <c r="G147" s="118">
        <v>8.2578294961889398E-2</v>
      </c>
      <c r="H147" s="122"/>
      <c r="I147" s="118">
        <v>8.0737459709921411E-2</v>
      </c>
      <c r="J147" s="122"/>
      <c r="K147" s="118">
        <v>7.8415924063616624E-2</v>
      </c>
      <c r="L147" s="122">
        <f t="shared" si="11"/>
        <v>0</v>
      </c>
      <c r="M147" s="118">
        <v>7.8415924063616624E-2</v>
      </c>
    </row>
    <row r="148" spans="1:13" x14ac:dyDescent="0.25">
      <c r="A148" s="115" t="s">
        <v>4</v>
      </c>
      <c r="B148" s="122"/>
      <c r="C148" s="118">
        <f>('Detaljeret opgørelse 2014'!R59+'Detaljeret opgørelse 2014'!S59)/'Detaljeret opgørelse 2014'!C59</f>
        <v>4.3248881962340172E-6</v>
      </c>
      <c r="D148" s="122"/>
      <c r="E148" s="118">
        <v>0</v>
      </c>
      <c r="F148" s="122"/>
      <c r="G148" s="118">
        <v>8.0212229821733208E-6</v>
      </c>
      <c r="H148" s="122"/>
      <c r="I148" s="118">
        <v>0</v>
      </c>
      <c r="J148" s="122"/>
      <c r="K148" s="118">
        <v>0</v>
      </c>
      <c r="L148" s="122">
        <f t="shared" si="11"/>
        <v>0</v>
      </c>
      <c r="M148" s="118">
        <v>0</v>
      </c>
    </row>
    <row r="149" spans="1:13" x14ac:dyDescent="0.25">
      <c r="A149" s="115" t="s">
        <v>5</v>
      </c>
      <c r="B149" s="122"/>
      <c r="C149" s="118">
        <f>'Detaljeret opgørelse 2014'!AE59/'Detaljeret opgørelse 2014'!C59</f>
        <v>0</v>
      </c>
      <c r="D149" s="122"/>
      <c r="E149" s="118">
        <v>0</v>
      </c>
      <c r="F149" s="122"/>
      <c r="G149" s="118">
        <v>0</v>
      </c>
      <c r="H149" s="122"/>
      <c r="I149" s="118">
        <v>0</v>
      </c>
      <c r="J149" s="122"/>
      <c r="K149" s="118">
        <v>0</v>
      </c>
      <c r="L149" s="122">
        <f t="shared" si="11"/>
        <v>0</v>
      </c>
      <c r="M149" s="118">
        <v>0</v>
      </c>
    </row>
    <row r="150" spans="1:13" x14ac:dyDescent="0.25">
      <c r="A150" s="115" t="s">
        <v>188</v>
      </c>
      <c r="B150" s="122"/>
      <c r="C150" s="118">
        <f>SUM('Detaljeret opgørelse 2014'!X59:AD59)/'Detaljeret opgørelse 2014'!C59</f>
        <v>0</v>
      </c>
      <c r="D150" s="122"/>
      <c r="E150" s="118">
        <v>8.1863714280752849E-4</v>
      </c>
      <c r="F150" s="122"/>
      <c r="G150" s="118">
        <v>2.4437340553738278E-3</v>
      </c>
      <c r="H150" s="122"/>
      <c r="I150" s="118">
        <v>4.2631174647061211E-3</v>
      </c>
      <c r="J150" s="122"/>
      <c r="K150" s="118">
        <v>5.7719374194788852E-3</v>
      </c>
      <c r="L150" s="122">
        <f t="shared" si="11"/>
        <v>0</v>
      </c>
      <c r="M150" s="118">
        <v>5.7719374194788852E-3</v>
      </c>
    </row>
    <row r="151" spans="1:13" x14ac:dyDescent="0.25">
      <c r="A151" s="115" t="s">
        <v>7</v>
      </c>
      <c r="B151" s="122"/>
      <c r="C151" s="118">
        <f>'Detaljeret opgørelse 2014'!T59/'Detaljeret opgørelse 2014'!C59</f>
        <v>1.8311576622854829E-3</v>
      </c>
      <c r="D151" s="122"/>
      <c r="E151" s="118">
        <v>1.8007949876253486E-3</v>
      </c>
      <c r="F151" s="122"/>
      <c r="G151" s="118">
        <v>1.728084453696023E-3</v>
      </c>
      <c r="H151" s="122"/>
      <c r="I151" s="118">
        <v>1.7851542711022125E-3</v>
      </c>
      <c r="J151" s="122"/>
      <c r="K151" s="118">
        <v>1.8089894242772737E-3</v>
      </c>
      <c r="L151" s="122">
        <f t="shared" si="11"/>
        <v>0</v>
      </c>
      <c r="M151" s="118">
        <v>1.8089894242772737E-3</v>
      </c>
    </row>
    <row r="152" spans="1:13" x14ac:dyDescent="0.25">
      <c r="A152" s="115" t="s">
        <v>8</v>
      </c>
      <c r="B152" s="122"/>
      <c r="C152" s="118">
        <f>'Detaljeret opgørelse 2014'!U59/'Detaljeret opgørelse 2014'!C59</f>
        <v>0</v>
      </c>
      <c r="D152" s="122"/>
      <c r="E152" s="118">
        <v>0</v>
      </c>
      <c r="F152" s="122"/>
      <c r="G152" s="118">
        <v>0</v>
      </c>
      <c r="H152" s="122"/>
      <c r="I152" s="118">
        <v>0</v>
      </c>
      <c r="J152" s="122"/>
      <c r="K152" s="118">
        <v>0</v>
      </c>
      <c r="L152" s="122">
        <f t="shared" si="11"/>
        <v>0</v>
      </c>
      <c r="M152" s="118">
        <v>0</v>
      </c>
    </row>
    <row r="153" spans="1:13" x14ac:dyDescent="0.25">
      <c r="A153" s="115" t="s">
        <v>9</v>
      </c>
      <c r="B153" s="122"/>
      <c r="C153" s="118">
        <f>('Detaljeret opgørelse 2014'!W59+'Detaljeret opgørelse 2014'!AG59)/'Detaljeret opgørelse 2014'!C59</f>
        <v>0</v>
      </c>
      <c r="D153" s="122"/>
      <c r="E153" s="118">
        <v>0</v>
      </c>
      <c r="F153" s="122"/>
      <c r="G153" s="118">
        <v>0</v>
      </c>
      <c r="H153" s="122"/>
      <c r="I153" s="118">
        <v>0</v>
      </c>
      <c r="J153" s="122"/>
      <c r="K153" s="118">
        <v>0</v>
      </c>
      <c r="L153" s="122">
        <f t="shared" si="11"/>
        <v>0</v>
      </c>
      <c r="M153" s="118">
        <v>0</v>
      </c>
    </row>
    <row r="154" spans="1:13" x14ac:dyDescent="0.25">
      <c r="A154" s="115" t="s">
        <v>10</v>
      </c>
      <c r="B154" s="122"/>
      <c r="C154" s="118">
        <f>('Detaljeret opgørelse 2014'!V59)/'Detaljeret opgørelse 2014'!C59</f>
        <v>0</v>
      </c>
      <c r="D154" s="122"/>
      <c r="E154" s="118">
        <v>0</v>
      </c>
      <c r="F154" s="122"/>
      <c r="G154" s="118">
        <v>0</v>
      </c>
      <c r="H154" s="122"/>
      <c r="I154" s="118">
        <v>0</v>
      </c>
      <c r="J154" s="122"/>
      <c r="K154" s="118">
        <v>0</v>
      </c>
      <c r="L154" s="122">
        <f t="shared" si="11"/>
        <v>0</v>
      </c>
      <c r="M154" s="118">
        <v>0</v>
      </c>
    </row>
    <row r="155" spans="1:13" x14ac:dyDescent="0.25">
      <c r="A155" s="116" t="s">
        <v>11</v>
      </c>
      <c r="B155" s="122"/>
      <c r="C155" s="118">
        <f>'Detaljeret opgørelse 2014'!AF59/'Detaljeret opgørelse 2014'!C59</f>
        <v>0</v>
      </c>
      <c r="D155" s="122"/>
      <c r="E155" s="118">
        <v>0</v>
      </c>
      <c r="F155" s="122"/>
      <c r="G155" s="118">
        <v>0</v>
      </c>
      <c r="H155" s="122"/>
      <c r="I155" s="118">
        <v>0</v>
      </c>
      <c r="J155" s="122"/>
      <c r="K155" s="118">
        <v>0</v>
      </c>
      <c r="L155" s="122">
        <f t="shared" si="11"/>
        <v>0</v>
      </c>
      <c r="M155" s="118">
        <v>0</v>
      </c>
    </row>
    <row r="156" spans="1:13" x14ac:dyDescent="0.25">
      <c r="A156" s="116" t="s">
        <v>12</v>
      </c>
      <c r="B156" s="122"/>
      <c r="C156" s="118">
        <f>SUM('Detaljeret opgørelse 2014'!F59:P59)/'Detaljeret opgørelse 2014'!C59</f>
        <v>3.3722666976905319E-2</v>
      </c>
      <c r="D156" s="122"/>
      <c r="E156" s="118">
        <v>3.3737359705026018E-2</v>
      </c>
      <c r="F156" s="122"/>
      <c r="G156" s="118">
        <v>3.0123800729344372E-2</v>
      </c>
      <c r="H156" s="122"/>
      <c r="I156" s="118">
        <v>2.9663984682044571E-2</v>
      </c>
      <c r="J156" s="122"/>
      <c r="K156" s="118">
        <v>3.1145557392992608E-2</v>
      </c>
      <c r="L156" s="122">
        <f t="shared" si="11"/>
        <v>0</v>
      </c>
      <c r="M156" s="219">
        <f>1-M147-M148-M149-M150-M151-M152-M153-M154-M155-M157-M158-M159</f>
        <v>3.1145557392992518E-2</v>
      </c>
    </row>
    <row r="157" spans="1:13" x14ac:dyDescent="0.25">
      <c r="A157" s="116" t="s">
        <v>13</v>
      </c>
      <c r="B157" s="122"/>
      <c r="C157" s="118">
        <f>'Detaljeret opgørelse 2014'!AH59/'Detaljeret opgørelse 2014'!C59</f>
        <v>0.1943985345548836</v>
      </c>
      <c r="D157" s="122"/>
      <c r="E157" s="118">
        <v>0.18736950386454612</v>
      </c>
      <c r="F157" s="122"/>
      <c r="G157" s="118">
        <v>0.17784812107742631</v>
      </c>
      <c r="H157" s="122"/>
      <c r="I157" s="118">
        <v>0.16851625050614924</v>
      </c>
      <c r="J157" s="122"/>
      <c r="K157" s="118">
        <v>0.17072055380539342</v>
      </c>
      <c r="L157" s="122">
        <f t="shared" si="11"/>
        <v>0</v>
      </c>
      <c r="M157" s="118">
        <v>0.17072055380539342</v>
      </c>
    </row>
    <row r="158" spans="1:13" x14ac:dyDescent="0.25">
      <c r="A158" s="116" t="s">
        <v>14</v>
      </c>
      <c r="B158" s="122"/>
      <c r="C158" s="118">
        <f>'Detaljeret opgørelse 2014'!AI59/'Detaljeret opgørelse 2014'!C59</f>
        <v>0.68693020949542183</v>
      </c>
      <c r="D158" s="122"/>
      <c r="E158" s="118">
        <v>0.69528981822120894</v>
      </c>
      <c r="F158" s="122"/>
      <c r="G158" s="118">
        <v>0.70526974785970298</v>
      </c>
      <c r="H158" s="122"/>
      <c r="I158" s="118">
        <v>0.71503443210502471</v>
      </c>
      <c r="J158" s="122"/>
      <c r="K158" s="118">
        <v>0.71213703789424121</v>
      </c>
      <c r="L158" s="122">
        <f t="shared" si="11"/>
        <v>0</v>
      </c>
      <c r="M158" s="118">
        <v>0.71213703789424121</v>
      </c>
    </row>
    <row r="159" spans="1:13" x14ac:dyDescent="0.25">
      <c r="A159" s="115" t="s">
        <v>15</v>
      </c>
      <c r="B159" s="122"/>
      <c r="C159" s="118">
        <v>0</v>
      </c>
      <c r="D159" s="122"/>
      <c r="E159" s="118">
        <v>0</v>
      </c>
      <c r="F159" s="122"/>
      <c r="G159" s="118">
        <v>0</v>
      </c>
      <c r="H159" s="122"/>
      <c r="I159" s="118">
        <v>0</v>
      </c>
      <c r="J159" s="122"/>
      <c r="K159" s="118">
        <v>0</v>
      </c>
      <c r="L159" s="122">
        <f t="shared" si="11"/>
        <v>0</v>
      </c>
      <c r="M159" s="118">
        <v>0</v>
      </c>
    </row>
  </sheetData>
  <mergeCells count="18">
    <mergeCell ref="B3:C3"/>
    <mergeCell ref="B1:C1"/>
    <mergeCell ref="B2:C2"/>
    <mergeCell ref="F3:G3"/>
    <mergeCell ref="F1:G1"/>
    <mergeCell ref="F2:G2"/>
    <mergeCell ref="D3:E3"/>
    <mergeCell ref="D1:E1"/>
    <mergeCell ref="D2:E2"/>
    <mergeCell ref="L3:M3"/>
    <mergeCell ref="L1:M1"/>
    <mergeCell ref="L2:M2"/>
    <mergeCell ref="H3:I3"/>
    <mergeCell ref="H1:I1"/>
    <mergeCell ref="H2:I2"/>
    <mergeCell ref="J3:K3"/>
    <mergeCell ref="J1:K1"/>
    <mergeCell ref="J2:K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5"/>
  <sheetViews>
    <sheetView workbookViewId="0">
      <selection activeCell="F19" sqref="F19"/>
    </sheetView>
  </sheetViews>
  <sheetFormatPr defaultRowHeight="15" x14ac:dyDescent="0.25"/>
  <cols>
    <col min="1" max="1" width="32.5703125" customWidth="1"/>
  </cols>
  <sheetData>
    <row r="2" spans="1:7" x14ac:dyDescent="0.25">
      <c r="B2" s="224">
        <v>2014</v>
      </c>
      <c r="C2" s="224">
        <v>2015</v>
      </c>
      <c r="D2" s="224">
        <v>2016</v>
      </c>
      <c r="E2" s="224">
        <v>2017</v>
      </c>
      <c r="F2" s="224">
        <v>2018</v>
      </c>
      <c r="G2" s="224">
        <v>2030</v>
      </c>
    </row>
    <row r="3" spans="1:7" x14ac:dyDescent="0.25">
      <c r="A3" s="54" t="s">
        <v>191</v>
      </c>
    </row>
    <row r="4" spans="1:7" x14ac:dyDescent="0.25">
      <c r="A4" t="s">
        <v>14</v>
      </c>
      <c r="B4" s="130">
        <f>'Detaljeret opgørelse 2014'!AI41/SUM('Detaljeret opgørelse 2014'!AI43:AI59)</f>
        <v>0.25150763059537495</v>
      </c>
      <c r="C4" s="130">
        <v>0.25142817643170684</v>
      </c>
      <c r="D4" s="130">
        <v>0.25134417822164618</v>
      </c>
      <c r="E4" s="130">
        <v>0.25142880653441041</v>
      </c>
      <c r="F4" s="130">
        <v>0.25143275723255026</v>
      </c>
      <c r="G4" s="118">
        <v>0.25</v>
      </c>
    </row>
    <row r="5" spans="1:7" x14ac:dyDescent="0.25">
      <c r="A5" t="s">
        <v>13</v>
      </c>
      <c r="B5" s="130">
        <f>('Detaljeret opgørelse 2014'!AH41+'Detaljeret opgørelse 2014'!AH20)/SUM('Detaljeret opgørelse 2014'!AH43:AH59)</f>
        <v>8.5648719667442794E-2</v>
      </c>
      <c r="C5" s="130">
        <v>8.4083483846017507E-2</v>
      </c>
      <c r="D5" s="130">
        <v>8.4083483846017507E-2</v>
      </c>
      <c r="E5" s="130">
        <v>8.4083483846017507E-2</v>
      </c>
      <c r="F5" s="130">
        <v>9.1619613497516378E-2</v>
      </c>
      <c r="G5" s="118">
        <v>9.1619613497516378E-2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5"/>
  <sheetViews>
    <sheetView tabSelected="1" workbookViewId="0">
      <pane ySplit="1" topLeftCell="A2" activePane="bottomLeft" state="frozen"/>
      <selection pane="bottomLeft" activeCell="O100" sqref="O100"/>
    </sheetView>
  </sheetViews>
  <sheetFormatPr defaultRowHeight="15" x14ac:dyDescent="0.25"/>
  <cols>
    <col min="1" max="1" width="62" customWidth="1"/>
    <col min="2" max="2" width="14" hidden="1" customWidth="1"/>
    <col min="3" max="3" width="15" hidden="1" customWidth="1"/>
    <col min="4" max="4" width="13.140625" hidden="1" customWidth="1"/>
    <col min="5" max="5" width="12.85546875" hidden="1" customWidth="1"/>
    <col min="6" max="6" width="13.7109375" hidden="1" customWidth="1"/>
    <col min="7" max="7" width="15" hidden="1" customWidth="1"/>
    <col min="8" max="8" width="14.42578125" customWidth="1"/>
    <col min="9" max="9" width="14" customWidth="1"/>
    <col min="10" max="10" width="13.85546875" customWidth="1"/>
    <col min="11" max="11" width="13.42578125" customWidth="1"/>
    <col min="12" max="12" width="12.42578125" customWidth="1"/>
    <col min="13" max="13" width="14.140625" customWidth="1"/>
    <col min="14" max="14" width="20.28515625" customWidth="1"/>
  </cols>
  <sheetData>
    <row r="1" spans="1:14" ht="18" x14ac:dyDescent="0.35">
      <c r="A1" t="s">
        <v>192</v>
      </c>
      <c r="B1" s="234">
        <f>'Meta data'!B8</f>
        <v>35.263830960962011</v>
      </c>
      <c r="C1" s="234"/>
      <c r="D1" s="234">
        <v>35907.187399280949</v>
      </c>
      <c r="E1" s="234"/>
      <c r="F1" s="234">
        <v>37379.864043995927</v>
      </c>
      <c r="G1" s="238"/>
      <c r="H1" s="234">
        <v>35197.416827349538</v>
      </c>
      <c r="I1" s="234"/>
      <c r="J1" s="234">
        <v>35274.112844867741</v>
      </c>
      <c r="K1" s="234"/>
      <c r="L1" s="239">
        <f>'Meta data'!B8</f>
        <v>35.263830960962011</v>
      </c>
      <c r="M1" s="239"/>
      <c r="N1" s="225">
        <v>12.5</v>
      </c>
    </row>
    <row r="2" spans="1:14" ht="18" x14ac:dyDescent="0.35">
      <c r="A2" t="s">
        <v>473</v>
      </c>
      <c r="B2" s="234">
        <f>Energibalance!AR11+Energibalance!AR5</f>
        <v>11.397356773858293</v>
      </c>
      <c r="C2" s="234"/>
      <c r="D2" s="234">
        <f>D1-'Nøgletal slutforbrug'!D2</f>
        <v>12891.417129280951</v>
      </c>
      <c r="E2" s="234"/>
      <c r="F2" s="234">
        <f>F1-'Nøgletal slutforbrug'!F2</f>
        <v>13920.815223995927</v>
      </c>
      <c r="G2" s="234"/>
      <c r="H2" s="234">
        <f>H1-'Nøgletal slutforbrug'!H2</f>
        <v>11511.360377349538</v>
      </c>
      <c r="I2" s="234"/>
      <c r="J2" s="234">
        <f>J1-'Nøgletal slutforbrug'!J2</f>
        <v>11407.636574867742</v>
      </c>
      <c r="K2" s="234"/>
      <c r="L2" s="239">
        <f>Energibalance!AR11+Energibalance!AR5</f>
        <v>11.397356773858293</v>
      </c>
      <c r="M2" s="239"/>
      <c r="N2" s="225"/>
    </row>
    <row r="3" spans="1:14" x14ac:dyDescent="0.25">
      <c r="B3" s="238">
        <v>2014</v>
      </c>
      <c r="C3" s="238"/>
      <c r="D3" s="238">
        <v>2015</v>
      </c>
      <c r="E3" s="238"/>
      <c r="F3" s="238">
        <v>2016</v>
      </c>
      <c r="G3" s="238"/>
      <c r="H3" s="238">
        <v>2017</v>
      </c>
      <c r="I3" s="238"/>
      <c r="J3" s="240">
        <v>2018</v>
      </c>
      <c r="K3" s="240"/>
      <c r="L3" s="238">
        <v>2030</v>
      </c>
      <c r="M3" s="238"/>
      <c r="N3" s="225" t="s">
        <v>472</v>
      </c>
    </row>
    <row r="4" spans="1:14" ht="30" x14ac:dyDescent="0.25">
      <c r="B4" s="224" t="s">
        <v>193</v>
      </c>
      <c r="C4" s="120" t="s">
        <v>194</v>
      </c>
      <c r="D4" s="224" t="s">
        <v>193</v>
      </c>
      <c r="E4" s="120" t="s">
        <v>194</v>
      </c>
      <c r="F4" s="224" t="s">
        <v>193</v>
      </c>
      <c r="G4" s="120" t="s">
        <v>194</v>
      </c>
      <c r="H4" s="224" t="s">
        <v>193</v>
      </c>
      <c r="I4" s="120" t="s">
        <v>194</v>
      </c>
      <c r="J4" s="224" t="s">
        <v>193</v>
      </c>
      <c r="K4" s="120" t="s">
        <v>194</v>
      </c>
      <c r="L4" s="224" t="s">
        <v>193</v>
      </c>
      <c r="M4" s="120" t="s">
        <v>194</v>
      </c>
    </row>
    <row r="5" spans="1:14" x14ac:dyDescent="0.25">
      <c r="A5" t="s">
        <v>243</v>
      </c>
      <c r="B5" s="138">
        <f>'Detaljeret opgørelse 2014'!AI19/SUM('Detaljeret opgørelse 2014'!F43:P59)</f>
        <v>2.2651280928426849E-3</v>
      </c>
      <c r="D5" s="138">
        <v>2.2283493546612775E-3</v>
      </c>
      <c r="F5" s="138">
        <v>2.1938187835123506E-3</v>
      </c>
      <c r="H5" s="138">
        <v>2.308878363060895E-3</v>
      </c>
      <c r="J5" s="138">
        <v>2.2708743163090263E-3</v>
      </c>
      <c r="L5" s="138">
        <v>2.2708743163090263E-3</v>
      </c>
    </row>
    <row r="6" spans="1:14" x14ac:dyDescent="0.25">
      <c r="A6" s="54" t="s">
        <v>195</v>
      </c>
      <c r="B6" s="142"/>
      <c r="D6" s="142"/>
      <c r="F6" s="142"/>
      <c r="H6" s="142"/>
      <c r="J6" s="142"/>
      <c r="L6" s="142"/>
    </row>
    <row r="7" spans="1:14" x14ac:dyDescent="0.25">
      <c r="A7" s="142" t="s">
        <v>196</v>
      </c>
      <c r="B7" s="142"/>
      <c r="C7" s="136">
        <f>('Detaljeret opgørelse 2014'!AI9+'Detaljeret opgørelse 2014'!AI10)/('Detaljeret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1.1714378692133745E-3</v>
      </c>
      <c r="D7" s="142"/>
      <c r="E7" s="136">
        <v>1.184586390637087E-3</v>
      </c>
      <c r="F7" s="142"/>
      <c r="G7" s="136">
        <v>9.4911070585766862E-4</v>
      </c>
      <c r="H7" s="142"/>
      <c r="I7" s="136">
        <v>9.1622956207943981E-4</v>
      </c>
      <c r="J7" s="142"/>
      <c r="K7" s="136">
        <v>8.4595295124458361E-4</v>
      </c>
      <c r="L7" s="142"/>
      <c r="M7" s="220">
        <f>1-M8-M9-M10-M11-M12</f>
        <v>8.4595295124478831E-4</v>
      </c>
    </row>
    <row r="8" spans="1:14" x14ac:dyDescent="0.25">
      <c r="A8" t="s">
        <v>197</v>
      </c>
      <c r="B8" s="2"/>
      <c r="C8" s="136">
        <f>'Detaljeret opgørelse 2014'!AI25/('Detaljeret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0.40594709560447229</v>
      </c>
      <c r="D8" s="2"/>
      <c r="E8" s="136">
        <v>0.39906079502824549</v>
      </c>
      <c r="F8" s="2"/>
      <c r="G8" s="136">
        <v>0.38805696560234693</v>
      </c>
      <c r="H8" s="2"/>
      <c r="I8" s="136">
        <v>0.37912733687963196</v>
      </c>
      <c r="J8" s="2"/>
      <c r="K8" s="136">
        <v>0.34972687613093667</v>
      </c>
      <c r="L8" s="2"/>
      <c r="M8" s="136">
        <v>0.34972687613093667</v>
      </c>
    </row>
    <row r="9" spans="1:14" x14ac:dyDescent="0.25">
      <c r="A9" t="s">
        <v>198</v>
      </c>
      <c r="B9" s="2"/>
      <c r="C9" s="136">
        <f>('Detaljeret opgørelse 2014'!AI30+'Detaljeret opgørelse 2014'!AI31)/('Detaljeret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0.12347416710111674</v>
      </c>
      <c r="D9" s="2"/>
      <c r="E9" s="136">
        <v>0.12035378849748443</v>
      </c>
      <c r="F9" s="2"/>
      <c r="G9" s="136">
        <v>0.13385867826761635</v>
      </c>
      <c r="H9" s="2"/>
      <c r="I9" s="136">
        <v>0.1324499648250482</v>
      </c>
      <c r="J9" s="2"/>
      <c r="K9" s="136">
        <v>0.13579571816055008</v>
      </c>
      <c r="L9" s="2"/>
      <c r="M9" s="136">
        <v>0.13579571816055008</v>
      </c>
    </row>
    <row r="10" spans="1:14" x14ac:dyDescent="0.25">
      <c r="A10" t="s">
        <v>199</v>
      </c>
      <c r="B10" s="2"/>
      <c r="C10" s="136">
        <f>'Detaljeret opgørelse 2014'!AI37/('Detaljeret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0.15879014235572661</v>
      </c>
      <c r="D10" s="2"/>
      <c r="E10" s="136">
        <v>0.15460461056535582</v>
      </c>
      <c r="F10" s="2"/>
      <c r="G10" s="136">
        <v>0.14311522944593935</v>
      </c>
      <c r="H10" s="2"/>
      <c r="I10" s="136">
        <v>0.16845466192691505</v>
      </c>
      <c r="J10" s="2"/>
      <c r="K10" s="136">
        <v>0.17593950929661456</v>
      </c>
      <c r="L10" s="2"/>
      <c r="M10" s="136">
        <v>0.17593950929661456</v>
      </c>
    </row>
    <row r="11" spans="1:14" x14ac:dyDescent="0.25">
      <c r="A11" t="s">
        <v>200</v>
      </c>
      <c r="B11" s="2"/>
      <c r="C11" s="136">
        <f>'Detaljeret opgørelse 2014'!AI38/('Detaljeret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4.6341570727916934E-2</v>
      </c>
      <c r="D11" s="2"/>
      <c r="E11" s="136">
        <v>4.6936413693217688E-2</v>
      </c>
      <c r="F11" s="2"/>
      <c r="G11" s="136">
        <v>5.5031608756348001E-2</v>
      </c>
      <c r="H11" s="2"/>
      <c r="I11" s="136">
        <v>4.7500734708892017E-2</v>
      </c>
      <c r="J11" s="2"/>
      <c r="K11" s="136">
        <v>4.9406275462610019E-2</v>
      </c>
      <c r="L11" s="2"/>
      <c r="M11" s="136">
        <v>4.9406275462610019E-2</v>
      </c>
    </row>
    <row r="12" spans="1:14" x14ac:dyDescent="0.25">
      <c r="A12" t="s">
        <v>201</v>
      </c>
      <c r="B12" s="2"/>
      <c r="C12" s="136">
        <f>('Detaljeret opgørelse 2014'!AI33+'Detaljeret opgørelse 2014'!AI34)/('Detaljeret opgørelse 2014'!AI25+'Detaljeret opgørelse 2014'!AI30+'Detaljeret opgørelse 2014'!AI33+'Detaljeret opgørelse 2014'!AI37+'Detaljeret opgørelse 2014'!AI38+'Detaljeret opgørelse 2014'!AI9+'Detaljeret opgørelse 2014'!AI10+'Detaljeret opgørelse 2014'!AI31+'Detaljeret opgørelse 2014'!AI34)</f>
        <v>0.26427558634155413</v>
      </c>
      <c r="D12" s="2"/>
      <c r="E12" s="136">
        <v>0.27785980582505937</v>
      </c>
      <c r="F12" s="2"/>
      <c r="G12" s="136">
        <v>0.27898840722189189</v>
      </c>
      <c r="H12" s="2"/>
      <c r="I12" s="136">
        <v>0.2715510720974334</v>
      </c>
      <c r="J12" s="2"/>
      <c r="K12" s="136">
        <v>0.28828566799804395</v>
      </c>
      <c r="L12" s="2"/>
      <c r="M12" s="136">
        <v>0.28828566799804395</v>
      </c>
    </row>
    <row r="13" spans="1:14" x14ac:dyDescent="0.25">
      <c r="A13" s="54" t="s">
        <v>202</v>
      </c>
      <c r="B13" s="142"/>
      <c r="D13" s="142"/>
      <c r="F13" s="142"/>
      <c r="H13" s="142"/>
      <c r="J13" s="142"/>
      <c r="L13" s="142"/>
    </row>
    <row r="14" spans="1:14" x14ac:dyDescent="0.25">
      <c r="A14" t="s">
        <v>203</v>
      </c>
      <c r="B14" s="2"/>
      <c r="D14" s="2"/>
      <c r="F14" s="2"/>
      <c r="H14" s="2"/>
      <c r="J14" s="2"/>
      <c r="L14" s="2"/>
    </row>
    <row r="15" spans="1:14" x14ac:dyDescent="0.25">
      <c r="A15" s="141" t="s">
        <v>204</v>
      </c>
      <c r="B15" s="141"/>
      <c r="C15" s="136">
        <f>('Detaljeret opgørelse 2014'!AH9+'Detaljeret opgørelse 2014'!AH10)/('Detaljeret opgørelse 2014'!AH22+'Detaljeret opgørelse 2014'!AH27+'Detaljeret opgørelse 2014'!AH28+'Detaljeret opgørelse 2014'!AH36+'Detaljeret opgørelse 2014'!AH9+'Detaljeret opgørelse 2014'!AH10+'Detaljeret opgørelse 2014'!AH23)</f>
        <v>0.17233635289259533</v>
      </c>
      <c r="D15" s="141"/>
      <c r="E15" s="136">
        <v>0.28584877555148602</v>
      </c>
      <c r="F15" s="141"/>
      <c r="G15" s="136">
        <v>0.27169747007237793</v>
      </c>
      <c r="H15" s="141"/>
      <c r="I15" s="136">
        <v>0.22661248088542632</v>
      </c>
      <c r="J15" s="141"/>
      <c r="K15" s="136">
        <v>0.25988481271702973</v>
      </c>
      <c r="L15" s="141"/>
      <c r="M15" s="220">
        <f>1-M16-M17-M18-M19</f>
        <v>0.25988481271702979</v>
      </c>
      <c r="N15" t="s">
        <v>474</v>
      </c>
    </row>
    <row r="16" spans="1:14" x14ac:dyDescent="0.25">
      <c r="A16" t="s">
        <v>205</v>
      </c>
      <c r="B16" s="2"/>
      <c r="C16" s="136">
        <f>('Detaljeret opgørelse 2014'!AH22+'Detaljeret opgørelse 2014'!AH23)/('Detaljeret opgørelse 2014'!AH22+'Detaljeret opgørelse 2014'!AH27+'Detaljeret opgørelse 2014'!AH28+'Detaljeret opgørelse 2014'!AH36+'Detaljeret opgørelse 2014'!AH9+'Detaljeret opgørelse 2014'!AH10+'Detaljeret opgørelse 2014'!AH23)</f>
        <v>1.2933064433787789E-3</v>
      </c>
      <c r="D16" s="2"/>
      <c r="E16" s="136">
        <v>6.3021603838031776E-4</v>
      </c>
      <c r="F16" s="2"/>
      <c r="G16" s="136">
        <v>5.5397478399908326E-4</v>
      </c>
      <c r="H16" s="2"/>
      <c r="I16" s="136">
        <v>1.0634076835757871E-3</v>
      </c>
      <c r="J16" s="2"/>
      <c r="K16" s="136">
        <v>5.3268591152853915E-4</v>
      </c>
      <c r="L16" s="2"/>
      <c r="M16" s="136">
        <v>5.3268591152853915E-4</v>
      </c>
    </row>
    <row r="17" spans="1:16" x14ac:dyDescent="0.25">
      <c r="A17" t="s">
        <v>206</v>
      </c>
      <c r="B17" s="2"/>
      <c r="C17" s="136">
        <f>'Detaljeret opgørelse 2014'!AH27/('Detaljeret opgørelse 2014'!AH22+'Detaljeret opgørelse 2014'!AH27+'Detaljeret opgørelse 2014'!AH28+'Detaljeret opgørelse 2014'!AH36+'Detaljeret opgørelse 2014'!AH9+'Detaljeret opgørelse 2014'!AH10+'Detaljeret opgørelse 2014'!AH23)</f>
        <v>0.78937312527988235</v>
      </c>
      <c r="D17" s="2"/>
      <c r="E17" s="136">
        <v>0.68339394170582224</v>
      </c>
      <c r="F17" s="2"/>
      <c r="G17" s="136">
        <v>0.68671129108658768</v>
      </c>
      <c r="H17" s="2"/>
      <c r="I17" s="136">
        <v>0.73406585401790969</v>
      </c>
      <c r="J17" s="2"/>
      <c r="K17" s="136">
        <v>0.69139577526872653</v>
      </c>
      <c r="L17" s="2"/>
      <c r="M17" s="136">
        <v>0.69139577526872653</v>
      </c>
      <c r="N17" t="s">
        <v>483</v>
      </c>
      <c r="O17" s="122">
        <f>Energibalance!AM22/3.6*1000000/3000</f>
        <v>4638.9379287214251</v>
      </c>
      <c r="P17" t="s">
        <v>484</v>
      </c>
    </row>
    <row r="18" spans="1:16" x14ac:dyDescent="0.25">
      <c r="A18" t="s">
        <v>207</v>
      </c>
      <c r="B18" s="2"/>
      <c r="C18" s="136">
        <f>'Detaljeret opgørelse 2014'!AH28/('Detaljeret opgørelse 2014'!AH22+'Detaljeret opgørelse 2014'!AH27+'Detaljeret opgørelse 2014'!AH28+'Detaljeret opgørelse 2014'!AH36+'Detaljeret opgørelse 2014'!AH9+'Detaljeret opgørelse 2014'!AH10+'Detaljeret opgørelse 2014'!AH23)</f>
        <v>9.115513524307001E-4</v>
      </c>
      <c r="D18" s="2"/>
      <c r="E18" s="136">
        <v>8.71852579950265E-4</v>
      </c>
      <c r="F18" s="2"/>
      <c r="G18" s="136">
        <v>1.0354194642741483E-3</v>
      </c>
      <c r="H18" s="2"/>
      <c r="I18" s="136">
        <v>8.8764465959089442E-4</v>
      </c>
      <c r="J18" s="2"/>
      <c r="K18" s="136">
        <v>7.3926579161548228E-4</v>
      </c>
      <c r="L18" s="2"/>
      <c r="M18" s="136">
        <v>7.3926579161548228E-4</v>
      </c>
    </row>
    <row r="19" spans="1:16" x14ac:dyDescent="0.25">
      <c r="A19" t="s">
        <v>208</v>
      </c>
      <c r="B19" s="2"/>
      <c r="C19" s="136">
        <f>'Detaljeret opgørelse 2014'!AH36/('Detaljeret opgørelse 2014'!AH22+'Detaljeret opgørelse 2014'!AH27+'Detaljeret opgørelse 2014'!AH28+'Detaljeret opgørelse 2014'!AH36+'Detaljeret opgørelse 2014'!AH9+'Detaljeret opgørelse 2014'!AH10+'Detaljeret opgørelse 2014'!AH23)</f>
        <v>3.6085664031712657E-2</v>
      </c>
      <c r="D19" s="2"/>
      <c r="E19" s="136">
        <v>2.925521412436102E-2</v>
      </c>
      <c r="F19" s="2"/>
      <c r="G19" s="136">
        <v>4.0001844592761383E-2</v>
      </c>
      <c r="H19" s="2"/>
      <c r="I19" s="136">
        <v>3.737061275349747E-2</v>
      </c>
      <c r="J19" s="2"/>
      <c r="K19" s="136">
        <v>4.7447460311099622E-2</v>
      </c>
      <c r="L19" s="2"/>
      <c r="M19" s="136">
        <v>4.7447460311099622E-2</v>
      </c>
    </row>
    <row r="20" spans="1:16" x14ac:dyDescent="0.25">
      <c r="A20" t="s">
        <v>209</v>
      </c>
      <c r="B20" s="2"/>
      <c r="C20" s="137">
        <f>1-C21-C22</f>
        <v>3.9445257509233E-3</v>
      </c>
      <c r="D20" s="2"/>
      <c r="E20" s="137">
        <v>1.2534032423200392E-3</v>
      </c>
      <c r="F20" s="2"/>
      <c r="G20" s="137">
        <v>1.0371625024715447E-3</v>
      </c>
      <c r="H20" s="2"/>
      <c r="I20" s="137">
        <v>1.2625656663356466E-3</v>
      </c>
      <c r="J20" s="2"/>
      <c r="K20" s="137">
        <v>8.8242232208124438E-4</v>
      </c>
      <c r="L20" s="2"/>
      <c r="M20" s="137">
        <v>8.8242232208124438E-4</v>
      </c>
    </row>
    <row r="21" spans="1:16" x14ac:dyDescent="0.25">
      <c r="A21" s="131" t="s">
        <v>210</v>
      </c>
      <c r="B21" s="156"/>
      <c r="C21" s="137">
        <f>'Detaljeret opgørelse 2014'!T36/IF('Detaljeret opgørelse 2014'!AH36&gt;0,'Detaljeret opgørelse 2014'!AH36,1)*-1</f>
        <v>0.9960554742490767</v>
      </c>
      <c r="D21" s="156"/>
      <c r="E21" s="137">
        <v>0.99874659675767996</v>
      </c>
      <c r="F21" s="156"/>
      <c r="G21" s="137">
        <v>0.99896283749752846</v>
      </c>
      <c r="H21" s="156"/>
      <c r="I21" s="137">
        <v>0.99873743433366435</v>
      </c>
      <c r="J21" s="156"/>
      <c r="K21" s="137">
        <v>0.99911757767791876</v>
      </c>
      <c r="L21" s="156"/>
      <c r="M21" s="220">
        <f>1-M20-M22</f>
        <v>0.99911757767791876</v>
      </c>
      <c r="N21" t="s">
        <v>485</v>
      </c>
      <c r="O21" s="122">
        <f>Energibalance!I19/3.6*1000000/900*-1</f>
        <v>1060.2301645128766</v>
      </c>
      <c r="P21" t="s">
        <v>484</v>
      </c>
    </row>
    <row r="22" spans="1:16" x14ac:dyDescent="0.25">
      <c r="A22" s="131" t="s">
        <v>211</v>
      </c>
      <c r="B22" s="156"/>
      <c r="C22" s="137">
        <f>'Detaljeret opgørelse 2014'!U36/IF('Detaljeret opgørelse 2014'!AH36&gt;0,'Detaljeret opgørelse 2014'!AH36,1)*-1</f>
        <v>0</v>
      </c>
      <c r="D22" s="156"/>
      <c r="E22" s="137">
        <v>0</v>
      </c>
      <c r="F22" s="156"/>
      <c r="G22" s="137">
        <v>0</v>
      </c>
      <c r="H22" s="156"/>
      <c r="I22" s="137">
        <v>0</v>
      </c>
      <c r="J22" s="156"/>
      <c r="K22" s="137">
        <v>0</v>
      </c>
      <c r="L22" s="156"/>
      <c r="M22" s="137">
        <v>0</v>
      </c>
      <c r="N22" t="s">
        <v>483</v>
      </c>
      <c r="O22">
        <f>Energibalance!J19/3.6*1000000/3000*-1</f>
        <v>0</v>
      </c>
      <c r="P22" t="s">
        <v>484</v>
      </c>
    </row>
    <row r="23" spans="1:16" x14ac:dyDescent="0.25">
      <c r="A23" s="154" t="s">
        <v>212</v>
      </c>
      <c r="B23" s="156"/>
      <c r="C23" s="155"/>
      <c r="D23" s="156"/>
      <c r="E23" s="155"/>
      <c r="F23" s="156"/>
      <c r="G23" s="155"/>
      <c r="H23" s="156"/>
      <c r="I23" s="155"/>
      <c r="J23" s="156"/>
      <c r="K23" s="155"/>
      <c r="L23" s="156"/>
      <c r="M23" s="155"/>
    </row>
    <row r="24" spans="1:16" x14ac:dyDescent="0.25">
      <c r="A24" s="131" t="s">
        <v>213</v>
      </c>
      <c r="B24" s="156"/>
      <c r="C24" s="155">
        <f>(SUM('Detaljeret opgørelse 2014'!F9:P9)+SUM('Detaljeret opgørelse 2014'!F10:P10)+SUM('Detaljeret opgørelse 2014'!F11:P11)+SUM('Detaljeret opgørelse 2014'!F12:P12)+SUM('Detaljeret opgørelse 2014'!F14:P14))/SUM('Detaljeret opgørelse 2014'!F43:P59)*-1</f>
        <v>-5.4973988689534285E-2</v>
      </c>
      <c r="D24" s="156"/>
      <c r="E24" s="155">
        <v>-0.12219279266483556</v>
      </c>
      <c r="F24" s="156"/>
      <c r="G24" s="155">
        <v>-2.5807249130421248E-2</v>
      </c>
      <c r="H24" s="156"/>
      <c r="I24" s="155">
        <v>-7.5301961993832031E-2</v>
      </c>
      <c r="J24" s="156"/>
      <c r="K24" s="155">
        <v>-4.1512446692047636E-2</v>
      </c>
      <c r="L24" s="156"/>
      <c r="M24" s="155">
        <v>-4.1512446692047636E-2</v>
      </c>
    </row>
    <row r="25" spans="1:16" x14ac:dyDescent="0.25">
      <c r="A25" s="154" t="s">
        <v>214</v>
      </c>
      <c r="B25" s="156"/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</row>
    <row r="26" spans="1:16" x14ac:dyDescent="0.25">
      <c r="A26" s="156" t="s">
        <v>215</v>
      </c>
      <c r="B26" s="157">
        <f>'Detaljeret opgørelse 2014'!D7</f>
        <v>349634.68</v>
      </c>
      <c r="D26" s="157">
        <v>330661.92</v>
      </c>
      <c r="E26" s="159">
        <f>(D26-B26)/IF(B26&gt;0,B26,1)</f>
        <v>-5.4264525475562118E-2</v>
      </c>
      <c r="F26" s="157">
        <v>297748.08</v>
      </c>
      <c r="G26" s="159">
        <f>(F26-D26)/IF(D26&gt;0,D26,1)</f>
        <v>-9.9539251450544916E-2</v>
      </c>
      <c r="H26" s="157">
        <v>289689.58</v>
      </c>
      <c r="I26" s="159">
        <f>(H26-F26)/IF(F26&gt;0,F26,1)</f>
        <v>-2.7064826077132051E-2</v>
      </c>
      <c r="J26" s="157">
        <v>243628.84</v>
      </c>
      <c r="K26" s="159">
        <f>(J26-H26)/IF(H26&gt;0,H26,1)</f>
        <v>-0.15900033408174369</v>
      </c>
      <c r="L26" s="157">
        <f>J26*(1+M26)^12</f>
        <v>243628.84</v>
      </c>
      <c r="M26" s="160">
        <v>0</v>
      </c>
    </row>
    <row r="27" spans="1:16" x14ac:dyDescent="0.25">
      <c r="A27" s="156" t="s">
        <v>2</v>
      </c>
      <c r="B27" s="157">
        <f>'Detaljeret opgørelse 2014'!E18</f>
        <v>10125.84</v>
      </c>
      <c r="D27" s="157">
        <v>9106.24</v>
      </c>
      <c r="E27" s="159">
        <f t="shared" ref="E27:K32" si="0">(D27-B27)/IF(B27&gt;0,B27,1)</f>
        <v>-0.10069288078816181</v>
      </c>
      <c r="F27" s="157">
        <v>18854.53</v>
      </c>
      <c r="G27" s="159">
        <f t="shared" si="0"/>
        <v>1.0705065976736829</v>
      </c>
      <c r="H27" s="157">
        <v>17349.39</v>
      </c>
      <c r="I27" s="159">
        <f t="shared" si="0"/>
        <v>-7.9829091470325672E-2</v>
      </c>
      <c r="J27" s="157">
        <v>25941.919999999998</v>
      </c>
      <c r="K27" s="159">
        <f t="shared" si="0"/>
        <v>0.49526409862248755</v>
      </c>
      <c r="L27" s="157">
        <f t="shared" ref="L27:L32" si="1">J27*(1+M27)^12</f>
        <v>25941.919999999998</v>
      </c>
      <c r="M27" s="160">
        <v>0</v>
      </c>
    </row>
    <row r="28" spans="1:16" x14ac:dyDescent="0.25">
      <c r="A28" s="156" t="s">
        <v>4</v>
      </c>
      <c r="B28" s="157">
        <f>'Detaljeret opgørelse 2014'!R7+'Detaljeret opgørelse 2014'!S7</f>
        <v>0</v>
      </c>
      <c r="D28" s="157">
        <v>0</v>
      </c>
      <c r="E28" s="159">
        <f t="shared" si="0"/>
        <v>0</v>
      </c>
      <c r="F28" s="157">
        <v>0</v>
      </c>
      <c r="G28" s="159">
        <f t="shared" si="0"/>
        <v>0</v>
      </c>
      <c r="H28" s="157">
        <v>0</v>
      </c>
      <c r="I28" s="159">
        <f t="shared" si="0"/>
        <v>0</v>
      </c>
      <c r="J28" s="157">
        <v>0</v>
      </c>
      <c r="K28" s="159">
        <f t="shared" si="0"/>
        <v>0</v>
      </c>
      <c r="L28" s="157">
        <f t="shared" si="1"/>
        <v>0</v>
      </c>
      <c r="M28" s="160">
        <v>0</v>
      </c>
    </row>
    <row r="29" spans="1:16" x14ac:dyDescent="0.25">
      <c r="A29" s="131" t="s">
        <v>216</v>
      </c>
      <c r="B29" s="157">
        <f>'Detaljeret opgørelse 2014'!Q7</f>
        <v>173649.62</v>
      </c>
      <c r="D29" s="157">
        <v>173509.95</v>
      </c>
      <c r="E29" s="159">
        <f t="shared" si="0"/>
        <v>-8.0432079263970579E-4</v>
      </c>
      <c r="F29" s="157">
        <v>169735.49</v>
      </c>
      <c r="G29" s="159">
        <f t="shared" si="0"/>
        <v>-2.175356514136521E-2</v>
      </c>
      <c r="H29" s="157">
        <v>182142.42</v>
      </c>
      <c r="I29" s="159">
        <f t="shared" si="0"/>
        <v>7.3095673745072545E-2</v>
      </c>
      <c r="J29" s="157">
        <v>155071.34</v>
      </c>
      <c r="K29" s="159">
        <f t="shared" si="0"/>
        <v>-0.14862589395704753</v>
      </c>
      <c r="L29" s="157">
        <f t="shared" si="1"/>
        <v>155071.34</v>
      </c>
      <c r="M29" s="160">
        <v>0</v>
      </c>
    </row>
    <row r="30" spans="1:16" x14ac:dyDescent="0.25">
      <c r="A30" s="131" t="s">
        <v>217</v>
      </c>
      <c r="B30" s="157">
        <f>'Detaljeret opgørelse 2014'!AE7*B121</f>
        <v>17423.941500000001</v>
      </c>
      <c r="D30" s="157">
        <v>15995.227499999999</v>
      </c>
      <c r="E30" s="159">
        <f t="shared" si="0"/>
        <v>-8.1997176126882759E-2</v>
      </c>
      <c r="F30" s="157">
        <v>15740.770499999999</v>
      </c>
      <c r="G30" s="159">
        <f t="shared" si="0"/>
        <v>-1.5908307649891217E-2</v>
      </c>
      <c r="H30" s="157">
        <v>16020.828</v>
      </c>
      <c r="I30" s="159">
        <f t="shared" si="0"/>
        <v>1.7791854598223182E-2</v>
      </c>
      <c r="J30" s="157">
        <v>15103.084500000003</v>
      </c>
      <c r="K30" s="159">
        <f t="shared" si="0"/>
        <v>-5.7284398783882882E-2</v>
      </c>
      <c r="L30" s="157">
        <f t="shared" si="1"/>
        <v>15103.084500000003</v>
      </c>
      <c r="M30" s="160">
        <v>0</v>
      </c>
    </row>
    <row r="31" spans="1:16" x14ac:dyDescent="0.25">
      <c r="A31" s="131" t="s">
        <v>6</v>
      </c>
      <c r="B31" s="157">
        <f>SUM('Detaljeret opgørelse 2014'!X7:AD7,'Detaljeret opgørelse 2014'!AE7*(1-B121))</f>
        <v>80329.228499999997</v>
      </c>
      <c r="D31" s="157">
        <v>91841.632499999992</v>
      </c>
      <c r="E31" s="159">
        <f t="shared" si="0"/>
        <v>0.14331525666277245</v>
      </c>
      <c r="F31" s="157">
        <v>94607.209499999997</v>
      </c>
      <c r="G31" s="159">
        <f t="shared" si="0"/>
        <v>3.0112454719269117E-2</v>
      </c>
      <c r="H31" s="157">
        <v>102838.18200000002</v>
      </c>
      <c r="I31" s="159">
        <f t="shared" si="0"/>
        <v>8.7001535543652392E-2</v>
      </c>
      <c r="J31" s="157">
        <v>105908.0055</v>
      </c>
      <c r="K31" s="159">
        <f t="shared" si="0"/>
        <v>2.985100903475699E-2</v>
      </c>
      <c r="L31" s="157">
        <f t="shared" si="1"/>
        <v>105908.0055</v>
      </c>
      <c r="M31" s="160">
        <v>0</v>
      </c>
    </row>
    <row r="32" spans="1:16" x14ac:dyDescent="0.25">
      <c r="A32" s="131" t="s">
        <v>11</v>
      </c>
      <c r="B32" s="157">
        <f>'Detaljeret opgørelse 2014'!AF7</f>
        <v>724.86</v>
      </c>
      <c r="D32" s="157">
        <v>636.34</v>
      </c>
      <c r="E32" s="159">
        <f t="shared" si="0"/>
        <v>-0.12212013354302897</v>
      </c>
      <c r="F32" s="157">
        <v>274.11</v>
      </c>
      <c r="G32" s="159">
        <f t="shared" si="0"/>
        <v>-0.56923971461797152</v>
      </c>
      <c r="H32" s="157">
        <v>188.26</v>
      </c>
      <c r="I32" s="159">
        <f t="shared" si="0"/>
        <v>-0.31319543249060605</v>
      </c>
      <c r="J32" s="157">
        <v>234.12</v>
      </c>
      <c r="K32" s="159">
        <f t="shared" si="0"/>
        <v>0.24359927759481576</v>
      </c>
      <c r="L32" s="157">
        <f t="shared" si="1"/>
        <v>234.12</v>
      </c>
      <c r="M32" s="160">
        <v>0</v>
      </c>
    </row>
    <row r="33" spans="1:13" x14ac:dyDescent="0.25">
      <c r="A33" s="154" t="s">
        <v>218</v>
      </c>
      <c r="B33" s="156"/>
      <c r="C33" s="157"/>
      <c r="D33" s="156"/>
      <c r="E33" s="157"/>
      <c r="F33" s="156"/>
      <c r="G33" s="157"/>
      <c r="H33" s="156"/>
      <c r="I33" s="157"/>
      <c r="J33" s="156"/>
      <c r="K33" s="157"/>
      <c r="L33" s="156"/>
      <c r="M33" s="157"/>
    </row>
    <row r="34" spans="1:13" x14ac:dyDescent="0.25">
      <c r="A34" s="131" t="s">
        <v>219</v>
      </c>
      <c r="B34" s="156"/>
      <c r="C34" s="155">
        <f>'Detaljeret opgørelse 2014'!Q16/'Detaljeret opgørelse 2014'!Q7*-1</f>
        <v>0.13258318676424399</v>
      </c>
      <c r="D34" s="156"/>
      <c r="E34" s="155">
        <v>0.1387922133572167</v>
      </c>
      <c r="F34" s="156"/>
      <c r="G34" s="155">
        <v>0.12921770220240919</v>
      </c>
      <c r="H34" s="156"/>
      <c r="I34" s="155">
        <v>0.12500547648373178</v>
      </c>
      <c r="J34" s="156"/>
      <c r="K34" s="155">
        <v>0.13534016021271242</v>
      </c>
      <c r="L34" s="156"/>
      <c r="M34" s="155">
        <v>0.13534016021271242</v>
      </c>
    </row>
    <row r="35" spans="1:13" x14ac:dyDescent="0.25">
      <c r="A35" s="154" t="s">
        <v>220</v>
      </c>
      <c r="B35" s="156"/>
      <c r="C35" s="157"/>
      <c r="D35" s="156"/>
      <c r="E35" s="157"/>
      <c r="F35" s="156"/>
      <c r="G35" s="157"/>
      <c r="H35" s="156"/>
      <c r="I35" s="157"/>
      <c r="J35" s="156"/>
      <c r="K35" s="157"/>
      <c r="L35" s="156"/>
      <c r="M35" s="157"/>
    </row>
    <row r="36" spans="1:13" x14ac:dyDescent="0.25">
      <c r="A36" s="131" t="s">
        <v>221</v>
      </c>
      <c r="B36" s="156"/>
      <c r="C36" s="155">
        <f>'Detaljeret opgørelse 2014'!AD40/SUM('Detaljeret opgørelse 2014'!X7:AC7,'Detaljeret opgørelse 2014'!AE7*(1-B121))</f>
        <v>0</v>
      </c>
      <c r="D36" s="156"/>
      <c r="E36" s="155">
        <v>0</v>
      </c>
      <c r="F36" s="156"/>
      <c r="G36" s="155">
        <v>0</v>
      </c>
      <c r="H36" s="156"/>
      <c r="I36" s="155">
        <v>4.9880597850319827E-2</v>
      </c>
      <c r="J36" s="156"/>
      <c r="K36" s="155">
        <v>6.666219391696504E-2</v>
      </c>
      <c r="L36" s="156"/>
      <c r="M36" s="155">
        <v>6.666219391696504E-2</v>
      </c>
    </row>
    <row r="37" spans="1:13" x14ac:dyDescent="0.25">
      <c r="A37" s="231" t="s">
        <v>476</v>
      </c>
      <c r="B37" s="156"/>
      <c r="C37" s="155"/>
      <c r="D37" s="156"/>
      <c r="E37" s="155"/>
      <c r="F37" s="156"/>
      <c r="G37" s="155"/>
      <c r="H37" s="156"/>
      <c r="I37" s="155"/>
      <c r="J37" s="156"/>
      <c r="K37" s="155"/>
      <c r="L37" s="156"/>
      <c r="M37" s="230">
        <v>0</v>
      </c>
    </row>
    <row r="38" spans="1:13" x14ac:dyDescent="0.25">
      <c r="A38" s="132" t="s">
        <v>222</v>
      </c>
      <c r="B38" s="141"/>
      <c r="D38" s="141"/>
      <c r="F38" s="141"/>
      <c r="H38" s="141"/>
      <c r="J38" s="141"/>
      <c r="L38" s="141"/>
    </row>
    <row r="39" spans="1:13" x14ac:dyDescent="0.25">
      <c r="A39" s="115" t="s">
        <v>3</v>
      </c>
      <c r="B39" s="115"/>
      <c r="C39" s="136">
        <f>'Detaljeret opgørelse 2014'!Q22/IF(SUM('Detaljeret opgørelse 2014'!D22:AG22)&lt;0,SUM('Detaljeret opgørelse 2014'!D22:AG22),1)</f>
        <v>0</v>
      </c>
      <c r="D39" s="115"/>
      <c r="E39" s="136">
        <v>0</v>
      </c>
      <c r="F39" s="115"/>
      <c r="G39" s="136">
        <v>0</v>
      </c>
      <c r="H39" s="115"/>
      <c r="I39" s="136">
        <v>0</v>
      </c>
      <c r="J39" s="115"/>
      <c r="K39" s="136">
        <v>0</v>
      </c>
      <c r="L39" s="115"/>
      <c r="M39" s="136">
        <v>0</v>
      </c>
    </row>
    <row r="40" spans="1:13" x14ac:dyDescent="0.25">
      <c r="A40" s="115" t="s">
        <v>4</v>
      </c>
      <c r="B40" s="115"/>
      <c r="C40" s="136">
        <f>('Detaljeret opgørelse 2014'!R22+'Detaljeret opgørelse 2014'!S22)/IF(SUM('Detaljeret opgørelse 2014'!D22:AG22)&lt;0,SUM('Detaljeret opgørelse 2014'!D22:AG22),1)</f>
        <v>0</v>
      </c>
      <c r="D40" s="115"/>
      <c r="E40" s="136">
        <v>0</v>
      </c>
      <c r="F40" s="115"/>
      <c r="G40" s="136">
        <v>0</v>
      </c>
      <c r="H40" s="115"/>
      <c r="I40" s="136">
        <v>0</v>
      </c>
      <c r="J40" s="115"/>
      <c r="K40" s="136">
        <v>0</v>
      </c>
      <c r="L40" s="115"/>
      <c r="M40" s="136">
        <v>0</v>
      </c>
    </row>
    <row r="41" spans="1:13" x14ac:dyDescent="0.25">
      <c r="A41" s="115" t="s">
        <v>5</v>
      </c>
      <c r="B41" s="115"/>
      <c r="C41" s="136">
        <f>'Detaljeret opgørelse 2014'!AE22*B121/IF(SUM('Detaljeret opgørelse 2014'!D22:AG22)&lt;0,SUM('Detaljeret opgørelse 2014'!D22:AG22),1)</f>
        <v>0</v>
      </c>
      <c r="D41" s="115"/>
      <c r="E41" s="136">
        <v>0</v>
      </c>
      <c r="F41" s="115"/>
      <c r="G41" s="136">
        <v>0</v>
      </c>
      <c r="H41" s="115"/>
      <c r="I41" s="136">
        <v>0</v>
      </c>
      <c r="J41" s="115"/>
      <c r="K41" s="136">
        <v>0</v>
      </c>
      <c r="L41" s="115"/>
      <c r="M41" s="136">
        <v>0</v>
      </c>
    </row>
    <row r="42" spans="1:13" x14ac:dyDescent="0.25">
      <c r="A42" s="115" t="s">
        <v>188</v>
      </c>
      <c r="B42" s="115"/>
      <c r="C42" s="136">
        <f>(SUM('Detaljeret opgørelse 2014'!X22:AD22)+'Detaljeret opgørelse 2014'!AE22*(1-B121))/IF(SUM('Detaljeret opgørelse 2014'!D22:AG22)&lt;0,SUM('Detaljeret opgørelse 2014'!D22:AG22),1)</f>
        <v>0</v>
      </c>
      <c r="D42" s="115"/>
      <c r="E42" s="136">
        <v>0</v>
      </c>
      <c r="F42" s="115"/>
      <c r="G42" s="136">
        <v>0</v>
      </c>
      <c r="H42" s="115"/>
      <c r="I42" s="136">
        <v>0</v>
      </c>
      <c r="J42" s="115"/>
      <c r="K42" s="136">
        <v>0</v>
      </c>
      <c r="L42" s="115"/>
      <c r="M42" s="136">
        <v>0</v>
      </c>
    </row>
    <row r="43" spans="1:13" x14ac:dyDescent="0.25">
      <c r="A43" s="116" t="s">
        <v>11</v>
      </c>
      <c r="B43" s="116"/>
      <c r="C43" s="136">
        <f>'Detaljeret opgørelse 2014'!AF22/IF(SUM('Detaljeret opgørelse 2014'!D22:AG22)&lt;0,SUM('Detaljeret opgørelse 2014'!D22:AG22),1)</f>
        <v>0</v>
      </c>
      <c r="D43" s="116"/>
      <c r="E43" s="136">
        <v>0</v>
      </c>
      <c r="F43" s="116"/>
      <c r="G43" s="136">
        <v>0</v>
      </c>
      <c r="H43" s="116"/>
      <c r="I43" s="136">
        <v>0</v>
      </c>
      <c r="J43" s="116"/>
      <c r="K43" s="136">
        <v>0</v>
      </c>
      <c r="L43" s="116"/>
      <c r="M43" s="136">
        <v>0</v>
      </c>
    </row>
    <row r="44" spans="1:13" x14ac:dyDescent="0.25">
      <c r="A44" s="116" t="s">
        <v>12</v>
      </c>
      <c r="B44" s="116"/>
      <c r="C44" s="136">
        <f>SUM('Detaljeret opgørelse 2014'!F22:P22)/IF(SUM('Detaljeret opgørelse 2014'!D22:AG22)&lt;0,SUM('Detaljeret opgørelse 2014'!D22:AG22),1)</f>
        <v>1</v>
      </c>
      <c r="D44" s="116"/>
      <c r="E44" s="136">
        <v>1</v>
      </c>
      <c r="F44" s="116"/>
      <c r="G44" s="136">
        <v>1</v>
      </c>
      <c r="H44" s="116"/>
      <c r="I44" s="136">
        <v>1</v>
      </c>
      <c r="J44" s="116"/>
      <c r="K44" s="136">
        <v>1</v>
      </c>
      <c r="L44" s="116"/>
      <c r="M44" s="220">
        <f>1-M39-M40-M41-M42-M43</f>
        <v>1</v>
      </c>
    </row>
    <row r="45" spans="1:13" x14ac:dyDescent="0.25">
      <c r="A45" s="231" t="s">
        <v>478</v>
      </c>
      <c r="B45" s="156"/>
      <c r="C45" s="155"/>
      <c r="D45" s="156"/>
      <c r="E45" s="155"/>
      <c r="F45" s="156"/>
      <c r="G45" s="155"/>
      <c r="H45" s="156"/>
      <c r="I45" s="155"/>
      <c r="J45" s="156"/>
      <c r="K45" s="155"/>
      <c r="L45" s="156"/>
      <c r="M45" s="230">
        <v>0</v>
      </c>
    </row>
    <row r="46" spans="1:13" x14ac:dyDescent="0.25">
      <c r="A46" s="133" t="s">
        <v>223</v>
      </c>
      <c r="B46" s="116"/>
      <c r="D46" s="116"/>
      <c r="F46" s="116"/>
      <c r="H46" s="116"/>
      <c r="J46" s="116"/>
      <c r="L46" s="116"/>
    </row>
    <row r="47" spans="1:13" x14ac:dyDescent="0.25">
      <c r="A47" s="115" t="s">
        <v>3</v>
      </c>
      <c r="B47" s="115"/>
      <c r="C47" s="136">
        <f>'Detaljeret opgørelse 2014'!Q25/IF(SUM('Detaljeret opgørelse 2014'!D25:AG25)&lt;0,SUM('Detaljeret opgørelse 2014'!D25:AG25),1)</f>
        <v>6.5796175000897225E-2</v>
      </c>
      <c r="D47" s="115"/>
      <c r="E47" s="136">
        <v>8.8064606614807001E-2</v>
      </c>
      <c r="F47" s="115"/>
      <c r="G47" s="136">
        <v>7.7547810918813576E-2</v>
      </c>
      <c r="H47" s="115"/>
      <c r="I47" s="136">
        <v>5.62830283452075E-2</v>
      </c>
      <c r="J47" s="115"/>
      <c r="K47" s="136">
        <v>3.4947391000783055E-2</v>
      </c>
      <c r="L47" s="115"/>
      <c r="M47" s="220">
        <f>1-M48-M49-M50-M51-M52</f>
        <v>3.4947391000783208E-2</v>
      </c>
    </row>
    <row r="48" spans="1:13" x14ac:dyDescent="0.25">
      <c r="A48" s="115" t="s">
        <v>4</v>
      </c>
      <c r="B48" s="115"/>
      <c r="C48" s="136">
        <f>('Detaljeret opgørelse 2014'!R25+'Detaljeret opgørelse 2014'!S25)/IF(SUM('Detaljeret opgørelse 2014'!D25:AG25)&lt;0,SUM('Detaljeret opgørelse 2014'!D25:AG25),1)</f>
        <v>0.70366550139640871</v>
      </c>
      <c r="D48" s="115"/>
      <c r="E48" s="136">
        <v>0.62836755298862679</v>
      </c>
      <c r="F48" s="115"/>
      <c r="G48" s="136">
        <v>0.63263931227666415</v>
      </c>
      <c r="H48" s="115"/>
      <c r="I48" s="136">
        <v>0.51201011776164107</v>
      </c>
      <c r="J48" s="115"/>
      <c r="K48" s="136">
        <v>0.54100394555465259</v>
      </c>
      <c r="L48" s="115"/>
      <c r="M48" s="136">
        <v>0.54100394555465259</v>
      </c>
    </row>
    <row r="49" spans="1:13" x14ac:dyDescent="0.25">
      <c r="A49" s="115" t="s">
        <v>5</v>
      </c>
      <c r="B49" s="115"/>
      <c r="C49" s="136">
        <f>'Detaljeret opgørelse 2014'!AE25*B121/IF(SUM('Detaljeret opgørelse 2014'!D25:AG25)&lt;0,SUM('Detaljeret opgørelse 2014'!D25:AG25),1)</f>
        <v>0</v>
      </c>
      <c r="D49" s="115"/>
      <c r="E49" s="136">
        <v>0</v>
      </c>
      <c r="F49" s="115"/>
      <c r="G49" s="136">
        <v>0</v>
      </c>
      <c r="H49" s="115"/>
      <c r="I49" s="136">
        <v>0</v>
      </c>
      <c r="J49" s="115"/>
      <c r="K49" s="136">
        <v>0</v>
      </c>
      <c r="L49" s="115"/>
      <c r="M49" s="136">
        <v>0</v>
      </c>
    </row>
    <row r="50" spans="1:13" x14ac:dyDescent="0.25">
      <c r="A50" s="115" t="s">
        <v>188</v>
      </c>
      <c r="B50" s="115"/>
      <c r="C50" s="136">
        <f>(SUM('Detaljeret opgørelse 2014'!X25:AD25)+'Detaljeret opgørelse 2014'!AE25*(1-B121))/IF(SUM('Detaljeret opgørelse 2014'!D25:AG25)&lt;0,SUM('Detaljeret opgørelse 2014'!D25:AG25),1)</f>
        <v>0.22473894135981939</v>
      </c>
      <c r="D50" s="115"/>
      <c r="E50" s="136">
        <v>0.27481517138733613</v>
      </c>
      <c r="F50" s="115"/>
      <c r="G50" s="136">
        <v>0.28127302985745428</v>
      </c>
      <c r="H50" s="115"/>
      <c r="I50" s="136">
        <v>0.42452311034007079</v>
      </c>
      <c r="J50" s="115"/>
      <c r="K50" s="136">
        <v>0.41828836885901366</v>
      </c>
      <c r="L50" s="115"/>
      <c r="M50" s="136">
        <v>0.41828836885901366</v>
      </c>
    </row>
    <row r="51" spans="1:13" x14ac:dyDescent="0.25">
      <c r="A51" s="116" t="s">
        <v>11</v>
      </c>
      <c r="B51" s="116"/>
      <c r="C51" s="136">
        <f>'Detaljeret opgørelse 2014'!AF25/IF(SUM('Detaljeret opgørelse 2014'!D25:AG25)&lt;0,SUM('Detaljeret opgørelse 2014'!D25:AG25),1)</f>
        <v>0</v>
      </c>
      <c r="D51" s="116"/>
      <c r="E51" s="136">
        <v>0</v>
      </c>
      <c r="F51" s="116"/>
      <c r="G51" s="136">
        <v>0</v>
      </c>
      <c r="H51" s="116"/>
      <c r="I51" s="136">
        <v>0</v>
      </c>
      <c r="J51" s="116"/>
      <c r="K51" s="136">
        <v>0</v>
      </c>
      <c r="L51" s="116"/>
      <c r="M51" s="136">
        <v>0</v>
      </c>
    </row>
    <row r="52" spans="1:13" x14ac:dyDescent="0.25">
      <c r="A52" s="116" t="s">
        <v>12</v>
      </c>
      <c r="B52" s="116"/>
      <c r="C52" s="136">
        <f>SUM('Detaljeret opgørelse 2014'!F25:P25)/IF(SUM('Detaljeret opgørelse 2014'!D25:AG25)&lt;0,SUM('Detaljeret opgørelse 2014'!D25:AG25),1)</f>
        <v>5.7993822428745179E-3</v>
      </c>
      <c r="D52" s="116"/>
      <c r="E52" s="136">
        <v>8.752669009230149E-3</v>
      </c>
      <c r="F52" s="116"/>
      <c r="G52" s="136">
        <v>8.5398469470678567E-3</v>
      </c>
      <c r="H52" s="116"/>
      <c r="I52" s="136">
        <v>7.1837435530806683E-3</v>
      </c>
      <c r="J52" s="116"/>
      <c r="K52" s="136">
        <v>5.760294585550543E-3</v>
      </c>
      <c r="L52" s="116"/>
      <c r="M52" s="136">
        <v>5.760294585550543E-3</v>
      </c>
    </row>
    <row r="53" spans="1:13" x14ac:dyDescent="0.25">
      <c r="A53" s="231" t="s">
        <v>477</v>
      </c>
      <c r="B53" s="156"/>
      <c r="C53" s="155"/>
      <c r="D53" s="156"/>
      <c r="E53" s="155"/>
      <c r="F53" s="156"/>
      <c r="G53" s="155"/>
      <c r="H53" s="156"/>
      <c r="I53" s="155"/>
      <c r="J53" s="156"/>
      <c r="K53" s="155"/>
      <c r="L53" s="156"/>
      <c r="M53" s="230">
        <v>0</v>
      </c>
    </row>
    <row r="54" spans="1:13" x14ac:dyDescent="0.25">
      <c r="A54" s="133" t="s">
        <v>224</v>
      </c>
      <c r="B54" s="116"/>
      <c r="D54" s="116"/>
      <c r="F54" s="116"/>
      <c r="H54" s="116"/>
      <c r="J54" s="116"/>
      <c r="L54" s="116"/>
    </row>
    <row r="55" spans="1:13" x14ac:dyDescent="0.25">
      <c r="A55" s="115" t="s">
        <v>3</v>
      </c>
      <c r="B55" s="115"/>
      <c r="C55" s="136">
        <f>'Detaljeret opgørelse 2014'!Q30/IF(SUM('Detaljeret opgørelse 2014'!D30:AG30)&lt;0,SUM('Detaljeret opgørelse 2014'!D30:AG30),1)</f>
        <v>0.3075621635478083</v>
      </c>
      <c r="D55" s="115"/>
      <c r="E55" s="136">
        <v>0.22038857554903635</v>
      </c>
      <c r="F55" s="115"/>
      <c r="G55" s="136">
        <v>0.29689406226466208</v>
      </c>
      <c r="H55" s="115"/>
      <c r="I55" s="136">
        <v>0.30767715075973995</v>
      </c>
      <c r="J55" s="115"/>
      <c r="K55" s="136">
        <v>0.35823374726689994</v>
      </c>
      <c r="L55" s="115"/>
      <c r="M55" s="220">
        <f>1-M56-M57-M58-M59-M60</f>
        <v>0.35823374726689988</v>
      </c>
    </row>
    <row r="56" spans="1:13" x14ac:dyDescent="0.25">
      <c r="A56" s="115" t="s">
        <v>4</v>
      </c>
      <c r="B56" s="115"/>
      <c r="C56" s="136">
        <f>('Detaljeret opgørelse 2014'!R30+'Detaljeret opgørelse 2014'!S30)/IF(SUM('Detaljeret opgørelse 2014'!D30:AG30)&lt;0,SUM('Detaljeret opgørelse 2014'!D30:AG30),1)</f>
        <v>1.2875433906478578E-2</v>
      </c>
      <c r="D56" s="115"/>
      <c r="E56" s="136">
        <v>1.411888626881622E-2</v>
      </c>
      <c r="F56" s="115"/>
      <c r="G56" s="136">
        <v>1.3440394003072675E-2</v>
      </c>
      <c r="H56" s="115"/>
      <c r="I56" s="136">
        <v>1.3423107930564396E-2</v>
      </c>
      <c r="J56" s="115"/>
      <c r="K56" s="136">
        <v>1.2430585950212504E-3</v>
      </c>
      <c r="L56" s="115"/>
      <c r="M56" s="136">
        <v>1.2430585950212504E-3</v>
      </c>
    </row>
    <row r="57" spans="1:13" x14ac:dyDescent="0.25">
      <c r="A57" s="115" t="s">
        <v>5</v>
      </c>
      <c r="B57" s="115"/>
      <c r="C57" s="136">
        <f>'Detaljeret opgørelse 2014'!AE30*B121/IF(SUM('Detaljeret opgørelse 2014'!D30:AG30)&lt;0,SUM('Detaljeret opgørelse 2014'!D30:AG30),1)</f>
        <v>0.14226433168283439</v>
      </c>
      <c r="D57" s="115"/>
      <c r="E57" s="136">
        <v>0.15685671983968064</v>
      </c>
      <c r="F57" s="115"/>
      <c r="G57" s="136">
        <v>0.13355532261952885</v>
      </c>
      <c r="H57" s="115"/>
      <c r="I57" s="136">
        <v>8.6613210905736676E-2</v>
      </c>
      <c r="J57" s="115"/>
      <c r="K57" s="136">
        <v>7.8100639365607918E-2</v>
      </c>
      <c r="L57" s="115"/>
      <c r="M57" s="136">
        <v>7.8100639365607918E-2</v>
      </c>
    </row>
    <row r="58" spans="1:13" x14ac:dyDescent="0.25">
      <c r="A58" s="115" t="s">
        <v>188</v>
      </c>
      <c r="B58" s="115"/>
      <c r="C58" s="136">
        <f>(SUM('Detaljeret opgørelse 2014'!X30:AD30)+'Detaljeret opgørelse 2014'!AE30*(1-B121))/IF(SUM('Detaljeret opgørelse 2014'!D30:AG30)&lt;0,SUM('Detaljeret opgørelse 2014'!D30:AG30),1)</f>
        <v>0.53526967251504831</v>
      </c>
      <c r="D58" s="115"/>
      <c r="E58" s="136">
        <v>0.6069289088147346</v>
      </c>
      <c r="F58" s="115"/>
      <c r="G58" s="136">
        <v>0.55402838761365436</v>
      </c>
      <c r="H58" s="115"/>
      <c r="I58" s="136">
        <v>0.59185304213252188</v>
      </c>
      <c r="J58" s="115"/>
      <c r="K58" s="136">
        <v>0.56188262740141082</v>
      </c>
      <c r="L58" s="115"/>
      <c r="M58" s="136">
        <v>0.56188262740141082</v>
      </c>
    </row>
    <row r="59" spans="1:13" x14ac:dyDescent="0.25">
      <c r="A59" s="116" t="s">
        <v>11</v>
      </c>
      <c r="B59" s="116"/>
      <c r="C59" s="136">
        <f>'Detaljeret opgørelse 2014'!AF30/IF(SUM('Detaljeret opgørelse 2014'!D30:AG30)&lt;0,SUM('Detaljeret opgørelse 2014'!D30:AG30),1)</f>
        <v>0</v>
      </c>
      <c r="D59" s="116"/>
      <c r="E59" s="136">
        <v>0</v>
      </c>
      <c r="F59" s="116"/>
      <c r="G59" s="136">
        <v>0</v>
      </c>
      <c r="H59" s="116"/>
      <c r="I59" s="136">
        <v>0</v>
      </c>
      <c r="J59" s="116"/>
      <c r="K59" s="136">
        <v>0</v>
      </c>
      <c r="L59" s="116"/>
      <c r="M59" s="136">
        <v>0</v>
      </c>
    </row>
    <row r="60" spans="1:13" x14ac:dyDescent="0.25">
      <c r="A60" s="116" t="s">
        <v>12</v>
      </c>
      <c r="B60" s="116"/>
      <c r="C60" s="136">
        <f>SUM('Detaljeret opgørelse 2014'!F30:P30)/IF(SUM('Detaljeret opgørelse 2014'!D30:AG30)&lt;0,SUM('Detaljeret opgørelse 2014'!D30:AG30),1)</f>
        <v>2.0283983478306122E-3</v>
      </c>
      <c r="D60" s="116"/>
      <c r="E60" s="136">
        <v>1.7069095277321264E-3</v>
      </c>
      <c r="F60" s="116"/>
      <c r="G60" s="136">
        <v>2.0818334990819437E-3</v>
      </c>
      <c r="H60" s="116"/>
      <c r="I60" s="136">
        <v>4.3348827143713052E-4</v>
      </c>
      <c r="J60" s="116"/>
      <c r="K60" s="136">
        <v>5.3992737106008646E-4</v>
      </c>
      <c r="L60" s="116"/>
      <c r="M60" s="136">
        <v>5.3992737106008646E-4</v>
      </c>
    </row>
    <row r="61" spans="1:13" x14ac:dyDescent="0.25">
      <c r="A61" s="231" t="s">
        <v>479</v>
      </c>
      <c r="B61" s="156"/>
      <c r="C61" s="155"/>
      <c r="D61" s="156"/>
      <c r="E61" s="155"/>
      <c r="F61" s="156"/>
      <c r="G61" s="155"/>
      <c r="H61" s="156"/>
      <c r="I61" s="155"/>
      <c r="J61" s="156"/>
      <c r="K61" s="155"/>
      <c r="L61" s="156"/>
      <c r="M61" s="230">
        <v>0</v>
      </c>
    </row>
    <row r="62" spans="1:13" x14ac:dyDescent="0.25">
      <c r="A62" s="133" t="s">
        <v>225</v>
      </c>
      <c r="B62" s="116"/>
      <c r="D62" s="116"/>
      <c r="F62" s="116"/>
      <c r="H62" s="116"/>
      <c r="J62" s="116"/>
      <c r="L62" s="116"/>
    </row>
    <row r="63" spans="1:13" x14ac:dyDescent="0.25">
      <c r="A63" s="115" t="s">
        <v>3</v>
      </c>
      <c r="B63" s="115"/>
      <c r="C63" s="136">
        <f>'Detaljeret opgørelse 2014'!Q36/IF(SUM('Detaljeret opgørelse 2014'!D36:S36,'Detaljeret opgørelse 2014'!W36:AF36)&lt;0,SUM('Detaljeret opgørelse 2014'!D36:S36,'Detaljeret opgørelse 2014'!W36:AF36),1)</f>
        <v>0</v>
      </c>
      <c r="D63" s="115"/>
      <c r="E63" s="136">
        <v>0</v>
      </c>
      <c r="F63" s="115"/>
      <c r="G63" s="136">
        <v>0</v>
      </c>
      <c r="H63" s="115"/>
      <c r="I63" s="136">
        <v>0</v>
      </c>
      <c r="J63" s="115"/>
      <c r="K63" s="136">
        <v>0</v>
      </c>
      <c r="L63" s="115"/>
      <c r="M63" s="220">
        <f>1-M64-M65-M66-M67-M68</f>
        <v>0</v>
      </c>
    </row>
    <row r="64" spans="1:13" x14ac:dyDescent="0.25">
      <c r="A64" s="115" t="s">
        <v>4</v>
      </c>
      <c r="B64" s="115"/>
      <c r="C64" s="136">
        <f>('Detaljeret opgørelse 2014'!R36+'Detaljeret opgørelse 2014'!S36)/IF(SUM('Detaljeret opgørelse 2014'!D36:S36,'Detaljeret opgørelse 2014'!W36:AF36)&lt;0,SUM('Detaljeret opgørelse 2014'!D36:S36,'Detaljeret opgørelse 2014'!W36:AF36),1)</f>
        <v>0</v>
      </c>
      <c r="D64" s="115"/>
      <c r="E64" s="136">
        <v>0</v>
      </c>
      <c r="F64" s="115"/>
      <c r="G64" s="136">
        <v>0</v>
      </c>
      <c r="H64" s="115"/>
      <c r="I64" s="136">
        <v>0</v>
      </c>
      <c r="J64" s="115"/>
      <c r="K64" s="136">
        <v>0</v>
      </c>
      <c r="L64" s="115"/>
      <c r="M64" s="136">
        <v>0</v>
      </c>
    </row>
    <row r="65" spans="1:13" x14ac:dyDescent="0.25">
      <c r="A65" s="115" t="s">
        <v>5</v>
      </c>
      <c r="B65" s="115"/>
      <c r="C65" s="136">
        <f>'Detaljeret opgørelse 2014'!AE36*B121/IF(SUM('Detaljeret opgørelse 2014'!D36:S36,'Detaljeret opgørelse 2014'!W36:AF36)&lt;0,SUM('Detaljeret opgørelse 2014'!D36:S36,'Detaljeret opgørelse 2014'!W36:AF36),1)</f>
        <v>0</v>
      </c>
      <c r="D65" s="115"/>
      <c r="E65" s="136">
        <v>0</v>
      </c>
      <c r="F65" s="115"/>
      <c r="G65" s="136">
        <v>0</v>
      </c>
      <c r="H65" s="115"/>
      <c r="I65" s="136">
        <v>0</v>
      </c>
      <c r="J65" s="115"/>
      <c r="K65" s="136">
        <v>0</v>
      </c>
      <c r="L65" s="115"/>
      <c r="M65" s="136">
        <v>0</v>
      </c>
    </row>
    <row r="66" spans="1:13" x14ac:dyDescent="0.25">
      <c r="A66" s="115" t="s">
        <v>188</v>
      </c>
      <c r="B66" s="115"/>
      <c r="C66" s="136">
        <f>SUM('Detaljeret opgørelse 2014'!X36:AF36)/IF(SUM('Detaljeret opgørelse 2014'!D36:S36,'Detaljeret opgørelse 2014'!W36:AF36)&lt;0,SUM('Detaljeret opgørelse 2014'!D36:S36,'Detaljeret opgørelse 2014'!W36:AF36),1)</f>
        <v>1</v>
      </c>
      <c r="D66" s="115"/>
      <c r="E66" s="136">
        <v>1</v>
      </c>
      <c r="F66" s="115"/>
      <c r="G66" s="136">
        <v>1</v>
      </c>
      <c r="H66" s="115"/>
      <c r="I66" s="136">
        <v>1</v>
      </c>
      <c r="J66" s="115"/>
      <c r="K66" s="136">
        <v>1</v>
      </c>
      <c r="L66" s="115"/>
      <c r="M66" s="136">
        <v>1</v>
      </c>
    </row>
    <row r="67" spans="1:13" x14ac:dyDescent="0.25">
      <c r="A67" s="116" t="s">
        <v>11</v>
      </c>
      <c r="B67" s="116"/>
      <c r="C67" s="136">
        <f>'Detaljeret opgørelse 2014'!AF36/IF(SUM('Detaljeret opgørelse 2014'!D36:S36,'Detaljeret opgørelse 2014'!W36:AF36)&lt;0,SUM('Detaljeret opgørelse 2014'!D36:S36,'Detaljeret opgørelse 2014'!W36:AF36),1)</f>
        <v>0</v>
      </c>
      <c r="D67" s="116"/>
      <c r="E67" s="136">
        <v>0</v>
      </c>
      <c r="F67" s="116"/>
      <c r="G67" s="136">
        <v>0</v>
      </c>
      <c r="H67" s="116"/>
      <c r="I67" s="136">
        <v>0</v>
      </c>
      <c r="J67" s="116"/>
      <c r="K67" s="136">
        <v>0</v>
      </c>
      <c r="L67" s="116"/>
      <c r="M67" s="136">
        <v>0</v>
      </c>
    </row>
    <row r="68" spans="1:13" x14ac:dyDescent="0.25">
      <c r="A68" s="116" t="s">
        <v>12</v>
      </c>
      <c r="B68" s="116"/>
      <c r="C68" s="136">
        <f>SUM('Detaljeret opgørelse 2014'!F36:P36)/IF(SUM('Detaljeret opgørelse 2014'!D36:S36,'Detaljeret opgørelse 2014'!W36:AF36)&lt;0,SUM('Detaljeret opgørelse 2014'!D36:S36,'Detaljeret opgørelse 2014'!W36:AF36),1)</f>
        <v>0</v>
      </c>
      <c r="D68" s="116"/>
      <c r="E68" s="136">
        <v>0</v>
      </c>
      <c r="F68" s="116"/>
      <c r="G68" s="136">
        <v>0</v>
      </c>
      <c r="H68" s="116"/>
      <c r="I68" s="136">
        <v>0</v>
      </c>
      <c r="J68" s="116"/>
      <c r="K68" s="136">
        <v>0</v>
      </c>
      <c r="L68" s="116"/>
      <c r="M68" s="136">
        <v>0</v>
      </c>
    </row>
    <row r="69" spans="1:13" x14ac:dyDescent="0.25">
      <c r="A69" s="231" t="s">
        <v>480</v>
      </c>
      <c r="B69" s="156"/>
      <c r="C69" s="155"/>
      <c r="D69" s="156"/>
      <c r="E69" s="155"/>
      <c r="F69" s="156"/>
      <c r="G69" s="155"/>
      <c r="H69" s="156"/>
      <c r="I69" s="155"/>
      <c r="J69" s="156"/>
      <c r="K69" s="155"/>
      <c r="L69" s="156"/>
      <c r="M69" s="230">
        <v>0</v>
      </c>
    </row>
    <row r="70" spans="1:13" x14ac:dyDescent="0.25">
      <c r="A70" s="133" t="s">
        <v>226</v>
      </c>
      <c r="B70" s="116"/>
      <c r="D70" s="116"/>
      <c r="F70" s="116"/>
      <c r="H70" s="116"/>
      <c r="J70" s="116"/>
      <c r="L70" s="116"/>
    </row>
    <row r="71" spans="1:13" x14ac:dyDescent="0.25">
      <c r="A71" s="115" t="s">
        <v>3</v>
      </c>
      <c r="B71" s="115"/>
      <c r="C71" s="136">
        <f>'Detaljeret opgørelse 2014'!Q37/IF(SUM('Detaljeret opgørelse 2014'!D37:AG37)&lt;0,SUM('Detaljeret opgørelse 2014'!D37:AG37),1)</f>
        <v>0.10000763157629487</v>
      </c>
      <c r="D71" s="115"/>
      <c r="E71" s="136">
        <v>9.8712098570944359E-2</v>
      </c>
      <c r="F71" s="115"/>
      <c r="G71" s="136">
        <v>7.960981065349336E-2</v>
      </c>
      <c r="H71" s="115"/>
      <c r="I71" s="136">
        <v>7.3287590999782992E-2</v>
      </c>
      <c r="J71" s="115"/>
      <c r="K71" s="136">
        <v>7.6646446940015184E-2</v>
      </c>
      <c r="L71" s="115"/>
      <c r="M71" s="220">
        <f>1-M72-M73-M74-M75-M76</f>
        <v>7.6646446940015059E-2</v>
      </c>
    </row>
    <row r="72" spans="1:13" x14ac:dyDescent="0.25">
      <c r="A72" s="115" t="s">
        <v>4</v>
      </c>
      <c r="B72" s="115"/>
      <c r="C72" s="136">
        <f>('Detaljeret opgørelse 2014'!R37+'Detaljeret opgørelse 2014'!S37)/IF(SUM('Detaljeret opgørelse 2014'!D37:AG37)&lt;0,SUM('Detaljeret opgørelse 2014'!D37:AG37),1)</f>
        <v>4.7805345847198568E-4</v>
      </c>
      <c r="D72" s="115"/>
      <c r="E72" s="136">
        <v>8.4373038617292903E-4</v>
      </c>
      <c r="F72" s="115"/>
      <c r="G72" s="136">
        <v>3.4819741231442871E-4</v>
      </c>
      <c r="H72" s="115"/>
      <c r="I72" s="136">
        <v>0</v>
      </c>
      <c r="J72" s="115"/>
      <c r="K72" s="136">
        <v>0</v>
      </c>
      <c r="L72" s="115"/>
      <c r="M72" s="136">
        <v>0</v>
      </c>
    </row>
    <row r="73" spans="1:13" x14ac:dyDescent="0.25">
      <c r="A73" s="115" t="s">
        <v>5</v>
      </c>
      <c r="B73" s="115"/>
      <c r="C73" s="136">
        <f>'Detaljeret opgørelse 2014'!AE37*B121/IF(SUM('Detaljeret opgørelse 2014'!D37:AG37)&lt;0,SUM('Detaljeret opgørelse 2014'!D37:AG37),1)</f>
        <v>0.32750356740193787</v>
      </c>
      <c r="D73" s="115"/>
      <c r="E73" s="136">
        <v>0.33538905845788158</v>
      </c>
      <c r="F73" s="115"/>
      <c r="G73" s="136">
        <v>0.35082919676644964</v>
      </c>
      <c r="H73" s="115"/>
      <c r="I73" s="136">
        <v>0.35658712647121515</v>
      </c>
      <c r="J73" s="115"/>
      <c r="K73" s="136">
        <v>0.34450382782030914</v>
      </c>
      <c r="L73" s="115"/>
      <c r="M73" s="136">
        <v>0.34450382782030914</v>
      </c>
    </row>
    <row r="74" spans="1:13" x14ac:dyDescent="0.25">
      <c r="A74" s="115" t="s">
        <v>188</v>
      </c>
      <c r="B74" s="115"/>
      <c r="C74" s="136">
        <f>(SUM('Detaljeret opgørelse 2014'!X37:AD37)+'Detaljeret opgørelse 2014'!AE37*(1-B121))/IF(SUM('Detaljeret opgørelse 2014'!D37:AG37)&lt;0,SUM('Detaljeret opgørelse 2014'!D37:AG37),1)</f>
        <v>0.50055010705805625</v>
      </c>
      <c r="D74" s="115"/>
      <c r="E74" s="136">
        <v>0.49484338418079588</v>
      </c>
      <c r="F74" s="115"/>
      <c r="G74" s="136">
        <v>0.5033407045837418</v>
      </c>
      <c r="H74" s="115"/>
      <c r="I74" s="136">
        <v>0.51487620298578873</v>
      </c>
      <c r="J74" s="115"/>
      <c r="K74" s="136">
        <v>0.52016708953179625</v>
      </c>
      <c r="L74" s="115"/>
      <c r="M74" s="136">
        <v>0.52016708953179625</v>
      </c>
    </row>
    <row r="75" spans="1:13" x14ac:dyDescent="0.25">
      <c r="A75" s="116" t="s">
        <v>11</v>
      </c>
      <c r="B75" s="116"/>
      <c r="C75" s="136">
        <f>'Detaljeret opgørelse 2014'!AF37/IF(SUM('Detaljeret opgørelse 2014'!D37:AG37)&lt;0,SUM('Detaljeret opgørelse 2014'!D37:AG37),1)</f>
        <v>0</v>
      </c>
      <c r="D75" s="116"/>
      <c r="E75" s="136">
        <v>3.1074256115883533E-3</v>
      </c>
      <c r="F75" s="116"/>
      <c r="G75" s="136">
        <v>7.7479283478936215E-4</v>
      </c>
      <c r="H75" s="116"/>
      <c r="I75" s="136">
        <v>3.4373961819938049E-4</v>
      </c>
      <c r="J75" s="116"/>
      <c r="K75" s="136">
        <v>3.6505950714790325E-4</v>
      </c>
      <c r="L75" s="116"/>
      <c r="M75" s="136">
        <v>3.6505950714790325E-4</v>
      </c>
    </row>
    <row r="76" spans="1:13" x14ac:dyDescent="0.25">
      <c r="A76" s="116" t="s">
        <v>12</v>
      </c>
      <c r="B76" s="116"/>
      <c r="C76" s="136">
        <f>SUM('Detaljeret opgørelse 2014'!F37:P37)/IF(SUM('Detaljeret opgørelse 2014'!D37:AG37)&lt;0,SUM('Detaljeret opgørelse 2014'!D37:AG37),1)</f>
        <v>7.1460640505239148E-2</v>
      </c>
      <c r="D76" s="116"/>
      <c r="E76" s="136">
        <v>6.7104302792616879E-2</v>
      </c>
      <c r="F76" s="116"/>
      <c r="G76" s="136">
        <v>6.5097297749211525E-2</v>
      </c>
      <c r="H76" s="116"/>
      <c r="I76" s="136">
        <v>5.4905339925013737E-2</v>
      </c>
      <c r="J76" s="116"/>
      <c r="K76" s="136">
        <v>5.8317576200731594E-2</v>
      </c>
      <c r="L76" s="116"/>
      <c r="M76" s="136">
        <v>5.8317576200731594E-2</v>
      </c>
    </row>
    <row r="77" spans="1:13" x14ac:dyDescent="0.25">
      <c r="A77" s="231" t="s">
        <v>481</v>
      </c>
      <c r="B77" s="156"/>
      <c r="C77" s="155"/>
      <c r="D77" s="156"/>
      <c r="E77" s="155"/>
      <c r="F77" s="156"/>
      <c r="G77" s="155"/>
      <c r="H77" s="156"/>
      <c r="I77" s="155"/>
      <c r="J77" s="156"/>
      <c r="K77" s="155"/>
      <c r="L77" s="156"/>
      <c r="M77" s="230">
        <v>0</v>
      </c>
    </row>
    <row r="78" spans="1:13" x14ac:dyDescent="0.25">
      <c r="A78" s="133" t="s">
        <v>227</v>
      </c>
      <c r="B78" s="116"/>
      <c r="D78" s="116"/>
      <c r="F78" s="116"/>
      <c r="H78" s="116"/>
      <c r="J78" s="116"/>
      <c r="L78" s="116"/>
    </row>
    <row r="79" spans="1:13" x14ac:dyDescent="0.25">
      <c r="A79" s="116" t="s">
        <v>228</v>
      </c>
      <c r="B79" s="116"/>
      <c r="C79" s="136">
        <f>'Detaljeret opgørelse 2014'!T38/IF('Detaljeret opgørelse 2014'!AI38&gt;0,'Detaljeret opgørelse 2014'!AI38,1)*-1</f>
        <v>0</v>
      </c>
      <c r="D79" s="116"/>
      <c r="E79" s="136">
        <v>0</v>
      </c>
      <c r="F79" s="116"/>
      <c r="G79" s="136">
        <v>0</v>
      </c>
      <c r="H79" s="116"/>
      <c r="I79" s="136">
        <v>0</v>
      </c>
      <c r="J79" s="116"/>
      <c r="K79" s="136">
        <v>0</v>
      </c>
      <c r="L79" s="116"/>
      <c r="M79" s="136">
        <v>0</v>
      </c>
    </row>
    <row r="80" spans="1:13" x14ac:dyDescent="0.25">
      <c r="A80" s="116" t="s">
        <v>229</v>
      </c>
      <c r="B80" s="116"/>
      <c r="C80" s="136">
        <f>('Detaljeret opgørelse 2014'!W38+'Detaljeret opgørelse 2014'!AG38)*(1+1/B118)/IF('Detaljeret opgørelse 2014'!AI38&gt;0,'Detaljeret opgørelse 2014'!AI38,1)*-1</f>
        <v>0</v>
      </c>
      <c r="D80" s="116"/>
      <c r="E80" s="136">
        <v>0</v>
      </c>
      <c r="F80" s="116"/>
      <c r="G80" s="136">
        <v>0</v>
      </c>
      <c r="H80" s="116"/>
      <c r="I80" s="136">
        <v>0</v>
      </c>
      <c r="J80" s="116"/>
      <c r="K80" s="136">
        <v>0</v>
      </c>
      <c r="L80" s="116"/>
      <c r="M80" s="136">
        <v>0</v>
      </c>
    </row>
    <row r="81" spans="1:13" x14ac:dyDescent="0.25">
      <c r="A81" s="116" t="s">
        <v>230</v>
      </c>
      <c r="B81" s="116"/>
      <c r="C81" s="136">
        <f>('Detaljeret opgørelse 2014'!AH38-('Detaljeret opgørelse 2014'!W38+'Detaljeret opgørelse 2014'!AG38)/(B118-1))/IF('Detaljeret opgørelse 2014'!AI38&gt;0,'Detaljeret opgørelse 2014'!AI38,1)*-1</f>
        <v>8.3890904205293562E-3</v>
      </c>
      <c r="D81" s="116"/>
      <c r="E81" s="136">
        <v>8.0512572128639114E-3</v>
      </c>
      <c r="F81" s="116"/>
      <c r="G81" s="136">
        <v>6.9565287607850418E-3</v>
      </c>
      <c r="H81" s="116"/>
      <c r="I81" s="136">
        <v>9.0021418082847759E-3</v>
      </c>
      <c r="J81" s="116"/>
      <c r="K81" s="136">
        <v>8.2022105847431043E-3</v>
      </c>
      <c r="L81" s="116"/>
      <c r="M81" s="136">
        <v>8.2022105847431043E-3</v>
      </c>
    </row>
    <row r="82" spans="1:13" x14ac:dyDescent="0.25">
      <c r="A82" s="116" t="s">
        <v>231</v>
      </c>
      <c r="B82" s="116"/>
      <c r="C82" s="136">
        <f>1-C79-C80-C81</f>
        <v>0.99161090957947062</v>
      </c>
      <c r="D82" s="116"/>
      <c r="E82" s="136">
        <v>0.99194874278713607</v>
      </c>
      <c r="F82" s="116"/>
      <c r="G82" s="136">
        <v>0.99304347123921499</v>
      </c>
      <c r="H82" s="116"/>
      <c r="I82" s="136">
        <v>0.99099785819171526</v>
      </c>
      <c r="J82" s="116"/>
      <c r="K82" s="136">
        <v>0.99179778941525687</v>
      </c>
      <c r="L82" s="116"/>
      <c r="M82" s="220">
        <f>1-M79-M80-M81</f>
        <v>0.99179778941525687</v>
      </c>
    </row>
    <row r="83" spans="1:13" x14ac:dyDescent="0.25">
      <c r="A83" s="115" t="s">
        <v>232</v>
      </c>
      <c r="B83" s="115"/>
      <c r="C83" s="137">
        <f>'Detaljeret opgørelse 2014'!Q38/IF(SUM('Detaljeret opgørelse 2014'!D38:S38,'Detaljeret opgørelse 2014'!X38:AF38)&lt;0,SUM('Detaljeret opgørelse 2014'!D38:S38,'Detaljeret opgørelse 2014'!X38:AF38),1)</f>
        <v>4.4195668857819746E-2</v>
      </c>
      <c r="D83" s="115"/>
      <c r="E83" s="137">
        <v>4.7285986367281471E-2</v>
      </c>
      <c r="F83" s="115"/>
      <c r="G83" s="137">
        <v>6.1254390703794868E-2</v>
      </c>
      <c r="H83" s="115"/>
      <c r="I83" s="137">
        <v>2.0653478314346406E-2</v>
      </c>
      <c r="J83" s="115"/>
      <c r="K83" s="137">
        <v>6.5427054570195028E-2</v>
      </c>
      <c r="L83" s="115"/>
      <c r="M83" s="137">
        <v>6.5427054570195028E-2</v>
      </c>
    </row>
    <row r="84" spans="1:13" x14ac:dyDescent="0.25">
      <c r="A84" s="115" t="s">
        <v>233</v>
      </c>
      <c r="B84" s="115"/>
      <c r="C84" s="137">
        <f>('Detaljeret opgørelse 2014'!R38+'Detaljeret opgørelse 2014'!S38)/IF(SUM('Detaljeret opgørelse 2014'!D38:S38,'Detaljeret opgørelse 2014'!X38:AF38)&lt;0,SUM('Detaljeret opgørelse 2014'!D38:S38,'Detaljeret opgørelse 2014'!X38:AF38),1)</f>
        <v>0</v>
      </c>
      <c r="D84" s="115"/>
      <c r="E84" s="137">
        <v>0</v>
      </c>
      <c r="F84" s="115"/>
      <c r="G84" s="137">
        <v>0</v>
      </c>
      <c r="H84" s="115"/>
      <c r="I84" s="137">
        <v>0</v>
      </c>
      <c r="J84" s="115"/>
      <c r="K84" s="137">
        <v>0</v>
      </c>
      <c r="L84" s="115"/>
      <c r="M84" s="137">
        <v>0</v>
      </c>
    </row>
    <row r="85" spans="1:13" x14ac:dyDescent="0.25">
      <c r="A85" s="115" t="s">
        <v>234</v>
      </c>
      <c r="B85" s="115"/>
      <c r="C85" s="137">
        <f>'Detaljeret opgørelse 2014'!AE38*B121/IF(SUM('Detaljeret opgørelse 2014'!D38:S38,'Detaljeret opgørelse 2014'!X38:AF38)&lt;0,SUM('Detaljeret opgørelse 2014'!D38:S38,'Detaljeret opgørelse 2014'!X38:AF38),1)</f>
        <v>0.32180378057325904</v>
      </c>
      <c r="D85" s="115"/>
      <c r="E85" s="137">
        <v>0.33817887931034485</v>
      </c>
      <c r="F85" s="115"/>
      <c r="G85" s="137">
        <v>0.32930940614351689</v>
      </c>
      <c r="H85" s="115"/>
      <c r="I85" s="137">
        <v>0.34376971687481928</v>
      </c>
      <c r="J85" s="115"/>
      <c r="K85" s="137">
        <v>0.35783503363816982</v>
      </c>
      <c r="L85" s="115"/>
      <c r="M85" s="137">
        <v>0.35783503363816982</v>
      </c>
    </row>
    <row r="86" spans="1:13" x14ac:dyDescent="0.25">
      <c r="A86" s="115" t="s">
        <v>235</v>
      </c>
      <c r="B86" s="115"/>
      <c r="C86" s="137">
        <f>(SUM('Detaljeret opgørelse 2014'!X38:AD38)+'Detaljeret opgørelse 2014'!AE38*(1-B121))/IF(SUM('Detaljeret opgørelse 2014'!D38:S38,'Detaljeret opgørelse 2014'!X38:AF38)&lt;0,SUM('Detaljeret opgørelse 2014'!D38:S38,'Detaljeret opgørelse 2014'!X38:AF38),1)</f>
        <v>0.63185944920862669</v>
      </c>
      <c r="D86" s="115"/>
      <c r="E86" s="137">
        <v>0.61321446471531671</v>
      </c>
      <c r="F86" s="115"/>
      <c r="G86" s="137">
        <v>0.60811399959219803</v>
      </c>
      <c r="H86" s="115"/>
      <c r="I86" s="137">
        <v>0.63424711040785053</v>
      </c>
      <c r="J86" s="115"/>
      <c r="K86" s="137">
        <v>0.57526861679990449</v>
      </c>
      <c r="L86" s="115"/>
      <c r="M86" s="220">
        <f>1-M83-M84-M85-M87-M88</f>
        <v>0.57526861679990449</v>
      </c>
    </row>
    <row r="87" spans="1:13" x14ac:dyDescent="0.25">
      <c r="A87" s="116" t="s">
        <v>236</v>
      </c>
      <c r="B87" s="116"/>
      <c r="C87" s="137">
        <f>'Detaljeret opgørelse 2014'!AF38/IF(SUM('Detaljeret opgørelse 2014'!D38:S38,'Detaljeret opgørelse 2014'!X38:AF38)&lt;0,SUM('Detaljeret opgørelse 2014'!D38:S38,'Detaljeret opgørelse 2014'!X38:AF38),1)</f>
        <v>0</v>
      </c>
      <c r="D87" s="116"/>
      <c r="E87" s="137">
        <v>0</v>
      </c>
      <c r="F87" s="116"/>
      <c r="G87" s="137">
        <v>0</v>
      </c>
      <c r="H87" s="116"/>
      <c r="I87" s="137">
        <v>0</v>
      </c>
      <c r="J87" s="116"/>
      <c r="K87" s="137">
        <v>0</v>
      </c>
      <c r="L87" s="116"/>
      <c r="M87" s="137">
        <v>0</v>
      </c>
    </row>
    <row r="88" spans="1:13" x14ac:dyDescent="0.25">
      <c r="A88" s="116" t="s">
        <v>237</v>
      </c>
      <c r="B88" s="116"/>
      <c r="C88" s="137">
        <f>SUM('Detaljeret opgørelse 2014'!F38:P38)/IF(SUM('Detaljeret opgørelse 2014'!D38:S38,'Detaljeret opgørelse 2014'!X38:AF38)&lt;0,SUM('Detaljeret opgørelse 2014'!D38:S38,'Detaljeret opgørelse 2014'!X38:AF38),1)</f>
        <v>2.1411013602945267E-3</v>
      </c>
      <c r="D88" s="116"/>
      <c r="E88" s="137">
        <v>1.3206696070569364E-3</v>
      </c>
      <c r="F88" s="116"/>
      <c r="G88" s="137">
        <v>1.3222035604902873E-3</v>
      </c>
      <c r="H88" s="116"/>
      <c r="I88" s="137">
        <v>1.3296944029838342E-3</v>
      </c>
      <c r="J88" s="116"/>
      <c r="K88" s="137">
        <v>1.4692949917306918E-3</v>
      </c>
      <c r="L88" s="116"/>
      <c r="M88" s="137">
        <v>1.4692949917306918E-3</v>
      </c>
    </row>
    <row r="89" spans="1:13" x14ac:dyDescent="0.25">
      <c r="A89" s="231" t="s">
        <v>482</v>
      </c>
      <c r="B89" s="156"/>
      <c r="C89" s="155"/>
      <c r="D89" s="156"/>
      <c r="E89" s="155"/>
      <c r="F89" s="156"/>
      <c r="G89" s="155"/>
      <c r="H89" s="156"/>
      <c r="I89" s="155"/>
      <c r="J89" s="156"/>
      <c r="K89" s="155"/>
      <c r="L89" s="156"/>
      <c r="M89" s="230">
        <v>0</v>
      </c>
    </row>
    <row r="90" spans="1:13" x14ac:dyDescent="0.25">
      <c r="A90" s="133" t="s">
        <v>238</v>
      </c>
      <c r="B90" s="116"/>
      <c r="D90" s="116"/>
      <c r="F90" s="116"/>
      <c r="H90" s="116"/>
      <c r="J90" s="116"/>
      <c r="L90" s="116"/>
    </row>
    <row r="91" spans="1:13" x14ac:dyDescent="0.25">
      <c r="A91" s="116" t="s">
        <v>228</v>
      </c>
      <c r="B91" s="116"/>
      <c r="C91" s="136">
        <f>'Detaljeret opgørelse 2014'!T33/IF('Detaljeret opgørelse 2014'!AI33+'Detaljeret opgørelse 2014'!AI34&gt;0,'Detaljeret opgørelse 2014'!AI33+'Detaljeret opgørelse 2014'!AI34,1)*-1</f>
        <v>2.0799878872864254E-2</v>
      </c>
      <c r="D91" s="116"/>
      <c r="E91" s="136">
        <v>2.4008572366856537E-2</v>
      </c>
      <c r="F91" s="116"/>
      <c r="G91" s="136">
        <v>3.9358544471059083E-2</v>
      </c>
      <c r="H91" s="116"/>
      <c r="I91" s="136">
        <v>4.724120028619793E-2</v>
      </c>
      <c r="J91" s="116"/>
      <c r="K91" s="136">
        <v>5.5853096721544128E-2</v>
      </c>
      <c r="L91" s="116"/>
      <c r="M91" s="136">
        <v>5.5853096721544128E-2</v>
      </c>
    </row>
    <row r="92" spans="1:13" x14ac:dyDescent="0.25">
      <c r="A92" s="116" t="s">
        <v>229</v>
      </c>
      <c r="B92" s="228"/>
      <c r="C92" s="229">
        <f>('Detaljeret opgørelse 2014'!W33+'Detaljeret opgørelse 2014'!AG33)*(B118/(B118-1))/IF('Detaljeret opgørelse 2014'!AI33+'Detaljeret opgørelse 2014'!AI34&gt;0,'Detaljeret opgørelse 2014'!AI33+'Detaljeret opgørelse 2014'!AI34,1)*-1</f>
        <v>6.9421932053205472E-3</v>
      </c>
      <c r="D92" s="228"/>
      <c r="E92" s="229">
        <v>5.2902563405694538E-3</v>
      </c>
      <c r="F92" s="228"/>
      <c r="G92" s="229">
        <v>7.9604990762157622E-3</v>
      </c>
      <c r="H92" s="228"/>
      <c r="I92" s="229">
        <v>5.5432670773490622E-3</v>
      </c>
      <c r="J92" s="228"/>
      <c r="K92" s="229">
        <v>3.795039272590475E-3</v>
      </c>
      <c r="L92" s="228"/>
      <c r="M92" s="229">
        <v>3.795039272590475E-3</v>
      </c>
    </row>
    <row r="93" spans="1:13" x14ac:dyDescent="0.25">
      <c r="A93" s="116" t="s">
        <v>230</v>
      </c>
      <c r="B93" s="116"/>
      <c r="C93" s="136">
        <f>('Detaljeret opgørelse 2014'!AH33-('Detaljeret opgørelse 2014'!W33+'Detaljeret opgørelse 2014'!AG33)/(B118-1))/IF('Detaljeret opgørelse 2014'!AI33+'Detaljeret opgørelse 2014'!AI34&gt;0,'Detaljeret opgørelse 2014'!AI33+'Detaljeret opgørelse 2014'!AI34,1)*-1</f>
        <v>1.1034317679787096E-2</v>
      </c>
      <c r="D93" s="116"/>
      <c r="E93" s="136">
        <v>2.214443173625345E-2</v>
      </c>
      <c r="F93" s="116"/>
      <c r="G93" s="136">
        <v>1.7577518191412841E-2</v>
      </c>
      <c r="H93" s="116"/>
      <c r="I93" s="136">
        <v>2.6603555514836338E-2</v>
      </c>
      <c r="J93" s="116"/>
      <c r="K93" s="136">
        <v>2.6424740237040893E-2</v>
      </c>
      <c r="L93" s="116"/>
      <c r="M93" s="136">
        <v>2.6424740237040893E-2</v>
      </c>
    </row>
    <row r="94" spans="1:13" x14ac:dyDescent="0.25">
      <c r="A94" s="116" t="s">
        <v>239</v>
      </c>
      <c r="B94" s="116"/>
      <c r="C94" s="136">
        <f>1-C91-C92-C93</f>
        <v>0.96122361024202807</v>
      </c>
      <c r="D94" s="116"/>
      <c r="E94" s="136">
        <v>0.94855673955632058</v>
      </c>
      <c r="F94" s="116"/>
      <c r="G94" s="136">
        <v>0.93510343826131226</v>
      </c>
      <c r="H94" s="116"/>
      <c r="I94" s="136">
        <v>0.92061197712161669</v>
      </c>
      <c r="J94" s="116"/>
      <c r="K94" s="136">
        <v>0.91392712376882446</v>
      </c>
      <c r="L94" s="116"/>
      <c r="M94" s="220">
        <f>1-M91-M92-M93</f>
        <v>0.91392712376882446</v>
      </c>
    </row>
    <row r="95" spans="1:13" x14ac:dyDescent="0.25">
      <c r="A95" s="115" t="s">
        <v>232</v>
      </c>
      <c r="B95" s="115"/>
      <c r="C95" s="137">
        <f>'Detaljeret opgørelse 2014'!Q33/IF(SUM('Detaljeret opgørelse 2014'!D33:S33,'Detaljeret opgørelse 2014'!X33:AF33)&lt;0,SUM('Detaljeret opgørelse 2014'!D33:S33,'Detaljeret opgørelse 2014'!X33:AF33),1)</f>
        <v>0.43569775359038376</v>
      </c>
      <c r="D95" s="115"/>
      <c r="E95" s="137">
        <v>0.44629736796920205</v>
      </c>
      <c r="F95" s="115"/>
      <c r="G95" s="137">
        <v>0.41110688043248722</v>
      </c>
      <c r="H95" s="115"/>
      <c r="I95" s="137">
        <v>0.37128044202555083</v>
      </c>
      <c r="J95" s="115"/>
      <c r="K95" s="137">
        <v>0.35102049293824428</v>
      </c>
      <c r="L95" s="115"/>
      <c r="M95" s="137">
        <v>0.35102049293824428</v>
      </c>
    </row>
    <row r="96" spans="1:13" x14ac:dyDescent="0.25">
      <c r="A96" s="115" t="s">
        <v>233</v>
      </c>
      <c r="B96" s="115"/>
      <c r="C96" s="137">
        <f>('Detaljeret opgørelse 2014'!R33+'Detaljeret opgørelse 2014'!S33)/IF(SUM('Detaljeret opgørelse 2014'!D33:S33,'Detaljeret opgørelse 2014'!X33:AF33)&lt;0,SUM('Detaljeret opgørelse 2014'!D33:S33,'Detaljeret opgørelse 2014'!X33:AF33),1)</f>
        <v>2.3912629242284302E-3</v>
      </c>
      <c r="D96" s="115"/>
      <c r="E96" s="137">
        <v>2.5324776308890003E-3</v>
      </c>
      <c r="F96" s="115"/>
      <c r="G96" s="137">
        <v>1.3740987209125929E-3</v>
      </c>
      <c r="H96" s="115"/>
      <c r="I96" s="137">
        <v>3.1710579004712862E-3</v>
      </c>
      <c r="J96" s="115"/>
      <c r="K96" s="137">
        <v>3.0484630296316807E-3</v>
      </c>
      <c r="L96" s="115"/>
      <c r="M96" s="137">
        <v>3.0484630296316807E-3</v>
      </c>
    </row>
    <row r="97" spans="1:13" x14ac:dyDescent="0.25">
      <c r="A97" s="115" t="s">
        <v>234</v>
      </c>
      <c r="B97" s="115"/>
      <c r="C97" s="137">
        <f>'Detaljeret opgørelse 2014'!AE33*B121/IF(SUM('Detaljeret opgørelse 2014'!D33:S33,'Detaljeret opgørelse 2014'!X33:AF33)&lt;0,SUM('Detaljeret opgørelse 2014'!D33:S33,'Detaljeret opgørelse 2014'!X33:AF33),1)</f>
        <v>5.9248613668278051E-3</v>
      </c>
      <c r="D97" s="115"/>
      <c r="E97" s="137">
        <v>6.4958441466842496E-3</v>
      </c>
      <c r="F97" s="115"/>
      <c r="G97" s="137">
        <v>6.173780676664466E-3</v>
      </c>
      <c r="H97" s="115"/>
      <c r="I97" s="137">
        <v>6.6791130882287789E-3</v>
      </c>
      <c r="J97" s="115"/>
      <c r="K97" s="137">
        <v>6.5362780393242873E-3</v>
      </c>
      <c r="L97" s="115"/>
      <c r="M97" s="137">
        <v>6.5362780393242873E-3</v>
      </c>
    </row>
    <row r="98" spans="1:13" x14ac:dyDescent="0.25">
      <c r="A98" s="115" t="s">
        <v>235</v>
      </c>
      <c r="B98" s="115"/>
      <c r="C98" s="137">
        <f>(SUM('Detaljeret opgørelse 2014'!X33:AD33)+'Detaljeret opgørelse 2014'!AE33*(1-B121))/IF(SUM('Detaljeret opgørelse 2014'!D33:S33,'Detaljeret opgørelse 2014'!X33:AF33)&lt;0,SUM('Detaljeret opgørelse 2014'!D33:S33,'Detaljeret opgørelse 2014'!X33:AF33),1)</f>
        <v>0.48827251051961501</v>
      </c>
      <c r="D98" s="115"/>
      <c r="E98" s="137">
        <v>0.50732770856012699</v>
      </c>
      <c r="F98" s="115"/>
      <c r="G98" s="137">
        <v>0.55447281385188418</v>
      </c>
      <c r="H98" s="115"/>
      <c r="I98" s="137">
        <v>0.59664997653266583</v>
      </c>
      <c r="J98" s="115"/>
      <c r="K98" s="137">
        <v>0.61140778177790078</v>
      </c>
      <c r="L98" s="115"/>
      <c r="M98" s="220">
        <f>1-M95-M96-M97-M99-M100</f>
        <v>0.61140778177790078</v>
      </c>
    </row>
    <row r="99" spans="1:13" x14ac:dyDescent="0.25">
      <c r="A99" s="116" t="s">
        <v>236</v>
      </c>
      <c r="B99" s="116"/>
      <c r="C99" s="137">
        <f>'Detaljeret opgørelse 2014'!AF33/IF(SUM('Detaljeret opgørelse 2014'!D33:S33,'Detaljeret opgørelse 2014'!X33:AF33)&lt;0,SUM('Detaljeret opgørelse 2014'!D33:S33,'Detaljeret opgørelse 2014'!X33:AF33),1)</f>
        <v>2.1993793214772493E-2</v>
      </c>
      <c r="D99" s="116"/>
      <c r="E99" s="137">
        <v>1.5301529892832923E-2</v>
      </c>
      <c r="F99" s="116"/>
      <c r="G99" s="137">
        <v>6.8501202714939344E-3</v>
      </c>
      <c r="H99" s="116"/>
      <c r="I99" s="137">
        <v>5.0881118046915549E-3</v>
      </c>
      <c r="J99" s="116"/>
      <c r="K99" s="137">
        <v>6.1118803655497086E-3</v>
      </c>
      <c r="L99" s="116"/>
      <c r="M99" s="137">
        <v>6.1118803655497086E-3</v>
      </c>
    </row>
    <row r="100" spans="1:13" x14ac:dyDescent="0.25">
      <c r="A100" s="116" t="s">
        <v>237</v>
      </c>
      <c r="B100" s="116"/>
      <c r="C100" s="137">
        <f>SUM('Detaljeret opgørelse 2014'!F33:P33)/IF(SUM('Detaljeret opgørelse 2014'!D33:S33,'Detaljeret opgørelse 2014'!X33:AF33)&lt;0,SUM('Detaljeret opgørelse 2014'!D33:S33,'Detaljeret opgørelse 2014'!X33:AF33),1)</f>
        <v>4.5719818384172578E-2</v>
      </c>
      <c r="D100" s="116"/>
      <c r="E100" s="137">
        <v>2.204507180026466E-2</v>
      </c>
      <c r="F100" s="116"/>
      <c r="G100" s="137">
        <v>2.002230604655747E-2</v>
      </c>
      <c r="H100" s="116"/>
      <c r="I100" s="137">
        <v>1.713129864839158E-2</v>
      </c>
      <c r="J100" s="116"/>
      <c r="K100" s="137">
        <v>2.1875103849349212E-2</v>
      </c>
      <c r="L100" s="116"/>
      <c r="M100" s="137">
        <v>2.1875103849349212E-2</v>
      </c>
    </row>
    <row r="101" spans="1:13" x14ac:dyDescent="0.25">
      <c r="A101" s="135" t="s">
        <v>240</v>
      </c>
      <c r="B101" s="115"/>
      <c r="D101" s="115"/>
      <c r="F101" s="115"/>
      <c r="H101" s="115"/>
      <c r="J101" s="115"/>
      <c r="L101" s="115"/>
    </row>
    <row r="102" spans="1:13" x14ac:dyDescent="0.25">
      <c r="A102" s="115" t="s">
        <v>2</v>
      </c>
      <c r="B102" s="115"/>
      <c r="C102" s="136">
        <f>('Detaljeret opgørelse 2014'!E18+'Detaljeret opgørelse 2014'!E19)/SUM('Detaljeret opgørelse 2014'!E18:P19)</f>
        <v>3.564061318732676E-2</v>
      </c>
      <c r="D102" s="115"/>
      <c r="E102" s="136">
        <v>3.0310139176656384E-2</v>
      </c>
      <c r="F102" s="115"/>
      <c r="G102" s="136">
        <v>6.5106001289652368E-2</v>
      </c>
      <c r="H102" s="115"/>
      <c r="I102" s="136">
        <v>5.632474816595627E-2</v>
      </c>
      <c r="J102" s="115"/>
      <c r="K102" s="136">
        <v>8.3055671835917944E-2</v>
      </c>
      <c r="L102" s="115"/>
      <c r="M102" s="136">
        <v>8.3055671835917944E-2</v>
      </c>
    </row>
    <row r="103" spans="1:13" x14ac:dyDescent="0.25">
      <c r="A103" s="115" t="s">
        <v>241</v>
      </c>
      <c r="B103" s="115"/>
      <c r="C103" s="136">
        <f>('Detaljeret opgørelse 2014'!F18+'Detaljeret opgørelse 2014'!F19)/SUM('Detaljeret opgørelse 2014'!E18:P19)</f>
        <v>5.785901137656071E-3</v>
      </c>
      <c r="D103" s="115"/>
      <c r="E103" s="136">
        <v>5.2688191512958666E-3</v>
      </c>
      <c r="F103" s="115"/>
      <c r="G103" s="136">
        <v>5.5625840865571249E-3</v>
      </c>
      <c r="H103" s="115"/>
      <c r="I103" s="136">
        <v>4.62752481719948E-3</v>
      </c>
      <c r="J103" s="115"/>
      <c r="K103" s="136">
        <v>5.0144432216108091E-3</v>
      </c>
      <c r="L103" s="115"/>
      <c r="M103" s="136">
        <v>5.0144432216108091E-3</v>
      </c>
    </row>
    <row r="104" spans="1:13" x14ac:dyDescent="0.25">
      <c r="A104" s="116" t="s">
        <v>12</v>
      </c>
      <c r="B104" s="116"/>
      <c r="C104" s="136">
        <f>SUM('Detaljeret opgørelse 2014'!G18:P19)/SUM('Detaljeret opgørelse 2014'!E18:P19)</f>
        <v>0.95857348567501721</v>
      </c>
      <c r="D104" s="116"/>
      <c r="E104" s="136">
        <v>0.96442104167204779</v>
      </c>
      <c r="F104" s="116"/>
      <c r="G104" s="136">
        <v>0.92933141462379065</v>
      </c>
      <c r="H104" s="116"/>
      <c r="I104" s="136">
        <v>0.93904772701684436</v>
      </c>
      <c r="J104" s="116"/>
      <c r="K104" s="136">
        <v>0.91192988494247118</v>
      </c>
      <c r="L104" s="116"/>
      <c r="M104" s="220">
        <f>1-M102-M103</f>
        <v>0.91192988494247129</v>
      </c>
    </row>
    <row r="105" spans="1:13" x14ac:dyDescent="0.25">
      <c r="A105" s="134" t="s">
        <v>242</v>
      </c>
      <c r="B105" s="115"/>
      <c r="D105" s="115"/>
      <c r="F105" s="115"/>
      <c r="H105" s="115"/>
      <c r="J105" s="115"/>
      <c r="L105" s="115"/>
    </row>
    <row r="106" spans="1:13" x14ac:dyDescent="0.25">
      <c r="A106" t="s">
        <v>244</v>
      </c>
      <c r="B106" s="138">
        <f>'Detaljeret opgørelse 2014'!AH19/SUM('Detaljeret opgørelse 2014'!F43:P59)</f>
        <v>4.1704126676211234E-3</v>
      </c>
      <c r="D106" s="138">
        <v>4.1026979471620387E-3</v>
      </c>
      <c r="F106" s="138">
        <v>4.1282544885994877E-3</v>
      </c>
      <c r="H106" s="138">
        <v>4.1153688608043058E-3</v>
      </c>
      <c r="J106" s="138">
        <v>4.058574406622069E-3</v>
      </c>
      <c r="L106" s="138">
        <v>4.058574406622069E-3</v>
      </c>
    </row>
    <row r="107" spans="1:13" x14ac:dyDescent="0.25">
      <c r="A107" t="s">
        <v>245</v>
      </c>
      <c r="B107" s="138">
        <f>SUM('Detaljeret opgørelse 2014'!F19:P19)/SUM('Detaljeret opgørelse 2014'!F18:P18)*-1</f>
        <v>4.9494804279025764E-2</v>
      </c>
      <c r="D107" s="138">
        <v>5.0826641267556677E-2</v>
      </c>
      <c r="F107" s="138">
        <v>4.8533983428066571E-2</v>
      </c>
      <c r="H107" s="138">
        <v>4.9588310633141661E-2</v>
      </c>
      <c r="J107" s="138">
        <v>4.8087399110871447E-2</v>
      </c>
      <c r="L107" s="138">
        <v>4.8087399110871447E-2</v>
      </c>
    </row>
    <row r="108" spans="1:13" x14ac:dyDescent="0.25">
      <c r="A108" t="s">
        <v>246</v>
      </c>
      <c r="B108" s="139">
        <f>('Detaljeret opgørelse 2014'!AH25+'Detaljeret opgørelse 2014'!AH26)/'Detaljeret opgørelse 2014'!AI25</f>
        <v>0.97363307491426365</v>
      </c>
      <c r="D108" s="139">
        <v>0.67131851066874659</v>
      </c>
      <c r="F108" s="139">
        <v>0.78692164595352798</v>
      </c>
      <c r="H108" s="139">
        <v>0.68973703807648334</v>
      </c>
      <c r="J108" s="139">
        <v>0.75485601048358741</v>
      </c>
      <c r="L108" s="139">
        <v>0.75485601048358741</v>
      </c>
    </row>
    <row r="109" spans="1:13" x14ac:dyDescent="0.25">
      <c r="A109" t="s">
        <v>247</v>
      </c>
      <c r="B109" s="139">
        <f>('Detaljeret opgørelse 2014'!AH30+'Detaljeret opgørelse 2014'!AH31)/('Detaljeret opgørelse 2014'!AI30+'Detaljeret opgørelse 2014'!AI31)</f>
        <v>0.45189480655257153</v>
      </c>
      <c r="D109" s="139">
        <v>0.38310396394229512</v>
      </c>
      <c r="F109" s="139">
        <v>0.4296623556262536</v>
      </c>
      <c r="H109" s="139">
        <v>0.43941104091440941</v>
      </c>
      <c r="J109" s="139">
        <v>0.4851520193517091</v>
      </c>
      <c r="L109" s="139">
        <v>0.4851520193517091</v>
      </c>
    </row>
    <row r="110" spans="1:13" x14ac:dyDescent="0.25">
      <c r="A110" t="s">
        <v>248</v>
      </c>
      <c r="B110" s="139">
        <f>'Detaljeret opgørelse 2014'!AH37/'Detaljeret opgørelse 2014'!AI37</f>
        <v>0.3780314068571865</v>
      </c>
      <c r="D110" s="139">
        <v>0.37557011179380934</v>
      </c>
      <c r="F110" s="139">
        <v>0.35012456283980503</v>
      </c>
      <c r="H110" s="139">
        <v>0.33041367642488767</v>
      </c>
      <c r="J110" s="139">
        <v>0.32728608852736057</v>
      </c>
      <c r="L110" s="139">
        <v>0.32728608852736057</v>
      </c>
    </row>
    <row r="111" spans="1:13" x14ac:dyDescent="0.25">
      <c r="A111" s="131" t="s">
        <v>249</v>
      </c>
      <c r="B111" s="139">
        <f>('Detaljeret opgørelse 2014'!AH22+'Detaljeret opgørelse 2014'!AI22+'Detaljeret opgørelse 2014'!AH23+SUM('Detaljeret opgørelse 2014'!T22:W22,'Detaljeret opgørelse 2014'!AG22))/IF(SUM('Detaljeret opgørelse 2014'!D22:S22,'Detaljeret opgørelse 2014'!X22:AF22)&lt;0,SUM('Detaljeret opgørelse 2014'!D22:S22,'Detaljeret opgørelse 2014'!X22:AF22),1)*-1</f>
        <v>0.26065213718533536</v>
      </c>
      <c r="D111" s="139">
        <v>0.23683812023623235</v>
      </c>
      <c r="F111" s="139">
        <v>0.25084470874442499</v>
      </c>
      <c r="H111" s="139">
        <v>0.25617335238791583</v>
      </c>
      <c r="J111" s="139">
        <v>0.22298704303563169</v>
      </c>
      <c r="L111" s="139">
        <v>0.22298704303563169</v>
      </c>
    </row>
    <row r="112" spans="1:13" x14ac:dyDescent="0.25">
      <c r="A112" s="131" t="s">
        <v>250</v>
      </c>
      <c r="B112" s="139">
        <f>('Detaljeret opgørelse 2014'!AH25+'Detaljeret opgørelse 2014'!AI25+'Detaljeret opgørelse 2014'!AH26+SUM('Detaljeret opgørelse 2014'!T25:W25,'Detaljeret opgørelse 2014'!AG25))/IF(SUM('Detaljeret opgørelse 2014'!D25:S25,'Detaljeret opgørelse 2014'!X25:AF25)&lt;0,SUM('Detaljeret opgørelse 2014'!D25:S25,'Detaljeret opgørelse 2014'!X25:AF25),1)*-1</f>
        <v>0.66738335178638464</v>
      </c>
      <c r="D112" s="139">
        <v>0.75025763183998595</v>
      </c>
      <c r="F112" s="139">
        <v>0.71442518925592513</v>
      </c>
      <c r="H112" s="139">
        <v>0.73645147838539704</v>
      </c>
      <c r="J112" s="139">
        <v>0.72047441137085377</v>
      </c>
      <c r="L112" s="139">
        <v>0.72047441137085377</v>
      </c>
    </row>
    <row r="113" spans="1:12" x14ac:dyDescent="0.25">
      <c r="A113" s="131" t="s">
        <v>251</v>
      </c>
      <c r="B113" s="139">
        <f>('Detaljeret opgørelse 2014'!AH30+'Detaljeret opgørelse 2014'!AI30+'Detaljeret opgørelse 2014'!AH31+'Detaljeret opgørelse 2014'!AI31+SUM('Detaljeret opgørelse 2014'!T30:W30,'Detaljeret opgørelse 2014'!AG30))/IF(SUM('Detaljeret opgørelse 2014'!D30:S30,'Detaljeret opgørelse 2014'!X30:AF30)&lt;0,SUM('Detaljeret opgørelse 2014'!D30:S30,'Detaljeret opgørelse 2014'!X30:AF30),1)*-1</f>
        <v>0.83243856886512635</v>
      </c>
      <c r="D113" s="139">
        <v>0.85532941373336635</v>
      </c>
      <c r="F113" s="139">
        <v>0.85685322145329745</v>
      </c>
      <c r="H113" s="139">
        <v>0.85989445328713021</v>
      </c>
      <c r="J113" s="139">
        <v>0.87289709739044774</v>
      </c>
      <c r="L113" s="139">
        <v>0.87289709739044774</v>
      </c>
    </row>
    <row r="114" spans="1:12" x14ac:dyDescent="0.25">
      <c r="A114" s="131" t="s">
        <v>252</v>
      </c>
      <c r="B114" s="139">
        <f>('Detaljeret opgørelse 2014'!AH36+'Detaljeret opgørelse 2014'!AI36+SUM('Detaljeret opgørelse 2014'!T36:W36,'Detaljeret opgørelse 2014'!AG36))/IF(SUM('Detaljeret opgørelse 2014'!D36:S36,'Detaljeret opgørelse 2014'!X36:AF36)&lt;0,SUM('Detaljeret opgørelse 2014'!D36:S36,'Detaljeret opgørelse 2014'!X36:AF36),1)*-1</f>
        <v>0.32355182926828441</v>
      </c>
      <c r="D114" s="139">
        <v>0.2049549549549563</v>
      </c>
      <c r="F114" s="139">
        <v>0.1888586956521566</v>
      </c>
      <c r="H114" s="139">
        <v>0.23505154639175757</v>
      </c>
      <c r="J114" s="139">
        <v>0.26347826086958259</v>
      </c>
      <c r="L114" s="139">
        <v>0.26347826086958259</v>
      </c>
    </row>
    <row r="115" spans="1:12" x14ac:dyDescent="0.25">
      <c r="A115" s="131" t="s">
        <v>253</v>
      </c>
      <c r="B115" s="139">
        <f>('Detaljeret opgørelse 2014'!AH37+'Detaljeret opgørelse 2014'!AI37+SUM('Detaljeret opgørelse 2014'!T37:W37,'Detaljeret opgørelse 2014'!AG37))/IF(SUM('Detaljeret opgørelse 2014'!D37:S37,'Detaljeret opgørelse 2014'!X37:AF37)&lt;0,SUM('Detaljeret opgørelse 2014'!D37:S37,'Detaljeret opgørelse 2014'!X37:AF37),1)*-1</f>
        <v>0.75908351968298715</v>
      </c>
      <c r="D115" s="139">
        <v>0.78522138701143152</v>
      </c>
      <c r="F115" s="139">
        <v>0.79896269632806394</v>
      </c>
      <c r="H115" s="139">
        <v>0.83033637925590387</v>
      </c>
      <c r="J115" s="139">
        <v>0.85244278399494255</v>
      </c>
      <c r="L115" s="139">
        <v>0.85244278399494255</v>
      </c>
    </row>
    <row r="116" spans="1:12" x14ac:dyDescent="0.25">
      <c r="A116" s="131" t="s">
        <v>254</v>
      </c>
      <c r="B116" s="139">
        <f>('Detaljeret opgørelse 2014'!AI38+SUM('Detaljeret opgørelse 2014'!T38:W38,'Detaljeret opgørelse 2014'!AG38:AH38))/IF(SUM('Detaljeret opgørelse 2014'!D38:S38,'Detaljeret opgørelse 2014'!X38:AF38)&lt;0,SUM('Detaljeret opgørelse 2014'!D38:S38,'Detaljeret opgørelse 2014'!X38:AF38),1)*-1</f>
        <v>1.5392071807534453</v>
      </c>
      <c r="D116" s="139">
        <v>1.4832422814755415</v>
      </c>
      <c r="F116" s="139">
        <v>1.5510645945838002</v>
      </c>
      <c r="H116" s="139">
        <v>2.1133464751463498</v>
      </c>
      <c r="J116" s="139">
        <v>2.3796571403755751</v>
      </c>
      <c r="L116" s="139">
        <v>2.3796571403755751</v>
      </c>
    </row>
    <row r="117" spans="1:12" x14ac:dyDescent="0.25">
      <c r="A117" s="131" t="s">
        <v>255</v>
      </c>
      <c r="B117" s="139">
        <f>('Detaljeret opgørelse 2014'!AI33+'Detaljeret opgørelse 2014'!AI34+SUM('Detaljeret opgørelse 2014'!T33:W33,'Detaljeret opgørelse 2014'!AG33:AH33))/IF(SUM('Detaljeret opgørelse 2014'!D33:S33,'Detaljeret opgørelse 2014'!X33:AF33)&lt;0,SUM('Detaljeret opgørelse 2014'!D33:S33,'Detaljeret opgørelse 2014'!X33:AF33),1)*-1</f>
        <v>0.9284660113576646</v>
      </c>
      <c r="D117" s="139">
        <v>0.96852397109605004</v>
      </c>
      <c r="F117" s="139">
        <v>0.96979047678830343</v>
      </c>
      <c r="H117" s="139">
        <v>0.97756285438063162</v>
      </c>
      <c r="J117" s="139">
        <v>0.97911409581833275</v>
      </c>
      <c r="L117" s="139">
        <v>0.97911409581833275</v>
      </c>
    </row>
    <row r="118" spans="1:12" x14ac:dyDescent="0.25">
      <c r="A118" s="131" t="s">
        <v>256</v>
      </c>
      <c r="B118" s="140">
        <v>4</v>
      </c>
      <c r="D118" s="140">
        <v>4</v>
      </c>
      <c r="F118" s="140">
        <v>4</v>
      </c>
      <c r="H118" s="140">
        <v>4</v>
      </c>
      <c r="J118" s="140">
        <v>4</v>
      </c>
      <c r="L118" s="140">
        <v>4</v>
      </c>
    </row>
    <row r="119" spans="1:12" x14ac:dyDescent="0.25">
      <c r="A119" s="131" t="s">
        <v>257</v>
      </c>
      <c r="B119" s="140"/>
      <c r="D119" s="140"/>
      <c r="F119" s="140"/>
      <c r="H119" s="140"/>
      <c r="J119" s="140"/>
      <c r="L119" s="140"/>
    </row>
    <row r="120" spans="1:12" x14ac:dyDescent="0.25">
      <c r="A120" s="131" t="s">
        <v>258</v>
      </c>
      <c r="B120" s="139">
        <f>(SUM('Detaljeret opgørelse 2014'!F18:P18)+SUM('Detaljeret opgørelse 2014'!F19:P19)+SUM('Detaljeret opgørelse 2014'!F13:P13))/'Detaljeret opgørelse 2014'!D18*-1</f>
        <v>0.91510750266680896</v>
      </c>
      <c r="D120" s="139">
        <v>0.92880758363282812</v>
      </c>
      <c r="F120" s="139">
        <v>0.91106522769066467</v>
      </c>
      <c r="H120" s="139">
        <v>0.90384301414467427</v>
      </c>
      <c r="J120" s="139">
        <v>0.87591265214246372</v>
      </c>
      <c r="L120" s="139">
        <v>0.87591265214246372</v>
      </c>
    </row>
    <row r="121" spans="1:12" x14ac:dyDescent="0.25">
      <c r="A121" s="131" t="s">
        <v>259</v>
      </c>
      <c r="B121">
        <v>0.45</v>
      </c>
      <c r="D121">
        <v>0.45</v>
      </c>
      <c r="F121">
        <v>0.45</v>
      </c>
      <c r="H121">
        <v>0.45</v>
      </c>
      <c r="J121">
        <v>0.45</v>
      </c>
      <c r="L121">
        <v>0.45</v>
      </c>
    </row>
    <row r="123" spans="1:12" x14ac:dyDescent="0.25">
      <c r="J123" s="217"/>
      <c r="K123" s="218" t="s">
        <v>260</v>
      </c>
      <c r="L123" s="218">
        <v>2030</v>
      </c>
    </row>
    <row r="124" spans="1:12" x14ac:dyDescent="0.25">
      <c r="J124" s="217"/>
      <c r="K124" s="218" t="s">
        <v>22</v>
      </c>
      <c r="L124" s="218" t="s">
        <v>22</v>
      </c>
    </row>
    <row r="125" spans="1:12" x14ac:dyDescent="0.25">
      <c r="J125" s="54" t="s">
        <v>120</v>
      </c>
      <c r="K125" s="217"/>
      <c r="L125" s="217"/>
    </row>
    <row r="126" spans="1:12" x14ac:dyDescent="0.25">
      <c r="J126" s="217" t="s">
        <v>3</v>
      </c>
      <c r="K126" s="217">
        <v>0.3</v>
      </c>
      <c r="L126" s="217">
        <v>0.3</v>
      </c>
    </row>
    <row r="127" spans="1:12" x14ac:dyDescent="0.25">
      <c r="J127" s="217" t="s">
        <v>12</v>
      </c>
      <c r="K127" s="217">
        <v>0.3</v>
      </c>
      <c r="L127" s="217">
        <v>0.3</v>
      </c>
    </row>
    <row r="128" spans="1:12" x14ac:dyDescent="0.25">
      <c r="J128" s="217" t="s">
        <v>261</v>
      </c>
      <c r="K128" s="217">
        <v>0.3</v>
      </c>
      <c r="L128" s="217">
        <v>0.3</v>
      </c>
    </row>
    <row r="129" spans="10:12" x14ac:dyDescent="0.25">
      <c r="J129" s="217" t="s">
        <v>13</v>
      </c>
      <c r="K129" s="217">
        <v>0.95</v>
      </c>
      <c r="L129" s="217">
        <v>0.95</v>
      </c>
    </row>
    <row r="130" spans="10:12" x14ac:dyDescent="0.25">
      <c r="J130" s="217"/>
      <c r="K130" s="217"/>
      <c r="L130" s="217"/>
    </row>
    <row r="131" spans="10:12" x14ac:dyDescent="0.25">
      <c r="J131" s="54" t="s">
        <v>154</v>
      </c>
      <c r="K131" s="217"/>
      <c r="L131" s="217"/>
    </row>
    <row r="132" spans="10:12" x14ac:dyDescent="0.25">
      <c r="J132" s="221" t="s">
        <v>10</v>
      </c>
      <c r="K132" s="222">
        <v>1</v>
      </c>
      <c r="L132" s="217">
        <v>1</v>
      </c>
    </row>
    <row r="133" spans="10:12" x14ac:dyDescent="0.25">
      <c r="J133" s="223" t="s">
        <v>262</v>
      </c>
      <c r="K133" s="222">
        <v>0.3</v>
      </c>
      <c r="L133" s="217">
        <v>0.3</v>
      </c>
    </row>
    <row r="134" spans="10:12" x14ac:dyDescent="0.25">
      <c r="J134" s="223" t="s">
        <v>12</v>
      </c>
      <c r="K134" s="222">
        <v>0.3</v>
      </c>
      <c r="L134" s="217">
        <v>0.3</v>
      </c>
    </row>
    <row r="135" spans="10:12" x14ac:dyDescent="0.25">
      <c r="J135" s="223" t="s">
        <v>13</v>
      </c>
      <c r="K135" s="222">
        <v>1</v>
      </c>
      <c r="L135" s="217">
        <v>1</v>
      </c>
    </row>
    <row r="136" spans="10:12" x14ac:dyDescent="0.25">
      <c r="J136" s="217"/>
      <c r="K136" s="217"/>
      <c r="L136" s="217"/>
    </row>
    <row r="137" spans="10:12" x14ac:dyDescent="0.25">
      <c r="J137" s="54" t="s">
        <v>263</v>
      </c>
      <c r="K137" s="217"/>
      <c r="L137" s="217"/>
    </row>
    <row r="138" spans="10:12" x14ac:dyDescent="0.25">
      <c r="J138" s="217" t="s">
        <v>3</v>
      </c>
      <c r="K138" s="217">
        <v>0.8</v>
      </c>
      <c r="L138" s="217">
        <v>0.8</v>
      </c>
    </row>
    <row r="139" spans="10:12" x14ac:dyDescent="0.25">
      <c r="J139" s="217" t="s">
        <v>12</v>
      </c>
      <c r="K139" s="217">
        <v>0.8</v>
      </c>
      <c r="L139" s="217">
        <v>0.8</v>
      </c>
    </row>
    <row r="140" spans="10:12" x14ac:dyDescent="0.25">
      <c r="J140" s="217" t="s">
        <v>6</v>
      </c>
      <c r="K140" s="217">
        <v>0.8</v>
      </c>
      <c r="L140" s="217">
        <v>0.8</v>
      </c>
    </row>
    <row r="141" spans="10:12" x14ac:dyDescent="0.25">
      <c r="J141" s="217" t="s">
        <v>264</v>
      </c>
      <c r="K141" s="217">
        <v>0.8</v>
      </c>
      <c r="L141" s="217">
        <v>0.8</v>
      </c>
    </row>
    <row r="142" spans="10:12" x14ac:dyDescent="0.25">
      <c r="J142" s="217" t="s">
        <v>4</v>
      </c>
      <c r="K142" s="217">
        <v>0.8</v>
      </c>
      <c r="L142" s="217">
        <v>0.8</v>
      </c>
    </row>
    <row r="143" spans="10:12" x14ac:dyDescent="0.25">
      <c r="J143" s="217" t="s">
        <v>265</v>
      </c>
      <c r="K143" s="217">
        <v>1</v>
      </c>
      <c r="L143" s="217">
        <v>1</v>
      </c>
    </row>
    <row r="144" spans="10:12" x14ac:dyDescent="0.25">
      <c r="J144" s="217" t="s">
        <v>13</v>
      </c>
      <c r="K144" s="217">
        <v>1</v>
      </c>
      <c r="L144" s="217">
        <v>1</v>
      </c>
    </row>
    <row r="145" spans="10:12" x14ac:dyDescent="0.25">
      <c r="J145" s="217" t="s">
        <v>14</v>
      </c>
      <c r="K145" s="217">
        <v>1</v>
      </c>
      <c r="L145" s="217">
        <v>1</v>
      </c>
    </row>
  </sheetData>
  <mergeCells count="18">
    <mergeCell ref="B3:C3"/>
    <mergeCell ref="B2:C2"/>
    <mergeCell ref="B1:C1"/>
    <mergeCell ref="D3:E3"/>
    <mergeCell ref="D1:E1"/>
    <mergeCell ref="D2:E2"/>
    <mergeCell ref="F3:G3"/>
    <mergeCell ref="F1:G1"/>
    <mergeCell ref="F2:G2"/>
    <mergeCell ref="L3:M3"/>
    <mergeCell ref="L1:M1"/>
    <mergeCell ref="L2:M2"/>
    <mergeCell ref="H3:I3"/>
    <mergeCell ref="H1:I1"/>
    <mergeCell ref="H2:I2"/>
    <mergeCell ref="J3:K3"/>
    <mergeCell ref="J1:K1"/>
    <mergeCell ref="J2:K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O67"/>
  <sheetViews>
    <sheetView topLeftCell="A16" workbookViewId="0">
      <selection activeCell="C56" sqref="C56"/>
    </sheetView>
  </sheetViews>
  <sheetFormatPr defaultRowHeight="15" x14ac:dyDescent="0.25"/>
  <cols>
    <col min="1" max="1" width="47.140625" customWidth="1"/>
    <col min="2" max="2" width="10.85546875" customWidth="1"/>
    <col min="3" max="3" width="11.140625" customWidth="1"/>
    <col min="4" max="4" width="13.42578125" customWidth="1"/>
    <col min="5" max="5" width="11.28515625" customWidth="1"/>
  </cols>
  <sheetData>
    <row r="1" spans="1:15" x14ac:dyDescent="0.25">
      <c r="A1" s="110"/>
      <c r="B1" s="110"/>
      <c r="C1" s="110"/>
      <c r="D1" s="110"/>
      <c r="E1" s="110"/>
      <c r="F1" s="110"/>
      <c r="G1" s="110"/>
      <c r="H1" s="110"/>
      <c r="I1" s="110"/>
    </row>
    <row r="2" spans="1:15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25">
      <c r="A3" s="110" t="s">
        <v>266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x14ac:dyDescent="0.25">
      <c r="A4" s="110"/>
      <c r="B4" s="112" t="s">
        <v>267</v>
      </c>
      <c r="C4" s="112" t="s">
        <v>268</v>
      </c>
      <c r="D4" s="111" t="s">
        <v>269</v>
      </c>
      <c r="E4" s="111" t="s">
        <v>270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x14ac:dyDescent="0.25">
      <c r="A5" s="110" t="s">
        <v>271</v>
      </c>
      <c r="B5" s="111">
        <v>50</v>
      </c>
      <c r="C5" s="111">
        <f>Energibalance!X9</f>
        <v>755.81138275188459</v>
      </c>
      <c r="D5" s="111"/>
      <c r="E5" s="111">
        <f t="shared" ref="E5:E15" si="0">(C5)/(B5-D5*4)</f>
        <v>15.116227655037692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5">
      <c r="A6" s="110" t="s">
        <v>272</v>
      </c>
      <c r="B6" s="111">
        <v>14</v>
      </c>
      <c r="C6" s="111">
        <f>Energibalance!X10</f>
        <v>55.857906350135899</v>
      </c>
      <c r="D6" s="111"/>
      <c r="E6" s="111">
        <f t="shared" si="0"/>
        <v>3.9898504535811354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x14ac:dyDescent="0.25">
      <c r="A7" s="110" t="s">
        <v>273</v>
      </c>
      <c r="B7" s="111">
        <v>60</v>
      </c>
      <c r="C7" s="111">
        <f>Energibalance!S11*-1</f>
        <v>604.30117371892379</v>
      </c>
      <c r="D7" s="111">
        <v>4</v>
      </c>
      <c r="E7" s="111">
        <f t="shared" si="0"/>
        <v>13.734117584520995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x14ac:dyDescent="0.25">
      <c r="A8" s="110" t="s">
        <v>274</v>
      </c>
      <c r="B8" s="111">
        <v>50</v>
      </c>
      <c r="C8" s="111">
        <f>Energibalance!X11</f>
        <v>536.15133969757835</v>
      </c>
      <c r="D8" s="111">
        <v>4</v>
      </c>
      <c r="E8" s="111">
        <f t="shared" si="0"/>
        <v>15.769157049928776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x14ac:dyDescent="0.25">
      <c r="A9" s="110" t="s">
        <v>275</v>
      </c>
      <c r="B9" s="111">
        <v>5</v>
      </c>
      <c r="C9" s="111">
        <f>(Energibalance!C28+Energibalance!D28+Energibalance!E28+Energibalance!F28+Energibalance!G28+Energibalance!H28+Energibalance!M28)*-1</f>
        <v>214.03888818778429</v>
      </c>
      <c r="D9" s="111"/>
      <c r="E9" s="111">
        <f t="shared" si="0"/>
        <v>42.80777763755686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x14ac:dyDescent="0.25">
      <c r="A10" s="110" t="s">
        <v>276</v>
      </c>
      <c r="B10" s="111">
        <v>50</v>
      </c>
      <c r="C10" s="111">
        <f>Energibalance!S26*-1</f>
        <v>536.15133969757835</v>
      </c>
      <c r="D10" s="111"/>
      <c r="E10" s="111">
        <f t="shared" si="0"/>
        <v>10.723026793951567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x14ac:dyDescent="0.25">
      <c r="A11" s="110" t="s">
        <v>277</v>
      </c>
      <c r="B11" s="111">
        <v>10</v>
      </c>
      <c r="C11" s="111">
        <f>Energibalance!X27</f>
        <v>10.838101595802014</v>
      </c>
      <c r="D11" s="111"/>
      <c r="E11" s="111">
        <f t="shared" si="0"/>
        <v>1.0838101595802014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x14ac:dyDescent="0.25">
      <c r="A12" s="110" t="s">
        <v>278</v>
      </c>
      <c r="B12" s="111">
        <v>60</v>
      </c>
      <c r="C12" s="111">
        <f>Energibalance!S28*-1</f>
        <v>724.09033223708707</v>
      </c>
      <c r="D12" s="111">
        <v>6</v>
      </c>
      <c r="E12" s="111">
        <f t="shared" si="0"/>
        <v>20.113620339919084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x14ac:dyDescent="0.25">
      <c r="A13" s="110" t="s">
        <v>279</v>
      </c>
      <c r="B13" s="111">
        <v>24</v>
      </c>
      <c r="C13" s="111">
        <f>Energibalance!AQ11</f>
        <v>84.233162039039911</v>
      </c>
      <c r="D13" s="111"/>
      <c r="E13" s="111">
        <f t="shared" si="0"/>
        <v>3.5097150849599963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x14ac:dyDescent="0.25">
      <c r="A14" s="110" t="s">
        <v>280</v>
      </c>
      <c r="B14" s="111">
        <v>24</v>
      </c>
      <c r="C14" s="111">
        <f>Energibalance!AQ28</f>
        <v>627.27613891425449</v>
      </c>
      <c r="D14" s="111"/>
      <c r="E14" s="111">
        <f t="shared" si="0"/>
        <v>26.136505788093938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x14ac:dyDescent="0.25">
      <c r="A15" s="110" t="s">
        <v>281</v>
      </c>
      <c r="B15" s="111">
        <v>7.6</v>
      </c>
      <c r="C15" s="111">
        <f>Energibalance!AQ26</f>
        <v>36.937997244077508</v>
      </c>
      <c r="D15" s="111"/>
      <c r="E15" s="111">
        <f t="shared" si="0"/>
        <v>4.8602627952733561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x14ac:dyDescent="0.2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x14ac:dyDescent="0.25">
      <c r="A17" t="s">
        <v>8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x14ac:dyDescent="0.25">
      <c r="A18" t="s">
        <v>282</v>
      </c>
      <c r="B18">
        <v>14</v>
      </c>
      <c r="C18">
        <f>Energibalance!AH10</f>
        <v>50.100529630191389</v>
      </c>
      <c r="E18">
        <f t="shared" ref="E18" si="1">(C18)/(B18-D18*4)</f>
        <v>3.5786092592993848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x14ac:dyDescent="0.25"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x14ac:dyDescent="0.25">
      <c r="A20" s="110" t="s">
        <v>283</v>
      </c>
      <c r="B20" s="111">
        <v>60</v>
      </c>
      <c r="C20" s="111">
        <f>Energibalance!S13*-1</f>
        <v>238.48943033965395</v>
      </c>
      <c r="D20" s="111">
        <v>4</v>
      </c>
      <c r="E20" s="111">
        <f>(C20)/(B20-D20*4)</f>
        <v>5.4202143259012265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x14ac:dyDescent="0.25">
      <c r="A22" s="110" t="s">
        <v>89</v>
      </c>
      <c r="B22" s="111">
        <v>60</v>
      </c>
      <c r="C22" s="111">
        <f>Energibalance!S14*-1</f>
        <v>114.37284755014275</v>
      </c>
      <c r="D22" s="111">
        <v>2</v>
      </c>
      <c r="E22" s="111">
        <f>(C22)/(B22-D22*4)</f>
        <v>2.1994778375027453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x14ac:dyDescent="0.25">
      <c r="A24" s="110" t="s">
        <v>97</v>
      </c>
      <c r="B24" s="111">
        <v>60</v>
      </c>
      <c r="C24" s="111">
        <f>Energibalance!S18*-1</f>
        <v>42.987782305278024</v>
      </c>
      <c r="D24" s="111">
        <v>3</v>
      </c>
      <c r="E24" s="111">
        <f>(C24)/(B24-D24*4)</f>
        <v>0.89557879802662554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x14ac:dyDescent="0.25">
      <c r="A26" s="110" t="s">
        <v>120</v>
      </c>
      <c r="B26" s="111">
        <v>60</v>
      </c>
      <c r="C26" s="111">
        <f>Energibalance!S30*-1</f>
        <v>222.74107412450533</v>
      </c>
      <c r="D26" s="111">
        <v>6</v>
      </c>
      <c r="E26" s="111">
        <f>(C26)/(B26-D26*4)</f>
        <v>6.1872520590140372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x14ac:dyDescent="0.2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x14ac:dyDescent="0.25">
      <c r="A28" s="110" t="s">
        <v>284</v>
      </c>
      <c r="B28" s="111">
        <v>60</v>
      </c>
      <c r="C28" s="111">
        <f>Energibalance!S37*-1</f>
        <v>192.25204892819966</v>
      </c>
      <c r="D28" s="111">
        <v>2</v>
      </c>
      <c r="E28" s="111">
        <f>(C28)/(B28-D28*4)</f>
        <v>3.6971547870807626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x14ac:dyDescent="0.2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x14ac:dyDescent="0.25">
      <c r="A30" s="110" t="s">
        <v>285</v>
      </c>
      <c r="B30" s="111">
        <v>60</v>
      </c>
      <c r="C30" s="111">
        <f>Energibalance!S40*-1</f>
        <v>83.367970029204514</v>
      </c>
      <c r="D30" s="111">
        <v>4</v>
      </c>
      <c r="E30" s="111">
        <f>(C30)/(B30-D30*4)</f>
        <v>1.89472659157283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x14ac:dyDescent="0.25">
      <c r="A32" s="110" t="s">
        <v>150</v>
      </c>
      <c r="B32" s="111">
        <v>60</v>
      </c>
      <c r="C32" s="111">
        <f>Energibalance!S45*-1</f>
        <v>128.91504583234493</v>
      </c>
      <c r="D32" s="111">
        <v>4</v>
      </c>
      <c r="E32" s="111">
        <f>(C32)/(B32-D32*4)</f>
        <v>2.9298874052805668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x14ac:dyDescent="0.2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x14ac:dyDescent="0.25">
      <c r="A34" s="110" t="s">
        <v>286</v>
      </c>
      <c r="B34" s="111">
        <v>60</v>
      </c>
      <c r="C34" s="111" t="e">
        <f>Energibalance!#REF!*-1</f>
        <v>#REF!</v>
      </c>
      <c r="D34" s="111">
        <v>2</v>
      </c>
      <c r="E34" s="111" t="e">
        <f>(C34)/(B34-D34*4)</f>
        <v>#REF!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 x14ac:dyDescent="0.25">
      <c r="A36" s="110" t="s">
        <v>287</v>
      </c>
      <c r="B36" s="111">
        <v>60</v>
      </c>
      <c r="C36" s="111" t="e">
        <f>Energibalance!#REF!*-1</f>
        <v>#REF!</v>
      </c>
      <c r="D36" s="111">
        <v>9</v>
      </c>
      <c r="E36" s="111" t="e">
        <f>(C36)/(B36-D36*4)</f>
        <v>#REF!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 x14ac:dyDescent="0.25">
      <c r="A38" s="110" t="s">
        <v>288</v>
      </c>
      <c r="B38" s="111">
        <v>60</v>
      </c>
      <c r="C38" s="111" t="e">
        <f>Energibalance!#REF!*-1</f>
        <v>#REF!</v>
      </c>
      <c r="D38" s="111">
        <v>10</v>
      </c>
      <c r="E38" s="111" t="e">
        <f>(C38)/(B38-D38*4)</f>
        <v>#REF!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5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x14ac:dyDescent="0.25">
      <c r="A40" s="110" t="s">
        <v>289</v>
      </c>
      <c r="B40" s="111">
        <v>60</v>
      </c>
      <c r="C40" s="111" t="e">
        <f>Energibalance!#REF!*-1</f>
        <v>#REF!</v>
      </c>
      <c r="D40" s="111">
        <v>5</v>
      </c>
      <c r="E40" s="111" t="e">
        <f>(C40)/(B40-D40*4)</f>
        <v>#REF!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x14ac:dyDescent="0.2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x14ac:dyDescent="0.25">
      <c r="A42" s="110" t="s">
        <v>290</v>
      </c>
      <c r="B42" s="111">
        <v>60</v>
      </c>
      <c r="C42" s="111" t="e">
        <f>Energibalance!#REF!*-1</f>
        <v>#REF!</v>
      </c>
      <c r="D42" s="111">
        <v>3</v>
      </c>
      <c r="E42" s="111" t="e">
        <f>(C42)/(B42-D42*4)</f>
        <v>#REF!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x14ac:dyDescent="0.2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x14ac:dyDescent="0.25">
      <c r="A44" s="110" t="s">
        <v>291</v>
      </c>
      <c r="B44" s="111">
        <v>50</v>
      </c>
      <c r="C44" s="111">
        <f>Energibalance!S11*-1</f>
        <v>604.30117371892379</v>
      </c>
      <c r="D44" s="111">
        <v>4</v>
      </c>
      <c r="E44" s="111">
        <f>(C44)/(B44-D44*4)</f>
        <v>17.773563932909525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x14ac:dyDescent="0.25">
      <c r="A45" s="110" t="s">
        <v>292</v>
      </c>
      <c r="B45" s="111">
        <v>25</v>
      </c>
      <c r="C45" s="111">
        <f>Energibalance!AQ11</f>
        <v>84.233162039039911</v>
      </c>
      <c r="D45" s="111"/>
      <c r="E45" s="111">
        <f t="shared" ref="E45:E55" si="2">(C45)/(B45-D45*4)</f>
        <v>3.3693264815615964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x14ac:dyDescent="0.25">
      <c r="A46" s="110" t="s">
        <v>293</v>
      </c>
      <c r="B46" s="111">
        <v>50</v>
      </c>
      <c r="C46" s="111">
        <f>Energibalance!S28*-1</f>
        <v>724.09033223708707</v>
      </c>
      <c r="D46" s="111">
        <v>6</v>
      </c>
      <c r="E46" s="111">
        <f t="shared" si="2"/>
        <v>27.849628162964887</v>
      </c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x14ac:dyDescent="0.25">
      <c r="A47" s="110" t="s">
        <v>294</v>
      </c>
      <c r="B47" s="111">
        <v>25</v>
      </c>
      <c r="C47" s="111">
        <f>Energibalance!AQ28</f>
        <v>627.27613891425449</v>
      </c>
      <c r="D47" s="111"/>
      <c r="E47" s="111">
        <f t="shared" si="2"/>
        <v>25.09104555657018</v>
      </c>
      <c r="F47" s="110"/>
      <c r="G47" s="110"/>
      <c r="H47" s="110"/>
      <c r="I47" s="110"/>
    </row>
    <row r="48" spans="1:15" x14ac:dyDescent="0.25">
      <c r="A48" s="110" t="s">
        <v>16</v>
      </c>
      <c r="B48" s="111">
        <v>50</v>
      </c>
      <c r="C48" s="111">
        <f>Energibalance!R51*-1</f>
        <v>0</v>
      </c>
      <c r="D48" s="111">
        <v>4</v>
      </c>
      <c r="E48" s="111">
        <f t="shared" si="2"/>
        <v>0</v>
      </c>
      <c r="F48" s="110"/>
      <c r="G48" s="110"/>
      <c r="H48" s="110"/>
      <c r="I48" s="110"/>
    </row>
    <row r="49" spans="1:9" x14ac:dyDescent="0.25">
      <c r="A49" s="110" t="s">
        <v>295</v>
      </c>
      <c r="B49" s="111">
        <v>25</v>
      </c>
      <c r="C49" s="111">
        <f>Energibalance!AQ51</f>
        <v>0</v>
      </c>
      <c r="D49" s="111"/>
      <c r="E49" s="111">
        <f t="shared" si="2"/>
        <v>0</v>
      </c>
      <c r="F49" s="110"/>
      <c r="G49" s="110"/>
      <c r="H49" s="110"/>
      <c r="I49" s="110"/>
    </row>
    <row r="50" spans="1:9" x14ac:dyDescent="0.25">
      <c r="A50" s="110" t="s">
        <v>296</v>
      </c>
      <c r="B50" s="111">
        <v>40</v>
      </c>
      <c r="C50" s="111">
        <f>Energibalance!S9*-1</f>
        <v>755.81138275188459</v>
      </c>
      <c r="D50" s="111"/>
      <c r="E50" s="111">
        <f t="shared" si="2"/>
        <v>18.895284568797116</v>
      </c>
      <c r="F50" s="110"/>
      <c r="G50" s="110"/>
      <c r="H50" s="110"/>
      <c r="I50" s="110"/>
    </row>
    <row r="51" spans="1:9" x14ac:dyDescent="0.25">
      <c r="A51" s="110" t="s">
        <v>297</v>
      </c>
      <c r="B51" s="111">
        <v>25</v>
      </c>
      <c r="C51" s="111">
        <v>0</v>
      </c>
      <c r="D51" s="111"/>
      <c r="E51" s="111">
        <f t="shared" si="2"/>
        <v>0</v>
      </c>
      <c r="F51" s="110"/>
      <c r="G51" s="110"/>
      <c r="H51" s="110"/>
      <c r="I51" s="110"/>
    </row>
    <row r="52" spans="1:9" x14ac:dyDescent="0.25">
      <c r="A52" s="110" t="s">
        <v>298</v>
      </c>
      <c r="B52" s="111">
        <v>40</v>
      </c>
      <c r="C52" s="111">
        <f>Energibalance!S26*-1</f>
        <v>536.15133969757835</v>
      </c>
      <c r="D52" s="111"/>
      <c r="E52" s="111">
        <f t="shared" si="2"/>
        <v>13.403783492439459</v>
      </c>
      <c r="F52" s="110"/>
      <c r="G52" s="110"/>
      <c r="H52" s="110"/>
      <c r="I52" s="110"/>
    </row>
    <row r="53" spans="1:9" x14ac:dyDescent="0.25">
      <c r="A53" s="110" t="s">
        <v>299</v>
      </c>
      <c r="B53" s="111">
        <v>25</v>
      </c>
      <c r="C53" s="111">
        <f>Energibalance!AQ26</f>
        <v>36.937997244077508</v>
      </c>
      <c r="D53" s="111"/>
      <c r="E53" s="111">
        <f t="shared" si="2"/>
        <v>1.4775198897631003</v>
      </c>
      <c r="F53" s="110"/>
      <c r="G53" s="110"/>
      <c r="H53" s="110"/>
      <c r="I53" s="110"/>
    </row>
    <row r="54" spans="1:9" x14ac:dyDescent="0.25">
      <c r="A54" s="110"/>
      <c r="B54" s="111"/>
      <c r="C54" s="111"/>
      <c r="D54" s="111"/>
      <c r="E54" s="111"/>
      <c r="F54" s="110"/>
      <c r="G54" s="110"/>
      <c r="H54" s="110"/>
      <c r="I54" s="110"/>
    </row>
    <row r="55" spans="1:9" x14ac:dyDescent="0.25">
      <c r="A55" s="110" t="s">
        <v>300</v>
      </c>
      <c r="B55" s="111">
        <v>10</v>
      </c>
      <c r="C55" s="209">
        <f>Energibalance!AR28</f>
        <v>23.866474187103719</v>
      </c>
      <c r="D55" s="111"/>
      <c r="E55" s="111">
        <f t="shared" si="2"/>
        <v>2.3866474187103721</v>
      </c>
      <c r="F55" s="110"/>
      <c r="G55" s="110"/>
      <c r="H55" s="110"/>
      <c r="I55" s="110"/>
    </row>
    <row r="56" spans="1:9" x14ac:dyDescent="0.25">
      <c r="A56" s="110"/>
      <c r="B56" s="111"/>
      <c r="C56" s="111"/>
      <c r="D56" s="111"/>
      <c r="E56" s="111"/>
      <c r="F56" s="110"/>
      <c r="G56" s="110"/>
      <c r="H56" s="110"/>
      <c r="I56" s="110"/>
    </row>
    <row r="57" spans="1:9" x14ac:dyDescent="0.25">
      <c r="A57" s="110"/>
      <c r="B57" s="110"/>
      <c r="C57" s="110"/>
      <c r="D57" s="110"/>
      <c r="E57" s="110"/>
      <c r="F57" s="110"/>
      <c r="G57" s="110"/>
      <c r="H57" s="110"/>
      <c r="I57" s="110"/>
    </row>
    <row r="58" spans="1:9" x14ac:dyDescent="0.25">
      <c r="A58" s="110"/>
      <c r="B58" s="110"/>
      <c r="C58" s="110"/>
      <c r="D58" s="110"/>
      <c r="E58" s="110"/>
    </row>
    <row r="59" spans="1:9" x14ac:dyDescent="0.25">
      <c r="A59" s="110"/>
      <c r="B59" s="110"/>
      <c r="C59" s="110"/>
      <c r="D59" s="110"/>
      <c r="E59" s="110"/>
    </row>
    <row r="60" spans="1:9" x14ac:dyDescent="0.25">
      <c r="A60" s="110"/>
      <c r="B60" s="110"/>
      <c r="C60" s="110"/>
      <c r="D60" s="110"/>
      <c r="E60" s="110"/>
    </row>
    <row r="61" spans="1:9" x14ac:dyDescent="0.25">
      <c r="A61" s="110"/>
      <c r="B61" s="110"/>
      <c r="C61" s="110"/>
      <c r="D61" s="110"/>
      <c r="E61" s="110"/>
    </row>
    <row r="62" spans="1:9" x14ac:dyDescent="0.25">
      <c r="A62" s="110"/>
      <c r="B62" s="110"/>
      <c r="C62" s="110"/>
      <c r="D62" s="110"/>
      <c r="E62" s="110"/>
    </row>
    <row r="63" spans="1:9" x14ac:dyDescent="0.25">
      <c r="A63" s="110"/>
      <c r="B63" s="110"/>
      <c r="C63" s="110"/>
      <c r="D63" s="110"/>
      <c r="E63" s="110"/>
    </row>
    <row r="64" spans="1:9" x14ac:dyDescent="0.25">
      <c r="A64" s="110"/>
      <c r="B64" s="110"/>
      <c r="C64" s="110"/>
      <c r="D64" s="110"/>
      <c r="E64" s="110"/>
    </row>
    <row r="65" spans="1:5" x14ac:dyDescent="0.25">
      <c r="A65" s="110"/>
      <c r="B65" s="110"/>
      <c r="C65" s="110"/>
      <c r="D65" s="110"/>
      <c r="E65" s="110"/>
    </row>
    <row r="66" spans="1:5" x14ac:dyDescent="0.25">
      <c r="A66" s="110"/>
      <c r="B66" s="110"/>
      <c r="C66" s="110"/>
      <c r="D66" s="110"/>
      <c r="E66" s="110"/>
    </row>
    <row r="67" spans="1:5" x14ac:dyDescent="0.25">
      <c r="A67" s="110"/>
      <c r="B67" s="110"/>
      <c r="C67" s="110"/>
      <c r="D67" s="110"/>
      <c r="E67" s="11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L62"/>
  <sheetViews>
    <sheetView zoomScale="74" zoomScaleNormal="74" workbookViewId="0">
      <selection activeCell="A3" sqref="A3:AJ3"/>
    </sheetView>
  </sheetViews>
  <sheetFormatPr defaultRowHeight="15" x14ac:dyDescent="0.25"/>
  <cols>
    <col min="1" max="1" width="38.42578125" customWidth="1"/>
    <col min="2" max="2" width="33.42578125" customWidth="1"/>
    <col min="3" max="3" width="10.42578125" customWidth="1"/>
    <col min="5" max="5" width="12.7109375" customWidth="1"/>
    <col min="6" max="6" width="14.5703125" customWidth="1"/>
    <col min="8" max="8" width="13.85546875" customWidth="1"/>
    <col min="9" max="9" width="16.140625" customWidth="1"/>
    <col min="12" max="12" width="13.42578125" customWidth="1"/>
    <col min="14" max="14" width="12.7109375" customWidth="1"/>
    <col min="15" max="15" width="14" customWidth="1"/>
    <col min="16" max="16" width="15.28515625" customWidth="1"/>
    <col min="17" max="17" width="12.140625" customWidth="1"/>
    <col min="20" max="20" width="12.7109375" customWidth="1"/>
    <col min="21" max="21" width="13.85546875" customWidth="1"/>
    <col min="22" max="22" width="14.28515625" customWidth="1"/>
    <col min="23" max="23" width="13.7109375" customWidth="1"/>
    <col min="25" max="25" width="12.7109375" customWidth="1"/>
    <col min="26" max="26" width="11.5703125" customWidth="1"/>
    <col min="27" max="27" width="13.5703125" customWidth="1"/>
    <col min="28" max="28" width="14.85546875" customWidth="1"/>
    <col min="30" max="30" width="15.42578125" customWidth="1"/>
  </cols>
  <sheetData>
    <row r="1" spans="1:38" ht="20.25" x14ac:dyDescent="0.3">
      <c r="A1" s="39" t="s">
        <v>459</v>
      </c>
      <c r="B1" s="3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0"/>
      <c r="AL1" s="40"/>
    </row>
    <row r="2" spans="1:38" ht="20.25" x14ac:dyDescent="0.3">
      <c r="A2" s="39"/>
      <c r="B2" s="39"/>
      <c r="C2" s="36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85"/>
      <c r="AE2" s="41"/>
      <c r="AF2" s="41"/>
      <c r="AG2" s="41"/>
      <c r="AH2" s="41"/>
      <c r="AI2" s="41"/>
      <c r="AJ2" s="41"/>
      <c r="AK2" s="2"/>
      <c r="AL2" s="43"/>
    </row>
    <row r="3" spans="1:38" ht="62.25" customHeight="1" thickBot="1" x14ac:dyDescent="0.3">
      <c r="A3" s="86"/>
      <c r="B3" s="86"/>
      <c r="C3" s="87" t="s">
        <v>303</v>
      </c>
      <c r="D3" s="87" t="s">
        <v>215</v>
      </c>
      <c r="E3" s="87" t="s">
        <v>304</v>
      </c>
      <c r="F3" s="87" t="s">
        <v>305</v>
      </c>
      <c r="G3" s="87" t="s">
        <v>306</v>
      </c>
      <c r="H3" s="87" t="s">
        <v>307</v>
      </c>
      <c r="I3" s="87" t="s">
        <v>308</v>
      </c>
      <c r="J3" s="88" t="s">
        <v>309</v>
      </c>
      <c r="K3" s="88" t="s">
        <v>310</v>
      </c>
      <c r="L3" s="87" t="s">
        <v>311</v>
      </c>
      <c r="M3" s="87" t="s">
        <v>312</v>
      </c>
      <c r="N3" s="87" t="s">
        <v>313</v>
      </c>
      <c r="O3" s="87" t="s">
        <v>314</v>
      </c>
      <c r="P3" s="87" t="s">
        <v>315</v>
      </c>
      <c r="Q3" s="87" t="s">
        <v>3</v>
      </c>
      <c r="R3" s="87" t="s">
        <v>316</v>
      </c>
      <c r="S3" s="87" t="s">
        <v>317</v>
      </c>
      <c r="T3" s="87" t="s">
        <v>318</v>
      </c>
      <c r="U3" s="87" t="s">
        <v>319</v>
      </c>
      <c r="V3" s="87" t="s">
        <v>107</v>
      </c>
      <c r="W3" s="87" t="s">
        <v>320</v>
      </c>
      <c r="X3" s="87" t="s">
        <v>321</v>
      </c>
      <c r="Y3" s="87" t="s">
        <v>322</v>
      </c>
      <c r="Z3" s="87" t="s">
        <v>323</v>
      </c>
      <c r="AA3" s="87" t="s">
        <v>324</v>
      </c>
      <c r="AB3" s="87" t="s">
        <v>325</v>
      </c>
      <c r="AC3" s="87" t="s">
        <v>326</v>
      </c>
      <c r="AD3" s="87" t="s">
        <v>327</v>
      </c>
      <c r="AE3" s="87" t="s">
        <v>264</v>
      </c>
      <c r="AF3" s="87" t="s">
        <v>11</v>
      </c>
      <c r="AG3" s="87" t="s">
        <v>328</v>
      </c>
      <c r="AH3" s="87" t="s">
        <v>13</v>
      </c>
      <c r="AI3" s="87" t="s">
        <v>14</v>
      </c>
      <c r="AJ3" s="87" t="s">
        <v>329</v>
      </c>
      <c r="AK3" s="89"/>
      <c r="AL3" s="89"/>
    </row>
    <row r="4" spans="1:38" ht="62.25" customHeight="1" x14ac:dyDescent="0.25">
      <c r="A4" s="107"/>
      <c r="B4" s="107"/>
      <c r="C4" s="108"/>
      <c r="D4" s="108"/>
      <c r="E4" s="108"/>
      <c r="F4" s="108"/>
      <c r="G4" s="108"/>
      <c r="H4" s="108"/>
      <c r="I4" s="108"/>
      <c r="J4" s="109"/>
      <c r="K4" s="109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89"/>
      <c r="AL4" s="89"/>
    </row>
    <row r="5" spans="1:38" x14ac:dyDescent="0.25">
      <c r="A5" s="48" t="s">
        <v>361</v>
      </c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49"/>
      <c r="AL5" s="49"/>
    </row>
    <row r="6" spans="1:38" x14ac:dyDescent="0.25">
      <c r="A6" s="48" t="s">
        <v>363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50"/>
      <c r="AL6" s="50"/>
    </row>
    <row r="7" spans="1:38" x14ac:dyDescent="0.25">
      <c r="A7" s="51" t="s">
        <v>365</v>
      </c>
      <c r="B7" s="51"/>
      <c r="C7" s="38">
        <v>658419.48</v>
      </c>
      <c r="D7" s="38">
        <v>289689.58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182142.42</v>
      </c>
      <c r="R7" s="38">
        <v>0</v>
      </c>
      <c r="S7" s="38">
        <v>0</v>
      </c>
      <c r="T7" s="38">
        <v>5034.8100000000004</v>
      </c>
      <c r="U7" s="38">
        <v>53208</v>
      </c>
      <c r="V7" s="38">
        <v>64.34</v>
      </c>
      <c r="W7" s="38">
        <v>152.47</v>
      </c>
      <c r="X7" s="38">
        <v>20211.740000000002</v>
      </c>
      <c r="Y7" s="38">
        <v>19432.919999999998</v>
      </c>
      <c r="Z7" s="38">
        <v>22491.62</v>
      </c>
      <c r="AA7" s="38">
        <v>2796.98</v>
      </c>
      <c r="AB7" s="38">
        <v>7165.92</v>
      </c>
      <c r="AC7" s="38">
        <v>11157.99</v>
      </c>
      <c r="AD7" s="38">
        <v>0</v>
      </c>
      <c r="AE7" s="38">
        <v>35601.839999999997</v>
      </c>
      <c r="AF7" s="38">
        <v>188.26</v>
      </c>
      <c r="AG7" s="38">
        <v>9080.6</v>
      </c>
      <c r="AH7" s="38">
        <v>0</v>
      </c>
      <c r="AI7" s="38">
        <v>0</v>
      </c>
      <c r="AJ7" s="38">
        <v>0</v>
      </c>
      <c r="AK7" s="2"/>
      <c r="AL7" s="2"/>
    </row>
    <row r="8" spans="1:38" x14ac:dyDescent="0.25">
      <c r="A8" s="51" t="s">
        <v>367</v>
      </c>
      <c r="B8" s="51"/>
      <c r="C8" s="38">
        <v>19.38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19.38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2"/>
      <c r="AL8" s="2"/>
    </row>
    <row r="9" spans="1:38" x14ac:dyDescent="0.25">
      <c r="A9" s="51" t="s">
        <v>369</v>
      </c>
      <c r="B9" s="51"/>
      <c r="C9" s="38">
        <v>672896.72</v>
      </c>
      <c r="D9" s="38">
        <v>207408.26</v>
      </c>
      <c r="E9" s="38">
        <v>3579.88</v>
      </c>
      <c r="F9" s="38">
        <v>0</v>
      </c>
      <c r="G9" s="38">
        <v>1622.41</v>
      </c>
      <c r="H9" s="38">
        <v>16.7</v>
      </c>
      <c r="I9" s="38">
        <v>17099.439999999999</v>
      </c>
      <c r="J9" s="38">
        <v>0</v>
      </c>
      <c r="K9" s="38">
        <v>40316.36</v>
      </c>
      <c r="L9" s="38">
        <v>119009.31</v>
      </c>
      <c r="M9" s="38">
        <v>39857.24</v>
      </c>
      <c r="N9" s="38">
        <v>0</v>
      </c>
      <c r="O9" s="38">
        <v>7187.27</v>
      </c>
      <c r="P9" s="38">
        <v>10522.55</v>
      </c>
      <c r="Q9" s="38">
        <v>19445.53</v>
      </c>
      <c r="R9" s="38">
        <v>74789.47</v>
      </c>
      <c r="S9" s="38">
        <v>345.23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5481.08</v>
      </c>
      <c r="Z9" s="38">
        <v>2610.63</v>
      </c>
      <c r="AA9" s="38">
        <v>54284.27</v>
      </c>
      <c r="AB9" s="38">
        <v>0</v>
      </c>
      <c r="AC9" s="38">
        <v>0</v>
      </c>
      <c r="AD9" s="38">
        <v>0</v>
      </c>
      <c r="AE9" s="38">
        <v>4043.33</v>
      </c>
      <c r="AF9" s="38">
        <v>10368.81</v>
      </c>
      <c r="AG9" s="38">
        <v>0</v>
      </c>
      <c r="AH9" s="38">
        <v>54785.19</v>
      </c>
      <c r="AI9" s="38">
        <v>123.74</v>
      </c>
      <c r="AJ9" s="38">
        <v>0</v>
      </c>
      <c r="AK9" s="2"/>
      <c r="AL9" s="2"/>
    </row>
    <row r="10" spans="1:38" x14ac:dyDescent="0.25">
      <c r="A10" s="51" t="s">
        <v>371</v>
      </c>
      <c r="B10" s="51"/>
      <c r="C10" s="38">
        <v>-584263.96</v>
      </c>
      <c r="D10" s="38">
        <v>-176198.48</v>
      </c>
      <c r="E10" s="38">
        <v>-19453.86</v>
      </c>
      <c r="F10" s="38">
        <v>0</v>
      </c>
      <c r="G10" s="38">
        <v>-3906.14</v>
      </c>
      <c r="H10" s="38">
        <v>-3.3</v>
      </c>
      <c r="I10" s="38">
        <v>-53542.48</v>
      </c>
      <c r="J10" s="38">
        <v>-18.62</v>
      </c>
      <c r="K10" s="38">
        <v>-7797.29</v>
      </c>
      <c r="L10" s="38">
        <v>-100530.33</v>
      </c>
      <c r="M10" s="38">
        <v>-99386</v>
      </c>
      <c r="N10" s="38">
        <v>0</v>
      </c>
      <c r="O10" s="38">
        <v>-57.84</v>
      </c>
      <c r="P10" s="38">
        <v>-133.78</v>
      </c>
      <c r="Q10" s="38">
        <v>-84035.97</v>
      </c>
      <c r="R10" s="38">
        <v>0</v>
      </c>
      <c r="S10" s="38">
        <v>-0.43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-840.04</v>
      </c>
      <c r="AG10" s="38">
        <v>0</v>
      </c>
      <c r="AH10" s="38">
        <v>-38359.42</v>
      </c>
      <c r="AI10" s="38">
        <v>0</v>
      </c>
      <c r="AJ10" s="38">
        <v>0</v>
      </c>
      <c r="AK10" s="2"/>
      <c r="AL10" s="2"/>
    </row>
    <row r="11" spans="1:38" x14ac:dyDescent="0.25">
      <c r="A11" s="51" t="s">
        <v>373</v>
      </c>
      <c r="B11" s="51"/>
      <c r="C11" s="38">
        <v>-9924.6200000000008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1642.5</v>
      </c>
      <c r="J11" s="38">
        <v>0</v>
      </c>
      <c r="K11" s="38">
        <v>0</v>
      </c>
      <c r="L11" s="38">
        <v>-12195.12</v>
      </c>
      <c r="M11" s="38">
        <v>0</v>
      </c>
      <c r="N11" s="38">
        <v>0</v>
      </c>
      <c r="O11" s="38">
        <v>628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2"/>
      <c r="AL11" s="2"/>
    </row>
    <row r="12" spans="1:38" x14ac:dyDescent="0.25">
      <c r="A12" s="51" t="s">
        <v>375</v>
      </c>
      <c r="B12" s="51"/>
      <c r="C12" s="38">
        <v>-22388.62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-16637.59</v>
      </c>
      <c r="M12" s="38">
        <v>-5650.47</v>
      </c>
      <c r="N12" s="38">
        <v>0</v>
      </c>
      <c r="O12" s="38">
        <v>0</v>
      </c>
      <c r="P12" s="38">
        <v>-100.56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2"/>
      <c r="AL12" s="2"/>
    </row>
    <row r="13" spans="1:38" x14ac:dyDescent="0.25">
      <c r="A13" s="51" t="s">
        <v>377</v>
      </c>
      <c r="B13" s="51"/>
      <c r="C13" s="38">
        <v>1.47</v>
      </c>
      <c r="D13" s="38">
        <v>0</v>
      </c>
      <c r="E13" s="38">
        <v>-1260.42</v>
      </c>
      <c r="F13" s="38">
        <v>0</v>
      </c>
      <c r="G13" s="38">
        <v>-0.14000000000000001</v>
      </c>
      <c r="H13" s="38">
        <v>0</v>
      </c>
      <c r="I13" s="38">
        <v>-50.25</v>
      </c>
      <c r="J13" s="38">
        <v>20.78</v>
      </c>
      <c r="K13" s="38">
        <v>0.28000000000000003</v>
      </c>
      <c r="L13" s="38">
        <v>306.67</v>
      </c>
      <c r="M13" s="38">
        <v>906.29</v>
      </c>
      <c r="N13" s="38">
        <v>0</v>
      </c>
      <c r="O13" s="38">
        <v>0</v>
      </c>
      <c r="P13" s="38">
        <v>2.91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75.349999999999994</v>
      </c>
      <c r="AG13" s="38">
        <v>0</v>
      </c>
      <c r="AH13" s="38">
        <v>0</v>
      </c>
      <c r="AI13" s="38">
        <v>0</v>
      </c>
      <c r="AJ13" s="38">
        <v>0</v>
      </c>
      <c r="AK13" s="2"/>
      <c r="AL13" s="2"/>
    </row>
    <row r="14" spans="1:38" x14ac:dyDescent="0.25">
      <c r="A14" s="51" t="s">
        <v>379</v>
      </c>
      <c r="B14" s="51"/>
      <c r="C14" s="38">
        <v>29995.040000000001</v>
      </c>
      <c r="D14" s="38">
        <v>1378.92</v>
      </c>
      <c r="E14" s="38">
        <v>-96.72</v>
      </c>
      <c r="F14" s="38">
        <v>0</v>
      </c>
      <c r="G14" s="38">
        <v>-139.56</v>
      </c>
      <c r="H14" s="38">
        <v>14.65</v>
      </c>
      <c r="I14" s="38">
        <v>1262.33</v>
      </c>
      <c r="J14" s="38">
        <v>0</v>
      </c>
      <c r="K14" s="38">
        <v>5813.51</v>
      </c>
      <c r="L14" s="38">
        <v>14555.12</v>
      </c>
      <c r="M14" s="38">
        <v>19644.560000000001</v>
      </c>
      <c r="N14" s="38">
        <v>0</v>
      </c>
      <c r="O14" s="38">
        <v>835.99</v>
      </c>
      <c r="P14" s="38">
        <v>46.09</v>
      </c>
      <c r="Q14" s="38">
        <v>-2527.9699999999998</v>
      </c>
      <c r="R14" s="38">
        <v>-10300.280000000001</v>
      </c>
      <c r="S14" s="38">
        <v>1.27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-492.87</v>
      </c>
      <c r="AG14" s="38">
        <v>0</v>
      </c>
      <c r="AH14" s="38">
        <v>0</v>
      </c>
      <c r="AI14" s="38">
        <v>0</v>
      </c>
      <c r="AJ14" s="38">
        <v>0</v>
      </c>
      <c r="AK14" s="2"/>
      <c r="AL14" s="2"/>
    </row>
    <row r="15" spans="1:38" x14ac:dyDescent="0.25">
      <c r="A15" s="48" t="s">
        <v>381</v>
      </c>
      <c r="B15" s="48"/>
      <c r="C15" s="38">
        <v>1775.86</v>
      </c>
      <c r="D15" s="38">
        <v>633.35</v>
      </c>
      <c r="E15" s="38">
        <v>-118.28</v>
      </c>
      <c r="F15" s="38">
        <v>0</v>
      </c>
      <c r="G15" s="38">
        <v>100.35</v>
      </c>
      <c r="H15" s="38">
        <v>2.92</v>
      </c>
      <c r="I15" s="38">
        <v>-92.64</v>
      </c>
      <c r="J15" s="38">
        <v>0</v>
      </c>
      <c r="K15" s="38">
        <v>-53.1</v>
      </c>
      <c r="L15" s="38">
        <v>-2887.03</v>
      </c>
      <c r="M15" s="38">
        <v>855.32</v>
      </c>
      <c r="N15" s="38">
        <v>0</v>
      </c>
      <c r="O15" s="38">
        <v>-46.6</v>
      </c>
      <c r="P15" s="38">
        <v>12.5</v>
      </c>
      <c r="Q15" s="38">
        <v>2635.28</v>
      </c>
      <c r="R15" s="38">
        <v>861.49</v>
      </c>
      <c r="S15" s="38">
        <v>-30.6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-5.64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-91.46</v>
      </c>
      <c r="AG15" s="38">
        <v>0</v>
      </c>
      <c r="AH15" s="38">
        <v>0</v>
      </c>
      <c r="AI15" s="38">
        <v>0</v>
      </c>
      <c r="AJ15" s="38">
        <v>0</v>
      </c>
      <c r="AK15" s="1"/>
      <c r="AL15" s="1"/>
    </row>
    <row r="16" spans="1:38" x14ac:dyDescent="0.25">
      <c r="A16" s="48" t="s">
        <v>383</v>
      </c>
      <c r="B16" s="48"/>
      <c r="C16" s="38">
        <v>-22768.799999999999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-22768.799999999999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1"/>
      <c r="AL16" s="1"/>
    </row>
    <row r="17" spans="1:38" x14ac:dyDescent="0.25">
      <c r="A17" s="48" t="s">
        <v>385</v>
      </c>
      <c r="B17" s="48"/>
      <c r="C17" s="38" t="s">
        <v>387</v>
      </c>
      <c r="D17" s="38" t="s">
        <v>387</v>
      </c>
      <c r="E17" s="38" t="s">
        <v>387</v>
      </c>
      <c r="F17" s="38" t="s">
        <v>387</v>
      </c>
      <c r="G17" s="38" t="s">
        <v>387</v>
      </c>
      <c r="H17" s="38" t="s">
        <v>387</v>
      </c>
      <c r="I17" s="38" t="s">
        <v>387</v>
      </c>
      <c r="J17" s="38" t="s">
        <v>387</v>
      </c>
      <c r="K17" s="38" t="s">
        <v>387</v>
      </c>
      <c r="L17" s="38" t="s">
        <v>387</v>
      </c>
      <c r="M17" s="38" t="s">
        <v>387</v>
      </c>
      <c r="N17" s="38" t="s">
        <v>387</v>
      </c>
      <c r="O17" s="38" t="s">
        <v>387</v>
      </c>
      <c r="P17" s="38" t="s">
        <v>387</v>
      </c>
      <c r="Q17" s="38" t="s">
        <v>387</v>
      </c>
      <c r="R17" s="38" t="s">
        <v>387</v>
      </c>
      <c r="S17" s="38" t="s">
        <v>387</v>
      </c>
      <c r="T17" s="38" t="s">
        <v>387</v>
      </c>
      <c r="U17" s="38" t="s">
        <v>387</v>
      </c>
      <c r="V17" s="38" t="s">
        <v>387</v>
      </c>
      <c r="W17" s="38" t="s">
        <v>387</v>
      </c>
      <c r="X17" s="38" t="s">
        <v>387</v>
      </c>
      <c r="Y17" s="38" t="s">
        <v>387</v>
      </c>
      <c r="Z17" s="38" t="s">
        <v>387</v>
      </c>
      <c r="AA17" s="38" t="s">
        <v>387</v>
      </c>
      <c r="AB17" s="38" t="s">
        <v>387</v>
      </c>
      <c r="AC17" s="38" t="s">
        <v>387</v>
      </c>
      <c r="AD17" s="38" t="s">
        <v>387</v>
      </c>
      <c r="AE17" s="38" t="s">
        <v>387</v>
      </c>
      <c r="AF17" s="38" t="s">
        <v>387</v>
      </c>
      <c r="AG17" s="38" t="s">
        <v>387</v>
      </c>
      <c r="AH17" s="38" t="s">
        <v>387</v>
      </c>
      <c r="AI17" s="38" t="s">
        <v>387</v>
      </c>
      <c r="AJ17" s="38" t="s">
        <v>387</v>
      </c>
      <c r="AK17" s="1"/>
      <c r="AL17" s="1"/>
    </row>
    <row r="18" spans="1:38" x14ac:dyDescent="0.25">
      <c r="A18" s="51" t="s">
        <v>388</v>
      </c>
      <c r="B18" s="51"/>
      <c r="C18" s="38">
        <v>278.79000000000002</v>
      </c>
      <c r="D18" s="38">
        <v>-322911.64</v>
      </c>
      <c r="E18" s="38">
        <v>17349.39</v>
      </c>
      <c r="F18" s="38">
        <v>15928.28</v>
      </c>
      <c r="G18" s="38">
        <v>4854.24</v>
      </c>
      <c r="H18" s="38">
        <v>0</v>
      </c>
      <c r="I18" s="38">
        <v>91231.38</v>
      </c>
      <c r="J18" s="38">
        <v>0</v>
      </c>
      <c r="K18" s="38">
        <v>5287.96</v>
      </c>
      <c r="L18" s="38">
        <v>140707.62</v>
      </c>
      <c r="M18" s="38">
        <v>47831.55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2"/>
      <c r="AL18" s="2"/>
    </row>
    <row r="19" spans="1:38" x14ac:dyDescent="0.25">
      <c r="A19" s="51" t="s">
        <v>390</v>
      </c>
      <c r="B19" s="51"/>
      <c r="C19" s="38">
        <v>-16874.53</v>
      </c>
      <c r="D19" s="38">
        <v>0</v>
      </c>
      <c r="E19" s="38">
        <v>0</v>
      </c>
      <c r="F19" s="38">
        <v>-14502.89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-663.25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-1094.4000000000001</v>
      </c>
      <c r="AI19" s="38">
        <v>-614</v>
      </c>
      <c r="AJ19" s="38">
        <v>0</v>
      </c>
      <c r="AK19" s="2"/>
      <c r="AL19" s="2"/>
    </row>
    <row r="20" spans="1:38" x14ac:dyDescent="0.25">
      <c r="A20" s="48" t="s">
        <v>392</v>
      </c>
      <c r="B20" s="48"/>
      <c r="C20" s="38">
        <v>-2283.29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-2283.29</v>
      </c>
      <c r="AI20" s="38">
        <v>0</v>
      </c>
      <c r="AJ20" s="38">
        <v>0</v>
      </c>
      <c r="AK20" s="1"/>
      <c r="AL20" s="1"/>
    </row>
    <row r="21" spans="1:38" x14ac:dyDescent="0.25">
      <c r="A21" s="48" t="s">
        <v>394</v>
      </c>
      <c r="B21" s="48"/>
      <c r="C21" s="38">
        <v>0</v>
      </c>
      <c r="D21" s="38" t="s">
        <v>387</v>
      </c>
      <c r="E21" s="38" t="s">
        <v>387</v>
      </c>
      <c r="F21" s="38" t="s">
        <v>387</v>
      </c>
      <c r="G21" s="38" t="s">
        <v>387</v>
      </c>
      <c r="H21" s="38" t="s">
        <v>387</v>
      </c>
      <c r="I21" s="38" t="s">
        <v>387</v>
      </c>
      <c r="J21" s="38" t="s">
        <v>387</v>
      </c>
      <c r="K21" s="38" t="s">
        <v>387</v>
      </c>
      <c r="L21" s="38" t="s">
        <v>387</v>
      </c>
      <c r="M21" s="38" t="s">
        <v>387</v>
      </c>
      <c r="N21" s="38" t="s">
        <v>387</v>
      </c>
      <c r="O21" s="38" t="s">
        <v>387</v>
      </c>
      <c r="P21" s="38" t="s">
        <v>387</v>
      </c>
      <c r="Q21" s="38" t="s">
        <v>387</v>
      </c>
      <c r="R21" s="38" t="s">
        <v>387</v>
      </c>
      <c r="S21" s="38" t="s">
        <v>387</v>
      </c>
      <c r="T21" s="38" t="s">
        <v>387</v>
      </c>
      <c r="U21" s="38" t="s">
        <v>387</v>
      </c>
      <c r="V21" s="38" t="s">
        <v>387</v>
      </c>
      <c r="W21" s="38" t="s">
        <v>387</v>
      </c>
      <c r="X21" s="38" t="s">
        <v>387</v>
      </c>
      <c r="Y21" s="38" t="s">
        <v>387</v>
      </c>
      <c r="Z21" s="38" t="s">
        <v>387</v>
      </c>
      <c r="AA21" s="38" t="s">
        <v>387</v>
      </c>
      <c r="AB21" s="38" t="s">
        <v>387</v>
      </c>
      <c r="AC21" s="38" t="s">
        <v>387</v>
      </c>
      <c r="AD21" s="38" t="s">
        <v>387</v>
      </c>
      <c r="AE21" s="38" t="s">
        <v>387</v>
      </c>
      <c r="AF21" s="38" t="s">
        <v>387</v>
      </c>
      <c r="AG21" s="38" t="s">
        <v>387</v>
      </c>
      <c r="AH21" s="38" t="s">
        <v>387</v>
      </c>
      <c r="AI21" s="38" t="s">
        <v>387</v>
      </c>
      <c r="AJ21" s="38" t="s">
        <v>387</v>
      </c>
      <c r="AK21" s="1"/>
      <c r="AL21" s="1"/>
    </row>
    <row r="22" spans="1:38" x14ac:dyDescent="0.25">
      <c r="A22" s="51" t="s">
        <v>396</v>
      </c>
      <c r="B22" s="51"/>
      <c r="C22" s="38">
        <v>-218.65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-165.79</v>
      </c>
      <c r="M22" s="38">
        <v>-135.1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82.24</v>
      </c>
      <c r="AI22" s="38">
        <v>0</v>
      </c>
      <c r="AJ22" s="38">
        <v>0</v>
      </c>
      <c r="AK22" s="2"/>
      <c r="AL22" s="2"/>
    </row>
    <row r="23" spans="1:38" x14ac:dyDescent="0.25">
      <c r="A23" s="51" t="s">
        <v>398</v>
      </c>
      <c r="B23" s="51"/>
      <c r="C23" s="38">
        <v>-5.16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 t="s">
        <v>387</v>
      </c>
      <c r="M23" s="38" t="s">
        <v>387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-5.16</v>
      </c>
      <c r="AI23" s="38">
        <v>0</v>
      </c>
      <c r="AJ23" s="38">
        <v>0</v>
      </c>
      <c r="AK23" s="2"/>
      <c r="AL23" s="2"/>
    </row>
    <row r="24" spans="1:38" x14ac:dyDescent="0.25">
      <c r="A24" s="48" t="s">
        <v>399</v>
      </c>
      <c r="B24" s="48"/>
      <c r="C24" s="38">
        <v>0</v>
      </c>
      <c r="D24" s="38" t="s">
        <v>387</v>
      </c>
      <c r="E24" s="38" t="s">
        <v>387</v>
      </c>
      <c r="F24" s="38" t="s">
        <v>387</v>
      </c>
      <c r="G24" s="38" t="s">
        <v>387</v>
      </c>
      <c r="H24" s="38" t="s">
        <v>387</v>
      </c>
      <c r="I24" s="38" t="s">
        <v>387</v>
      </c>
      <c r="J24" s="38" t="s">
        <v>387</v>
      </c>
      <c r="K24" s="38" t="s">
        <v>387</v>
      </c>
      <c r="L24" s="38" t="s">
        <v>387</v>
      </c>
      <c r="M24" s="38" t="s">
        <v>387</v>
      </c>
      <c r="N24" s="38" t="s">
        <v>387</v>
      </c>
      <c r="O24" s="38" t="s">
        <v>387</v>
      </c>
      <c r="P24" s="38" t="s">
        <v>387</v>
      </c>
      <c r="Q24" s="38" t="s">
        <v>387</v>
      </c>
      <c r="R24" s="38" t="s">
        <v>387</v>
      </c>
      <c r="S24" s="38" t="s">
        <v>387</v>
      </c>
      <c r="T24" s="38" t="s">
        <v>387</v>
      </c>
      <c r="U24" s="38" t="s">
        <v>387</v>
      </c>
      <c r="V24" s="38" t="s">
        <v>387</v>
      </c>
      <c r="W24" s="38" t="s">
        <v>387</v>
      </c>
      <c r="X24" s="38" t="s">
        <v>387</v>
      </c>
      <c r="Y24" s="38" t="s">
        <v>387</v>
      </c>
      <c r="Z24" s="38" t="s">
        <v>387</v>
      </c>
      <c r="AA24" s="38" t="s">
        <v>387</v>
      </c>
      <c r="AB24" s="38" t="s">
        <v>387</v>
      </c>
      <c r="AC24" s="38" t="s">
        <v>387</v>
      </c>
      <c r="AD24" s="38" t="s">
        <v>387</v>
      </c>
      <c r="AE24" s="38" t="s">
        <v>387</v>
      </c>
      <c r="AF24" s="38" t="s">
        <v>387</v>
      </c>
      <c r="AG24" s="38" t="s">
        <v>387</v>
      </c>
      <c r="AH24" s="38" t="s">
        <v>387</v>
      </c>
      <c r="AI24" s="38" t="s">
        <v>387</v>
      </c>
      <c r="AJ24" s="38" t="s">
        <v>387</v>
      </c>
      <c r="AK24" s="1"/>
      <c r="AL24" s="1"/>
    </row>
    <row r="25" spans="1:38" x14ac:dyDescent="0.25">
      <c r="A25" s="51" t="s">
        <v>396</v>
      </c>
      <c r="B25" s="51"/>
      <c r="C25" s="38">
        <v>-26419.29</v>
      </c>
      <c r="D25" s="38">
        <v>0</v>
      </c>
      <c r="E25" s="38">
        <v>0</v>
      </c>
      <c r="F25" s="38">
        <v>0</v>
      </c>
      <c r="G25" s="38">
        <v>-0.19</v>
      </c>
      <c r="H25" s="38">
        <v>0</v>
      </c>
      <c r="I25" s="38">
        <v>0</v>
      </c>
      <c r="J25" s="38">
        <v>0</v>
      </c>
      <c r="K25" s="38">
        <v>0</v>
      </c>
      <c r="L25" s="38">
        <v>-11.81</v>
      </c>
      <c r="M25" s="38">
        <v>-831.95</v>
      </c>
      <c r="N25" s="38">
        <v>0</v>
      </c>
      <c r="O25" s="38">
        <v>0</v>
      </c>
      <c r="P25" s="38">
        <v>0</v>
      </c>
      <c r="Q25" s="38">
        <v>-6612.16</v>
      </c>
      <c r="R25" s="38">
        <v>-60151.22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-4701.7700000000004</v>
      </c>
      <c r="Y25" s="38">
        <v>-7235.97</v>
      </c>
      <c r="Z25" s="38">
        <v>0</v>
      </c>
      <c r="AA25" s="38">
        <v>-37051.4</v>
      </c>
      <c r="AB25" s="38">
        <v>-510.94</v>
      </c>
      <c r="AC25" s="38">
        <v>-9.5299999999999994</v>
      </c>
      <c r="AD25" s="38">
        <v>-363.59</v>
      </c>
      <c r="AE25" s="38">
        <v>0</v>
      </c>
      <c r="AF25" s="38">
        <v>0</v>
      </c>
      <c r="AG25" s="38">
        <v>0</v>
      </c>
      <c r="AH25" s="38">
        <v>39858.769999999997</v>
      </c>
      <c r="AI25" s="38">
        <v>51202.47</v>
      </c>
      <c r="AJ25" s="38">
        <v>0</v>
      </c>
      <c r="AK25" s="2"/>
      <c r="AL25" s="2"/>
    </row>
    <row r="26" spans="1:38" x14ac:dyDescent="0.25">
      <c r="A26" s="51" t="s">
        <v>398</v>
      </c>
      <c r="B26" s="51"/>
      <c r="C26" s="38">
        <v>-4542.53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 t="s">
        <v>387</v>
      </c>
      <c r="M26" s="38" t="s">
        <v>387</v>
      </c>
      <c r="N26" s="38" t="s">
        <v>387</v>
      </c>
      <c r="O26" s="38" t="s">
        <v>387</v>
      </c>
      <c r="P26" s="38" t="s">
        <v>387</v>
      </c>
      <c r="Q26" s="38" t="s">
        <v>387</v>
      </c>
      <c r="R26" s="38" t="s">
        <v>387</v>
      </c>
      <c r="S26" s="38" t="s">
        <v>387</v>
      </c>
      <c r="T26" s="38" t="s">
        <v>387</v>
      </c>
      <c r="U26" s="38" t="s">
        <v>387</v>
      </c>
      <c r="V26" s="38" t="s">
        <v>387</v>
      </c>
      <c r="W26" s="38" t="s">
        <v>387</v>
      </c>
      <c r="X26" s="38" t="s">
        <v>387</v>
      </c>
      <c r="Y26" s="38" t="s">
        <v>387</v>
      </c>
      <c r="Z26" s="38" t="s">
        <v>387</v>
      </c>
      <c r="AA26" s="38" t="s">
        <v>387</v>
      </c>
      <c r="AB26" s="38" t="s">
        <v>387</v>
      </c>
      <c r="AC26" s="38" t="s">
        <v>387</v>
      </c>
      <c r="AD26" s="38" t="s">
        <v>387</v>
      </c>
      <c r="AE26" s="38" t="s">
        <v>387</v>
      </c>
      <c r="AF26" s="38" t="s">
        <v>387</v>
      </c>
      <c r="AG26" s="38" t="s">
        <v>387</v>
      </c>
      <c r="AH26" s="38">
        <v>-4542.53</v>
      </c>
      <c r="AI26" s="38">
        <v>0</v>
      </c>
      <c r="AJ26" s="38">
        <v>0</v>
      </c>
      <c r="AK26" s="2"/>
      <c r="AL26" s="2"/>
    </row>
    <row r="27" spans="1:38" x14ac:dyDescent="0.25">
      <c r="A27" s="48" t="s">
        <v>401</v>
      </c>
      <c r="B27" s="48"/>
      <c r="C27" s="38" t="s">
        <v>387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-53208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53208</v>
      </c>
      <c r="AI27" s="38">
        <v>0</v>
      </c>
      <c r="AJ27" s="38">
        <v>0</v>
      </c>
      <c r="AK27" s="1"/>
      <c r="AL27" s="1"/>
    </row>
    <row r="28" spans="1:38" x14ac:dyDescent="0.25">
      <c r="A28" s="48" t="s">
        <v>403</v>
      </c>
      <c r="B28" s="48"/>
      <c r="C28" s="38" t="s">
        <v>387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-64.34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64.34</v>
      </c>
      <c r="AI28" s="38">
        <v>0</v>
      </c>
      <c r="AJ28" s="38">
        <v>0</v>
      </c>
      <c r="AK28" s="1"/>
      <c r="AL28" s="1"/>
    </row>
    <row r="29" spans="1:38" x14ac:dyDescent="0.25">
      <c r="A29" s="48" t="s">
        <v>405</v>
      </c>
      <c r="B29" s="48"/>
      <c r="C29" s="38">
        <v>0</v>
      </c>
      <c r="D29" s="38" t="s">
        <v>387</v>
      </c>
      <c r="E29" s="38" t="s">
        <v>387</v>
      </c>
      <c r="F29" s="38" t="s">
        <v>387</v>
      </c>
      <c r="G29" s="38" t="s">
        <v>387</v>
      </c>
      <c r="H29" s="38" t="s">
        <v>387</v>
      </c>
      <c r="I29" s="38" t="s">
        <v>387</v>
      </c>
      <c r="J29" s="38" t="s">
        <v>387</v>
      </c>
      <c r="K29" s="38" t="s">
        <v>387</v>
      </c>
      <c r="L29" s="38" t="s">
        <v>387</v>
      </c>
      <c r="M29" s="38" t="s">
        <v>387</v>
      </c>
      <c r="N29" s="38" t="s">
        <v>387</v>
      </c>
      <c r="O29" s="38" t="s">
        <v>387</v>
      </c>
      <c r="P29" s="38" t="s">
        <v>387</v>
      </c>
      <c r="Q29" s="38" t="s">
        <v>387</v>
      </c>
      <c r="R29" s="38" t="s">
        <v>387</v>
      </c>
      <c r="S29" s="38" t="s">
        <v>387</v>
      </c>
      <c r="T29" s="38" t="s">
        <v>387</v>
      </c>
      <c r="U29" s="38" t="s">
        <v>387</v>
      </c>
      <c r="V29" s="38" t="s">
        <v>387</v>
      </c>
      <c r="W29" s="38" t="s">
        <v>387</v>
      </c>
      <c r="X29" s="38" t="s">
        <v>387</v>
      </c>
      <c r="Y29" s="38" t="s">
        <v>387</v>
      </c>
      <c r="Z29" s="38" t="s">
        <v>387</v>
      </c>
      <c r="AA29" s="38" t="s">
        <v>387</v>
      </c>
      <c r="AB29" s="38" t="s">
        <v>387</v>
      </c>
      <c r="AC29" s="38" t="s">
        <v>387</v>
      </c>
      <c r="AD29" s="38" t="s">
        <v>387</v>
      </c>
      <c r="AE29" s="38" t="s">
        <v>387</v>
      </c>
      <c r="AF29" s="38" t="s">
        <v>387</v>
      </c>
      <c r="AG29" s="38" t="s">
        <v>387</v>
      </c>
      <c r="AH29" s="38" t="s">
        <v>387</v>
      </c>
      <c r="AI29" s="38" t="s">
        <v>387</v>
      </c>
      <c r="AJ29" s="38" t="s">
        <v>387</v>
      </c>
      <c r="AK29" s="1"/>
      <c r="AL29" s="1"/>
    </row>
    <row r="30" spans="1:38" x14ac:dyDescent="0.25">
      <c r="A30" s="51" t="s">
        <v>396</v>
      </c>
      <c r="B30" s="51"/>
      <c r="C30" s="38">
        <v>-3328.69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-12.3</v>
      </c>
      <c r="M30" s="38">
        <v>-0.68</v>
      </c>
      <c r="N30" s="38">
        <v>0</v>
      </c>
      <c r="O30" s="38">
        <v>0</v>
      </c>
      <c r="P30" s="38">
        <v>0</v>
      </c>
      <c r="Q30" s="38">
        <v>-9212.82</v>
      </c>
      <c r="R30" s="38">
        <v>-401.93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-4478.1499999999996</v>
      </c>
      <c r="Y30" s="38">
        <v>-4950.03</v>
      </c>
      <c r="Z30" s="38">
        <v>0</v>
      </c>
      <c r="AA30" s="38">
        <v>-523.9</v>
      </c>
      <c r="AB30" s="38">
        <v>-752.96</v>
      </c>
      <c r="AC30" s="38">
        <v>-3340.51</v>
      </c>
      <c r="AD30" s="38">
        <v>-506.59</v>
      </c>
      <c r="AE30" s="38">
        <v>-5763.27</v>
      </c>
      <c r="AF30" s="38">
        <v>0</v>
      </c>
      <c r="AG30" s="38">
        <v>0</v>
      </c>
      <c r="AH30" s="38">
        <v>8302.23</v>
      </c>
      <c r="AI30" s="38">
        <v>18312.23</v>
      </c>
      <c r="AJ30" s="38">
        <v>0</v>
      </c>
      <c r="AK30" s="2"/>
      <c r="AL30" s="2"/>
    </row>
    <row r="31" spans="1:38" x14ac:dyDescent="0.25">
      <c r="A31" s="51" t="s">
        <v>398</v>
      </c>
      <c r="B31" s="51"/>
      <c r="C31" s="38">
        <v>-866.52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-442.12</v>
      </c>
      <c r="AI31" s="38">
        <v>-424.4</v>
      </c>
      <c r="AJ31" s="38">
        <v>0</v>
      </c>
      <c r="AK31" s="2"/>
      <c r="AL31" s="2"/>
    </row>
    <row r="32" spans="1:38" x14ac:dyDescent="0.25">
      <c r="A32" s="48" t="s">
        <v>409</v>
      </c>
      <c r="B32" s="48"/>
      <c r="C32" s="38">
        <v>0</v>
      </c>
      <c r="D32" s="38" t="s">
        <v>387</v>
      </c>
      <c r="E32" s="38" t="s">
        <v>387</v>
      </c>
      <c r="F32" s="38" t="s">
        <v>387</v>
      </c>
      <c r="G32" s="38" t="s">
        <v>387</v>
      </c>
      <c r="H32" s="38" t="s">
        <v>387</v>
      </c>
      <c r="I32" s="38" t="s">
        <v>387</v>
      </c>
      <c r="J32" s="38" t="s">
        <v>387</v>
      </c>
      <c r="K32" s="38" t="s">
        <v>387</v>
      </c>
      <c r="L32" s="38" t="s">
        <v>387</v>
      </c>
      <c r="M32" s="38" t="s">
        <v>387</v>
      </c>
      <c r="N32" s="38" t="s">
        <v>387</v>
      </c>
      <c r="O32" s="38" t="s">
        <v>387</v>
      </c>
      <c r="P32" s="38" t="s">
        <v>387</v>
      </c>
      <c r="Q32" s="38" t="s">
        <v>387</v>
      </c>
      <c r="R32" s="38" t="s">
        <v>387</v>
      </c>
      <c r="S32" s="38" t="s">
        <v>387</v>
      </c>
      <c r="T32" s="38" t="s">
        <v>387</v>
      </c>
      <c r="U32" s="38" t="s">
        <v>387</v>
      </c>
      <c r="V32" s="38" t="s">
        <v>387</v>
      </c>
      <c r="W32" s="38" t="s">
        <v>387</v>
      </c>
      <c r="X32" s="38" t="s">
        <v>387</v>
      </c>
      <c r="Y32" s="38" t="s">
        <v>387</v>
      </c>
      <c r="Z32" s="38" t="s">
        <v>387</v>
      </c>
      <c r="AA32" s="38" t="s">
        <v>387</v>
      </c>
      <c r="AB32" s="38" t="s">
        <v>387</v>
      </c>
      <c r="AC32" s="38" t="s">
        <v>387</v>
      </c>
      <c r="AD32" s="38" t="s">
        <v>387</v>
      </c>
      <c r="AE32" s="38" t="s">
        <v>387</v>
      </c>
      <c r="AF32" s="38" t="s">
        <v>387</v>
      </c>
      <c r="AG32" s="38" t="s">
        <v>387</v>
      </c>
      <c r="AH32" s="38" t="s">
        <v>387</v>
      </c>
      <c r="AI32" s="38" t="s">
        <v>387</v>
      </c>
      <c r="AJ32" s="38" t="s">
        <v>387</v>
      </c>
      <c r="AK32" s="1"/>
      <c r="AL32" s="1"/>
    </row>
    <row r="33" spans="1:38" x14ac:dyDescent="0.25">
      <c r="A33" s="51" t="s">
        <v>396</v>
      </c>
      <c r="B33" s="51"/>
      <c r="C33" s="38">
        <v>-538.76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-447.2</v>
      </c>
      <c r="M33" s="38">
        <v>-143.59</v>
      </c>
      <c r="N33" s="38">
        <v>-0.88</v>
      </c>
      <c r="O33" s="38">
        <v>0</v>
      </c>
      <c r="P33" s="38">
        <v>0</v>
      </c>
      <c r="Q33" s="38">
        <v>-12823.05</v>
      </c>
      <c r="R33" s="38">
        <v>-109.52</v>
      </c>
      <c r="S33" s="38">
        <v>0</v>
      </c>
      <c r="T33" s="38">
        <v>-1732.52</v>
      </c>
      <c r="U33" s="38">
        <v>0</v>
      </c>
      <c r="V33" s="38">
        <v>0</v>
      </c>
      <c r="W33" s="38">
        <v>-152.47</v>
      </c>
      <c r="X33" s="38">
        <v>-6045.61</v>
      </c>
      <c r="Y33" s="38">
        <v>-10588.3</v>
      </c>
      <c r="Z33" s="38">
        <v>0</v>
      </c>
      <c r="AA33" s="38">
        <v>-2276.5100000000002</v>
      </c>
      <c r="AB33" s="38">
        <v>-637.4</v>
      </c>
      <c r="AC33" s="38">
        <v>-71.849999999999994</v>
      </c>
      <c r="AD33" s="38">
        <v>-705.11</v>
      </c>
      <c r="AE33" s="38">
        <v>-512.62</v>
      </c>
      <c r="AF33" s="38">
        <v>-175.73</v>
      </c>
      <c r="AG33" s="38">
        <v>0</v>
      </c>
      <c r="AH33" s="38">
        <v>-1026.48</v>
      </c>
      <c r="AI33" s="38">
        <v>36910.1</v>
      </c>
      <c r="AJ33" s="38">
        <v>0</v>
      </c>
      <c r="AK33" s="2"/>
      <c r="AL33" s="2"/>
    </row>
    <row r="34" spans="1:38" x14ac:dyDescent="0.25">
      <c r="A34" s="51" t="s">
        <v>398</v>
      </c>
      <c r="B34" s="51"/>
      <c r="C34" s="38">
        <v>-236.18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-236.18</v>
      </c>
      <c r="AJ34" s="38">
        <v>0</v>
      </c>
      <c r="AK34" s="2"/>
      <c r="AL34" s="2"/>
    </row>
    <row r="35" spans="1:38" x14ac:dyDescent="0.25">
      <c r="A35" s="48" t="s">
        <v>97</v>
      </c>
      <c r="B35" s="48"/>
      <c r="C35" s="38">
        <v>0</v>
      </c>
      <c r="D35" s="38" t="s">
        <v>387</v>
      </c>
      <c r="E35" s="38" t="s">
        <v>387</v>
      </c>
      <c r="F35" s="38" t="s">
        <v>387</v>
      </c>
      <c r="G35" s="38" t="s">
        <v>387</v>
      </c>
      <c r="H35" s="38" t="s">
        <v>387</v>
      </c>
      <c r="I35" s="38" t="s">
        <v>387</v>
      </c>
      <c r="J35" s="38" t="s">
        <v>387</v>
      </c>
      <c r="K35" s="38" t="s">
        <v>387</v>
      </c>
      <c r="L35" s="38" t="s">
        <v>387</v>
      </c>
      <c r="M35" s="38" t="s">
        <v>387</v>
      </c>
      <c r="N35" s="38" t="s">
        <v>387</v>
      </c>
      <c r="O35" s="38" t="s">
        <v>387</v>
      </c>
      <c r="P35" s="38" t="s">
        <v>387</v>
      </c>
      <c r="Q35" s="38" t="s">
        <v>387</v>
      </c>
      <c r="R35" s="38" t="s">
        <v>387</v>
      </c>
      <c r="S35" s="38" t="s">
        <v>387</v>
      </c>
      <c r="T35" s="38" t="s">
        <v>387</v>
      </c>
      <c r="U35" s="38" t="s">
        <v>387</v>
      </c>
      <c r="V35" s="38" t="s">
        <v>387</v>
      </c>
      <c r="W35" s="38" t="s">
        <v>387</v>
      </c>
      <c r="X35" s="38" t="s">
        <v>387</v>
      </c>
      <c r="Y35" s="38" t="s">
        <v>387</v>
      </c>
      <c r="Z35" s="38" t="s">
        <v>387</v>
      </c>
      <c r="AA35" s="38" t="s">
        <v>387</v>
      </c>
      <c r="AB35" s="38" t="s">
        <v>387</v>
      </c>
      <c r="AC35" s="38" t="s">
        <v>387</v>
      </c>
      <c r="AD35" s="38" t="s">
        <v>387</v>
      </c>
      <c r="AE35" s="38" t="s">
        <v>387</v>
      </c>
      <c r="AF35" s="38" t="s">
        <v>387</v>
      </c>
      <c r="AG35" s="38" t="s">
        <v>387</v>
      </c>
      <c r="AH35" s="38" t="s">
        <v>387</v>
      </c>
      <c r="AI35" s="38" t="s">
        <v>387</v>
      </c>
      <c r="AJ35" s="38" t="s">
        <v>387</v>
      </c>
      <c r="AK35" s="1"/>
      <c r="AL35" s="1"/>
    </row>
    <row r="36" spans="1:38" x14ac:dyDescent="0.25">
      <c r="A36" s="51" t="s">
        <v>460</v>
      </c>
      <c r="B36" s="51"/>
      <c r="C36" s="38">
        <v>-11.12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-2705.35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-14.55</v>
      </c>
      <c r="AD36" s="38">
        <v>0</v>
      </c>
      <c r="AE36" s="38">
        <v>0</v>
      </c>
      <c r="AF36" s="38">
        <v>0</v>
      </c>
      <c r="AG36" s="38">
        <v>0</v>
      </c>
      <c r="AH36" s="38">
        <v>2708.77</v>
      </c>
      <c r="AI36" s="38">
        <v>0</v>
      </c>
      <c r="AJ36" s="38">
        <v>0</v>
      </c>
      <c r="AK36" s="2"/>
      <c r="AL36" s="2"/>
    </row>
    <row r="37" spans="1:38" x14ac:dyDescent="0.25">
      <c r="A37" s="51" t="s">
        <v>414</v>
      </c>
      <c r="B37" s="51"/>
      <c r="C37" s="38">
        <v>-6184.57</v>
      </c>
      <c r="D37" s="38">
        <v>0</v>
      </c>
      <c r="E37" s="38">
        <v>0</v>
      </c>
      <c r="F37" s="38">
        <v>-1425.39</v>
      </c>
      <c r="G37" s="38">
        <v>-19.05</v>
      </c>
      <c r="H37" s="38">
        <v>0</v>
      </c>
      <c r="I37" s="38">
        <v>0</v>
      </c>
      <c r="J37" s="38">
        <v>0</v>
      </c>
      <c r="K37" s="38">
        <v>0</v>
      </c>
      <c r="L37" s="38">
        <v>-268.7</v>
      </c>
      <c r="M37" s="38">
        <v>-287.47000000000003</v>
      </c>
      <c r="N37" s="38">
        <v>-0.8</v>
      </c>
      <c r="O37" s="38">
        <v>0</v>
      </c>
      <c r="P37" s="38">
        <v>0</v>
      </c>
      <c r="Q37" s="38">
        <v>-2671.48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-2.52</v>
      </c>
      <c r="Y37" s="38">
        <v>-381.14</v>
      </c>
      <c r="Z37" s="38">
        <v>0</v>
      </c>
      <c r="AA37" s="38">
        <v>0</v>
      </c>
      <c r="AB37" s="38">
        <v>-560.57000000000005</v>
      </c>
      <c r="AC37" s="38">
        <v>-1790.31</v>
      </c>
      <c r="AD37" s="38">
        <v>-146.9</v>
      </c>
      <c r="AE37" s="38">
        <v>-28885.15</v>
      </c>
      <c r="AF37" s="38">
        <v>-12.53</v>
      </c>
      <c r="AG37" s="38">
        <v>0</v>
      </c>
      <c r="AH37" s="38">
        <v>7517.04</v>
      </c>
      <c r="AI37" s="38">
        <v>22750.39</v>
      </c>
      <c r="AJ37" s="38">
        <v>0</v>
      </c>
      <c r="AK37" s="2"/>
      <c r="AL37" s="2"/>
    </row>
    <row r="38" spans="1:38" x14ac:dyDescent="0.25">
      <c r="A38" s="51" t="s">
        <v>416</v>
      </c>
      <c r="B38" s="51"/>
      <c r="C38" s="38">
        <v>3349.2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-1.71</v>
      </c>
      <c r="M38" s="38">
        <v>-1.91</v>
      </c>
      <c r="N38" s="38">
        <v>-0.38</v>
      </c>
      <c r="O38" s="38">
        <v>0</v>
      </c>
      <c r="P38" s="38">
        <v>0</v>
      </c>
      <c r="Q38" s="38">
        <v>-62.13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-26.32</v>
      </c>
      <c r="Y38" s="38">
        <v>-140.09</v>
      </c>
      <c r="Z38" s="38">
        <v>0</v>
      </c>
      <c r="AA38" s="38">
        <v>0</v>
      </c>
      <c r="AB38" s="38">
        <v>-417.57</v>
      </c>
      <c r="AC38" s="38">
        <v>-56.61</v>
      </c>
      <c r="AD38" s="38">
        <v>-3.42</v>
      </c>
      <c r="AE38" s="38">
        <v>-2298.0700000000002</v>
      </c>
      <c r="AF38" s="38">
        <v>0</v>
      </c>
      <c r="AG38" s="38">
        <v>0</v>
      </c>
      <c r="AH38" s="38">
        <v>-57.75</v>
      </c>
      <c r="AI38" s="38">
        <v>6415.14</v>
      </c>
      <c r="AJ38" s="38">
        <v>0</v>
      </c>
      <c r="AK38" s="2"/>
      <c r="AL38" s="2"/>
    </row>
    <row r="39" spans="1:38" x14ac:dyDescent="0.25">
      <c r="A39" s="48" t="s">
        <v>418</v>
      </c>
      <c r="B39" s="48"/>
      <c r="C39" s="38">
        <v>-46.25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-62.59</v>
      </c>
      <c r="M39" s="38">
        <v>0</v>
      </c>
      <c r="N39" s="38">
        <v>0</v>
      </c>
      <c r="O39" s="38">
        <v>0</v>
      </c>
      <c r="P39" s="38">
        <v>0</v>
      </c>
      <c r="Q39" s="38">
        <v>-468.09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-103.67</v>
      </c>
      <c r="AD39" s="38">
        <v>-25.74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613.84</v>
      </c>
      <c r="AK39" s="1"/>
      <c r="AL39" s="1"/>
    </row>
    <row r="40" spans="1:38" x14ac:dyDescent="0.25">
      <c r="A40" s="48" t="s">
        <v>76</v>
      </c>
      <c r="B40" s="48"/>
      <c r="C40" s="38" t="s">
        <v>387</v>
      </c>
      <c r="D40" s="38" t="s">
        <v>387</v>
      </c>
      <c r="E40" s="38" t="s">
        <v>387</v>
      </c>
      <c r="F40" s="38" t="s">
        <v>387</v>
      </c>
      <c r="G40" s="38" t="s">
        <v>387</v>
      </c>
      <c r="H40" s="38" t="s">
        <v>387</v>
      </c>
      <c r="I40" s="38" t="s">
        <v>387</v>
      </c>
      <c r="J40" s="38" t="s">
        <v>387</v>
      </c>
      <c r="K40" s="38" t="s">
        <v>387</v>
      </c>
      <c r="L40" s="38" t="s">
        <v>387</v>
      </c>
      <c r="M40" s="38" t="s">
        <v>387</v>
      </c>
      <c r="N40" s="38" t="s">
        <v>387</v>
      </c>
      <c r="O40" s="38" t="s">
        <v>387</v>
      </c>
      <c r="P40" s="38" t="s">
        <v>387</v>
      </c>
      <c r="Q40" s="38" t="s">
        <v>387</v>
      </c>
      <c r="R40" s="38" t="s">
        <v>387</v>
      </c>
      <c r="S40" s="38" t="s">
        <v>387</v>
      </c>
      <c r="T40" s="38" t="s">
        <v>387</v>
      </c>
      <c r="U40" s="38" t="s">
        <v>387</v>
      </c>
      <c r="V40" s="38" t="s">
        <v>387</v>
      </c>
      <c r="W40" s="38" t="s">
        <v>387</v>
      </c>
      <c r="X40" s="38" t="s">
        <v>387</v>
      </c>
      <c r="Y40" s="38" t="s">
        <v>387</v>
      </c>
      <c r="Z40" s="38" t="s">
        <v>387</v>
      </c>
      <c r="AA40" s="38" t="s">
        <v>387</v>
      </c>
      <c r="AB40" s="38" t="s">
        <v>387</v>
      </c>
      <c r="AC40" s="38">
        <v>-5129.63</v>
      </c>
      <c r="AD40" s="38">
        <v>5129.63</v>
      </c>
      <c r="AE40" s="38" t="s">
        <v>387</v>
      </c>
      <c r="AF40" s="38" t="s">
        <v>387</v>
      </c>
      <c r="AG40" s="38" t="s">
        <v>387</v>
      </c>
      <c r="AH40" s="38" t="s">
        <v>387</v>
      </c>
      <c r="AI40" s="38" t="s">
        <v>387</v>
      </c>
      <c r="AJ40" s="38" t="s">
        <v>387</v>
      </c>
      <c r="AK40" s="1"/>
      <c r="AL40" s="1"/>
    </row>
    <row r="41" spans="1:38" x14ac:dyDescent="0.25">
      <c r="A41" s="48" t="s">
        <v>421</v>
      </c>
      <c r="B41" s="48"/>
      <c r="C41" s="38">
        <v>-33190.11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-112.76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-6.2</v>
      </c>
      <c r="AE41" s="38">
        <v>0</v>
      </c>
      <c r="AF41" s="38">
        <v>0</v>
      </c>
      <c r="AG41" s="38">
        <v>0</v>
      </c>
      <c r="AH41" s="38">
        <v>-6035.89</v>
      </c>
      <c r="AI41" s="38">
        <v>-27010.7</v>
      </c>
      <c r="AJ41" s="38">
        <v>-24.55</v>
      </c>
      <c r="AK41" s="1"/>
      <c r="AL41" s="1"/>
    </row>
    <row r="42" spans="1:38" x14ac:dyDescent="0.25">
      <c r="A42" s="48" t="s">
        <v>423</v>
      </c>
      <c r="B42" s="48"/>
      <c r="C42" s="38">
        <v>0</v>
      </c>
      <c r="D42" s="38" t="s">
        <v>387</v>
      </c>
      <c r="E42" s="38" t="s">
        <v>387</v>
      </c>
      <c r="F42" s="38" t="s">
        <v>387</v>
      </c>
      <c r="G42" s="38" t="s">
        <v>387</v>
      </c>
      <c r="H42" s="38" t="s">
        <v>387</v>
      </c>
      <c r="I42" s="38" t="s">
        <v>387</v>
      </c>
      <c r="J42" s="38" t="s">
        <v>387</v>
      </c>
      <c r="K42" s="38" t="s">
        <v>387</v>
      </c>
      <c r="L42" s="38" t="s">
        <v>387</v>
      </c>
      <c r="M42" s="38" t="s">
        <v>387</v>
      </c>
      <c r="N42" s="38" t="s">
        <v>387</v>
      </c>
      <c r="O42" s="38" t="s">
        <v>387</v>
      </c>
      <c r="P42" s="38" t="s">
        <v>387</v>
      </c>
      <c r="Q42" s="38" t="s">
        <v>387</v>
      </c>
      <c r="R42" s="38" t="s">
        <v>387</v>
      </c>
      <c r="S42" s="38" t="s">
        <v>387</v>
      </c>
      <c r="T42" s="38" t="s">
        <v>387</v>
      </c>
      <c r="U42" s="38" t="s">
        <v>387</v>
      </c>
      <c r="V42" s="38" t="s">
        <v>387</v>
      </c>
      <c r="W42" s="38" t="s">
        <v>387</v>
      </c>
      <c r="X42" s="38" t="s">
        <v>387</v>
      </c>
      <c r="Y42" s="38" t="s">
        <v>387</v>
      </c>
      <c r="Z42" s="38" t="s">
        <v>387</v>
      </c>
      <c r="AA42" s="38" t="s">
        <v>387</v>
      </c>
      <c r="AB42" s="38" t="s">
        <v>387</v>
      </c>
      <c r="AC42" s="38" t="s">
        <v>387</v>
      </c>
      <c r="AD42" s="38" t="s">
        <v>387</v>
      </c>
      <c r="AE42" s="38" t="s">
        <v>387</v>
      </c>
      <c r="AF42" s="38" t="s">
        <v>387</v>
      </c>
      <c r="AG42" s="38" t="s">
        <v>387</v>
      </c>
      <c r="AH42" s="38" t="s">
        <v>387</v>
      </c>
      <c r="AI42" s="38" t="s">
        <v>387</v>
      </c>
      <c r="AJ42" s="38" t="s">
        <v>387</v>
      </c>
      <c r="AK42" s="1"/>
      <c r="AL42" s="1"/>
    </row>
    <row r="43" spans="1:38" x14ac:dyDescent="0.25">
      <c r="A43" s="51" t="s">
        <v>425</v>
      </c>
      <c r="B43" s="51"/>
      <c r="C43" s="38">
        <v>-10349.709999999999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-10349.709999999999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2"/>
      <c r="AL43" s="2"/>
    </row>
    <row r="44" spans="1:38" x14ac:dyDescent="0.25">
      <c r="A44" s="51" t="s">
        <v>427</v>
      </c>
      <c r="B44" s="51"/>
      <c r="C44" s="38">
        <v>-162214.46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-56580.66</v>
      </c>
      <c r="J44" s="38">
        <v>0</v>
      </c>
      <c r="K44" s="38">
        <v>0</v>
      </c>
      <c r="L44" s="38">
        <v>-96346.81</v>
      </c>
      <c r="M44" s="38">
        <v>0</v>
      </c>
      <c r="N44" s="38">
        <v>0</v>
      </c>
      <c r="O44" s="38">
        <v>0</v>
      </c>
      <c r="P44" s="38">
        <v>0</v>
      </c>
      <c r="Q44" s="38">
        <v>-253.27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-13.93</v>
      </c>
      <c r="AE44" s="38">
        <v>0</v>
      </c>
      <c r="AF44" s="38">
        <v>-9019.7999999999993</v>
      </c>
      <c r="AG44" s="38">
        <v>0</v>
      </c>
      <c r="AH44" s="38">
        <v>0</v>
      </c>
      <c r="AI44" s="38">
        <v>0</v>
      </c>
      <c r="AJ44" s="38">
        <v>0</v>
      </c>
      <c r="AK44" s="2"/>
      <c r="AL44" s="2"/>
    </row>
    <row r="45" spans="1:38" x14ac:dyDescent="0.25">
      <c r="A45" s="51" t="s">
        <v>429</v>
      </c>
      <c r="B45" s="51"/>
      <c r="C45" s="38">
        <v>-4762.13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-0.03</v>
      </c>
      <c r="J45" s="38">
        <v>0</v>
      </c>
      <c r="K45" s="38">
        <v>0</v>
      </c>
      <c r="L45" s="38">
        <v>-3296.67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-1465.43</v>
      </c>
      <c r="AI45" s="38">
        <v>0</v>
      </c>
      <c r="AJ45" s="38">
        <v>0</v>
      </c>
      <c r="AK45" s="2"/>
      <c r="AL45" s="2"/>
    </row>
    <row r="46" spans="1:38" x14ac:dyDescent="0.25">
      <c r="A46" s="51" t="s">
        <v>431</v>
      </c>
      <c r="B46" s="51"/>
      <c r="C46" s="38">
        <v>-6214.05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-6214.05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2"/>
      <c r="AL46" s="2"/>
    </row>
    <row r="47" spans="1:38" x14ac:dyDescent="0.25">
      <c r="A47" s="51" t="s">
        <v>433</v>
      </c>
      <c r="B47" s="51"/>
      <c r="C47" s="38">
        <v>-41000.54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-41000.54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2"/>
      <c r="AL47" s="2"/>
    </row>
    <row r="48" spans="1:38" x14ac:dyDescent="0.25">
      <c r="A48" s="51" t="s">
        <v>435</v>
      </c>
      <c r="B48" s="51"/>
      <c r="C48" s="38">
        <v>-1262.04</v>
      </c>
      <c r="D48" s="38">
        <v>0</v>
      </c>
      <c r="E48" s="38">
        <v>0</v>
      </c>
      <c r="F48" s="38">
        <v>0</v>
      </c>
      <c r="G48" s="38">
        <v>0</v>
      </c>
      <c r="H48" s="38">
        <v>-30.97</v>
      </c>
      <c r="I48" s="38">
        <v>-0.1</v>
      </c>
      <c r="J48" s="38">
        <v>0</v>
      </c>
      <c r="K48" s="38">
        <v>-1230.97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2"/>
      <c r="AL48" s="2"/>
    </row>
    <row r="49" spans="1:38" x14ac:dyDescent="0.25">
      <c r="A49" s="51" t="s">
        <v>437</v>
      </c>
      <c r="B49" s="51"/>
      <c r="C49" s="38">
        <v>-2799.73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-1.68</v>
      </c>
      <c r="J49" s="38">
        <v>0</v>
      </c>
      <c r="K49" s="38">
        <v>-1336.22</v>
      </c>
      <c r="L49" s="38">
        <v>-1461.84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2"/>
      <c r="AL49" s="2"/>
    </row>
    <row r="50" spans="1:38" x14ac:dyDescent="0.25">
      <c r="A50" s="51" t="s">
        <v>439</v>
      </c>
      <c r="B50" s="51"/>
      <c r="C50" s="38">
        <v>-25945.46</v>
      </c>
      <c r="D50" s="38">
        <v>0</v>
      </c>
      <c r="E50" s="38">
        <v>0</v>
      </c>
      <c r="F50" s="38">
        <v>0</v>
      </c>
      <c r="G50" s="38">
        <v>-249.96</v>
      </c>
      <c r="H50" s="38">
        <v>0</v>
      </c>
      <c r="I50" s="38">
        <v>-78.31</v>
      </c>
      <c r="J50" s="38">
        <v>0</v>
      </c>
      <c r="K50" s="38">
        <v>0</v>
      </c>
      <c r="L50" s="38">
        <v>-12451.08</v>
      </c>
      <c r="M50" s="38">
        <v>-17.68</v>
      </c>
      <c r="N50" s="38">
        <v>0</v>
      </c>
      <c r="O50" s="38">
        <v>0</v>
      </c>
      <c r="P50" s="38">
        <v>0</v>
      </c>
      <c r="Q50" s="38">
        <v>-1707.75</v>
      </c>
      <c r="R50" s="38">
        <v>-403.1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-1982.95</v>
      </c>
      <c r="Y50" s="38">
        <v>-26.78</v>
      </c>
      <c r="Z50" s="38">
        <v>0</v>
      </c>
      <c r="AA50" s="38">
        <v>0</v>
      </c>
      <c r="AB50" s="38">
        <v>-177.46</v>
      </c>
      <c r="AC50" s="38">
        <v>-109.55</v>
      </c>
      <c r="AD50" s="38">
        <v>-93.9</v>
      </c>
      <c r="AE50" s="38">
        <v>0</v>
      </c>
      <c r="AF50" s="38">
        <v>0</v>
      </c>
      <c r="AG50" s="38">
        <v>-731.3</v>
      </c>
      <c r="AH50" s="38">
        <v>-6330.64</v>
      </c>
      <c r="AI50" s="38">
        <v>-1585</v>
      </c>
      <c r="AJ50" s="38">
        <v>0</v>
      </c>
      <c r="AK50" s="2"/>
      <c r="AL50" s="2"/>
    </row>
    <row r="51" spans="1:38" x14ac:dyDescent="0.25">
      <c r="A51" s="51" t="s">
        <v>441</v>
      </c>
      <c r="B51" s="51"/>
      <c r="C51" s="38">
        <v>-4890.46</v>
      </c>
      <c r="D51" s="38">
        <v>0</v>
      </c>
      <c r="E51" s="38">
        <v>0</v>
      </c>
      <c r="F51" s="38">
        <v>0</v>
      </c>
      <c r="G51" s="38">
        <v>-11.5</v>
      </c>
      <c r="H51" s="38">
        <v>0</v>
      </c>
      <c r="I51" s="38">
        <v>-0.1</v>
      </c>
      <c r="J51" s="38">
        <v>0</v>
      </c>
      <c r="K51" s="38">
        <v>0</v>
      </c>
      <c r="L51" s="38">
        <v>-4878.8599999999997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2"/>
      <c r="AL51" s="2"/>
    </row>
    <row r="52" spans="1:38" x14ac:dyDescent="0.25">
      <c r="A52" s="51" t="s">
        <v>443</v>
      </c>
      <c r="B52" s="51"/>
      <c r="C52" s="38">
        <v>-91140.97</v>
      </c>
      <c r="D52" s="38">
        <v>0</v>
      </c>
      <c r="E52" s="38">
        <v>0</v>
      </c>
      <c r="F52" s="38">
        <v>0</v>
      </c>
      <c r="G52" s="38">
        <v>-1027.46</v>
      </c>
      <c r="H52" s="38">
        <v>0</v>
      </c>
      <c r="I52" s="38">
        <v>-17.440000000000001</v>
      </c>
      <c r="J52" s="38">
        <v>-2.09</v>
      </c>
      <c r="K52" s="38">
        <v>0</v>
      </c>
      <c r="L52" s="38">
        <v>-1999.99</v>
      </c>
      <c r="M52" s="38">
        <v>-1945.93</v>
      </c>
      <c r="N52" s="38">
        <v>-17.329999999999998</v>
      </c>
      <c r="O52" s="38">
        <v>-7905.7</v>
      </c>
      <c r="P52" s="38">
        <v>0</v>
      </c>
      <c r="Q52" s="38">
        <v>-28478.21</v>
      </c>
      <c r="R52" s="38">
        <v>-4284.8999999999996</v>
      </c>
      <c r="S52" s="38">
        <v>-315.47000000000003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-1333.3</v>
      </c>
      <c r="Z52" s="38">
        <v>0</v>
      </c>
      <c r="AA52" s="38">
        <v>-1402.93</v>
      </c>
      <c r="AB52" s="38">
        <v>-4019.84</v>
      </c>
      <c r="AC52" s="38">
        <v>-151.32</v>
      </c>
      <c r="AD52" s="38">
        <v>-1477.79</v>
      </c>
      <c r="AE52" s="38">
        <v>-1485.63</v>
      </c>
      <c r="AF52" s="38">
        <v>0</v>
      </c>
      <c r="AG52" s="38">
        <v>-1983.15</v>
      </c>
      <c r="AH52" s="38">
        <v>-29684.560000000001</v>
      </c>
      <c r="AI52" s="38">
        <v>-3402</v>
      </c>
      <c r="AJ52" s="38">
        <v>-205.93</v>
      </c>
      <c r="AK52" s="2"/>
      <c r="AL52" s="2"/>
    </row>
    <row r="53" spans="1:38" x14ac:dyDescent="0.25">
      <c r="A53" s="51" t="s">
        <v>445</v>
      </c>
      <c r="B53" s="51"/>
      <c r="C53" s="38">
        <v>-7218.38</v>
      </c>
      <c r="D53" s="38">
        <v>0</v>
      </c>
      <c r="E53" s="38">
        <v>0</v>
      </c>
      <c r="F53" s="38">
        <v>0</v>
      </c>
      <c r="G53" s="38">
        <v>-81.599999999999994</v>
      </c>
      <c r="H53" s="38">
        <v>0</v>
      </c>
      <c r="I53" s="38">
        <v>-10.31</v>
      </c>
      <c r="J53" s="38">
        <v>-7.0000000000000007E-2</v>
      </c>
      <c r="K53" s="38">
        <v>0</v>
      </c>
      <c r="L53" s="38">
        <v>-5333.8</v>
      </c>
      <c r="M53" s="38">
        <v>0</v>
      </c>
      <c r="N53" s="38">
        <v>0</v>
      </c>
      <c r="O53" s="38">
        <v>0</v>
      </c>
      <c r="P53" s="38">
        <v>0</v>
      </c>
      <c r="Q53" s="38">
        <v>-324.92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-17.87</v>
      </c>
      <c r="AE53" s="38">
        <v>0</v>
      </c>
      <c r="AF53" s="38">
        <v>0</v>
      </c>
      <c r="AG53" s="38">
        <v>0</v>
      </c>
      <c r="AH53" s="38">
        <v>-1449.8</v>
      </c>
      <c r="AI53" s="38">
        <v>0</v>
      </c>
      <c r="AJ53" s="38">
        <v>0</v>
      </c>
      <c r="AK53" s="2"/>
      <c r="AL53" s="2"/>
    </row>
    <row r="54" spans="1:38" x14ac:dyDescent="0.25">
      <c r="A54" s="51" t="s">
        <v>447</v>
      </c>
      <c r="B54" s="51"/>
      <c r="C54" s="38">
        <v>-11059.59</v>
      </c>
      <c r="D54" s="38">
        <v>0</v>
      </c>
      <c r="E54" s="38">
        <v>0</v>
      </c>
      <c r="F54" s="38">
        <v>0</v>
      </c>
      <c r="G54" s="38">
        <v>-40.97</v>
      </c>
      <c r="H54" s="38">
        <v>0</v>
      </c>
      <c r="I54" s="38">
        <v>0</v>
      </c>
      <c r="J54" s="38">
        <v>0</v>
      </c>
      <c r="K54" s="38">
        <v>0</v>
      </c>
      <c r="L54" s="38">
        <v>-263.33</v>
      </c>
      <c r="M54" s="38">
        <v>-0.13</v>
      </c>
      <c r="N54" s="38">
        <v>0</v>
      </c>
      <c r="O54" s="38">
        <v>-0.82</v>
      </c>
      <c r="P54" s="38">
        <v>0</v>
      </c>
      <c r="Q54" s="38">
        <v>-1041.0899999999999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-57.25</v>
      </c>
      <c r="AE54" s="38">
        <v>0</v>
      </c>
      <c r="AF54" s="38">
        <v>0</v>
      </c>
      <c r="AG54" s="38">
        <v>0</v>
      </c>
      <c r="AH54" s="38">
        <v>-5414.88</v>
      </c>
      <c r="AI54" s="38">
        <v>-4241.1400000000003</v>
      </c>
      <c r="AJ54" s="38">
        <v>0</v>
      </c>
      <c r="AK54" s="2"/>
      <c r="AL54" s="2"/>
    </row>
    <row r="55" spans="1:38" x14ac:dyDescent="0.25">
      <c r="A55" s="51" t="s">
        <v>449</v>
      </c>
      <c r="B55" s="51"/>
      <c r="C55" s="38">
        <v>-10232.66</v>
      </c>
      <c r="D55" s="38">
        <v>0</v>
      </c>
      <c r="E55" s="38">
        <v>0</v>
      </c>
      <c r="F55" s="38">
        <v>0</v>
      </c>
      <c r="G55" s="38">
        <v>-33.380000000000003</v>
      </c>
      <c r="H55" s="38">
        <v>0</v>
      </c>
      <c r="I55" s="38">
        <v>0</v>
      </c>
      <c r="J55" s="38">
        <v>0</v>
      </c>
      <c r="K55" s="38">
        <v>0</v>
      </c>
      <c r="L55" s="38">
        <v>-112.99</v>
      </c>
      <c r="M55" s="38">
        <v>-0.05</v>
      </c>
      <c r="N55" s="38">
        <v>0</v>
      </c>
      <c r="O55" s="38">
        <v>-0.35</v>
      </c>
      <c r="P55" s="38">
        <v>0</v>
      </c>
      <c r="Q55" s="38">
        <v>-803.65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-44.19</v>
      </c>
      <c r="AE55" s="38">
        <v>0</v>
      </c>
      <c r="AF55" s="38">
        <v>0</v>
      </c>
      <c r="AG55" s="38">
        <v>0</v>
      </c>
      <c r="AH55" s="38">
        <v>-5964.18</v>
      </c>
      <c r="AI55" s="38">
        <v>-3273.87</v>
      </c>
      <c r="AJ55" s="38">
        <v>0</v>
      </c>
      <c r="AK55" s="2"/>
      <c r="AL55" s="2"/>
    </row>
    <row r="56" spans="1:38" x14ac:dyDescent="0.25">
      <c r="A56" s="51" t="s">
        <v>451</v>
      </c>
      <c r="B56" s="51"/>
      <c r="C56" s="38">
        <v>-37610.339999999997</v>
      </c>
      <c r="D56" s="38">
        <v>0</v>
      </c>
      <c r="E56" s="38">
        <v>0</v>
      </c>
      <c r="F56" s="38">
        <v>0</v>
      </c>
      <c r="G56" s="38">
        <v>-153.61000000000001</v>
      </c>
      <c r="H56" s="38">
        <v>0</v>
      </c>
      <c r="I56" s="38">
        <v>0</v>
      </c>
      <c r="J56" s="38">
        <v>0</v>
      </c>
      <c r="K56" s="38">
        <v>0</v>
      </c>
      <c r="L56" s="38">
        <v>-466.51</v>
      </c>
      <c r="M56" s="38">
        <v>-13.23</v>
      </c>
      <c r="N56" s="38">
        <v>0</v>
      </c>
      <c r="O56" s="38">
        <v>-2.2599999999999998</v>
      </c>
      <c r="P56" s="38">
        <v>0</v>
      </c>
      <c r="Q56" s="38">
        <v>-3394.01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-18.600000000000001</v>
      </c>
      <c r="Z56" s="38">
        <v>0</v>
      </c>
      <c r="AA56" s="38">
        <v>0</v>
      </c>
      <c r="AB56" s="38">
        <v>-89.18</v>
      </c>
      <c r="AC56" s="38">
        <v>-380.47</v>
      </c>
      <c r="AD56" s="38">
        <v>-186.63</v>
      </c>
      <c r="AE56" s="38">
        <v>-700.43</v>
      </c>
      <c r="AF56" s="38">
        <v>0</v>
      </c>
      <c r="AG56" s="38">
        <v>0</v>
      </c>
      <c r="AH56" s="38">
        <v>-17931.59</v>
      </c>
      <c r="AI56" s="38">
        <v>-14261.75</v>
      </c>
      <c r="AJ56" s="38">
        <v>-12.08</v>
      </c>
      <c r="AK56" s="2"/>
      <c r="AL56" s="2"/>
    </row>
    <row r="57" spans="1:38" x14ac:dyDescent="0.25">
      <c r="A57" s="51" t="s">
        <v>453</v>
      </c>
      <c r="B57" s="51"/>
      <c r="C57" s="38">
        <v>-25013.1</v>
      </c>
      <c r="D57" s="38">
        <v>0</v>
      </c>
      <c r="E57" s="38">
        <v>0</v>
      </c>
      <c r="F57" s="38">
        <v>0</v>
      </c>
      <c r="G57" s="38">
        <v>-160.87</v>
      </c>
      <c r="H57" s="38">
        <v>0</v>
      </c>
      <c r="I57" s="38">
        <v>0</v>
      </c>
      <c r="J57" s="38">
        <v>0</v>
      </c>
      <c r="K57" s="38">
        <v>0</v>
      </c>
      <c r="L57" s="38">
        <v>-1129.33</v>
      </c>
      <c r="M57" s="38">
        <v>-7.59</v>
      </c>
      <c r="N57" s="38">
        <v>0</v>
      </c>
      <c r="O57" s="38">
        <v>-3.5</v>
      </c>
      <c r="P57" s="38">
        <v>0</v>
      </c>
      <c r="Q57" s="38">
        <v>-2570.25</v>
      </c>
      <c r="R57" s="38">
        <v>0</v>
      </c>
      <c r="S57" s="38">
        <v>0</v>
      </c>
      <c r="T57" s="38">
        <v>-89.54</v>
      </c>
      <c r="U57" s="38">
        <v>0</v>
      </c>
      <c r="V57" s="38">
        <v>0</v>
      </c>
      <c r="W57" s="38">
        <v>0</v>
      </c>
      <c r="X57" s="38">
        <v>0</v>
      </c>
      <c r="Y57" s="38">
        <v>-150.91999999999999</v>
      </c>
      <c r="Z57" s="38">
        <v>0</v>
      </c>
      <c r="AA57" s="38">
        <v>-1204.2</v>
      </c>
      <c r="AB57" s="38">
        <v>0</v>
      </c>
      <c r="AC57" s="38">
        <v>0</v>
      </c>
      <c r="AD57" s="38">
        <v>-141.33000000000001</v>
      </c>
      <c r="AE57" s="38">
        <v>0</v>
      </c>
      <c r="AF57" s="38">
        <v>0</v>
      </c>
      <c r="AG57" s="38">
        <v>0</v>
      </c>
      <c r="AH57" s="38">
        <v>-8928.33</v>
      </c>
      <c r="AI57" s="38">
        <v>-10608.64</v>
      </c>
      <c r="AJ57" s="38">
        <v>-18.59</v>
      </c>
      <c r="AK57" s="2"/>
      <c r="AL57" s="2"/>
    </row>
    <row r="58" spans="1:38" x14ac:dyDescent="0.25">
      <c r="A58" s="51" t="s">
        <v>455</v>
      </c>
      <c r="B58" s="51"/>
      <c r="C58" s="38">
        <v>-140772.51999999999</v>
      </c>
      <c r="D58" s="38">
        <v>0</v>
      </c>
      <c r="E58" s="38">
        <v>0</v>
      </c>
      <c r="F58" s="38">
        <v>0</v>
      </c>
      <c r="G58" s="38">
        <v>-492.25</v>
      </c>
      <c r="H58" s="38">
        <v>0</v>
      </c>
      <c r="I58" s="38">
        <v>-861.63</v>
      </c>
      <c r="J58" s="38">
        <v>0</v>
      </c>
      <c r="K58" s="38">
        <v>0</v>
      </c>
      <c r="L58" s="38">
        <v>-6191.84</v>
      </c>
      <c r="M58" s="38">
        <v>0</v>
      </c>
      <c r="N58" s="38">
        <v>0</v>
      </c>
      <c r="O58" s="38">
        <v>-628</v>
      </c>
      <c r="P58" s="38">
        <v>0</v>
      </c>
      <c r="Q58" s="38">
        <v>-20466.21</v>
      </c>
      <c r="R58" s="38">
        <v>0</v>
      </c>
      <c r="S58" s="38">
        <v>0</v>
      </c>
      <c r="T58" s="38">
        <v>-417.86</v>
      </c>
      <c r="U58" s="38">
        <v>0</v>
      </c>
      <c r="V58" s="38">
        <v>0</v>
      </c>
      <c r="W58" s="38">
        <v>0</v>
      </c>
      <c r="X58" s="38">
        <v>-2974.42</v>
      </c>
      <c r="Y58" s="38">
        <v>-83.23</v>
      </c>
      <c r="Z58" s="38">
        <v>-25102.25</v>
      </c>
      <c r="AA58" s="38">
        <v>-14622.31</v>
      </c>
      <c r="AB58" s="38">
        <v>0</v>
      </c>
      <c r="AC58" s="38">
        <v>0</v>
      </c>
      <c r="AD58" s="38">
        <v>-1125.3800000000001</v>
      </c>
      <c r="AE58" s="38">
        <v>0</v>
      </c>
      <c r="AF58" s="38">
        <v>0</v>
      </c>
      <c r="AG58" s="38">
        <v>-6366.15</v>
      </c>
      <c r="AH58" s="38">
        <v>-27057.68</v>
      </c>
      <c r="AI58" s="38">
        <v>-34191.629999999997</v>
      </c>
      <c r="AJ58" s="38">
        <v>-191.68</v>
      </c>
      <c r="AK58" s="2"/>
      <c r="AL58" s="2"/>
    </row>
    <row r="59" spans="1:38" x14ac:dyDescent="0.25">
      <c r="A59" s="51" t="s">
        <v>457</v>
      </c>
      <c r="B59" s="51"/>
      <c r="C59" s="38">
        <v>-50158.13</v>
      </c>
      <c r="D59" s="38">
        <v>0</v>
      </c>
      <c r="E59" s="38">
        <v>0</v>
      </c>
      <c r="F59" s="38">
        <v>0</v>
      </c>
      <c r="G59" s="38">
        <v>-260.31</v>
      </c>
      <c r="H59" s="38">
        <v>0</v>
      </c>
      <c r="I59" s="38">
        <v>0</v>
      </c>
      <c r="J59" s="38">
        <v>0</v>
      </c>
      <c r="K59" s="38">
        <v>0</v>
      </c>
      <c r="L59" s="38">
        <v>-1211.46</v>
      </c>
      <c r="M59" s="38">
        <v>-9.92</v>
      </c>
      <c r="N59" s="38">
        <v>0</v>
      </c>
      <c r="O59" s="38">
        <v>-6.2</v>
      </c>
      <c r="P59" s="38">
        <v>0</v>
      </c>
      <c r="Q59" s="38">
        <v>-3888.63</v>
      </c>
      <c r="R59" s="38">
        <v>0</v>
      </c>
      <c r="S59" s="38">
        <v>0</v>
      </c>
      <c r="T59" s="38">
        <v>-89.54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-213.83</v>
      </c>
      <c r="AE59" s="38">
        <v>0</v>
      </c>
      <c r="AF59" s="38">
        <v>0</v>
      </c>
      <c r="AG59" s="38">
        <v>0</v>
      </c>
      <c r="AH59" s="38">
        <v>-8452.4599999999991</v>
      </c>
      <c r="AI59" s="38">
        <v>-35864.79</v>
      </c>
      <c r="AJ59" s="38">
        <v>-161.01</v>
      </c>
      <c r="AK59" s="2"/>
      <c r="AL59" s="2"/>
    </row>
    <row r="60" spans="1:38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2"/>
      <c r="AL60" s="2"/>
    </row>
    <row r="61" spans="1:3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Energibalance</vt:lpstr>
      <vt:lpstr>Detaljeret opgørelse 2018</vt:lpstr>
      <vt:lpstr>Meta data</vt:lpstr>
      <vt:lpstr>Emissionsfaktorer</vt:lpstr>
      <vt:lpstr>Nøgletal slutforbrug</vt:lpstr>
      <vt:lpstr>Nøgletal trans+distri</vt:lpstr>
      <vt:lpstr>Nøgletal sekundær energi</vt:lpstr>
      <vt:lpstr>Størrelse på strømme</vt:lpstr>
      <vt:lpstr>Detaljeret opgørelse 2017</vt:lpstr>
      <vt:lpstr>Detaljeret opgørelse 2016</vt:lpstr>
      <vt:lpstr>Detaljeret opgørelse 2015</vt:lpstr>
      <vt:lpstr>Detaljeret opgørelse 2014</vt:lpstr>
      <vt:lpstr>2018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</dc:creator>
  <cp:keywords/>
  <dc:description/>
  <cp:lastModifiedBy>Flemming Nissen</cp:lastModifiedBy>
  <cp:revision/>
  <dcterms:created xsi:type="dcterms:W3CDTF">2018-01-06T07:25:37Z</dcterms:created>
  <dcterms:modified xsi:type="dcterms:W3CDTF">2020-07-17T09:27:55Z</dcterms:modified>
  <cp:category/>
  <cp:contentStatus/>
</cp:coreProperties>
</file>