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drawings/drawing3.xml" ContentType="application/vnd.openxmlformats-officedocument.drawing+xml"/>
  <Override PartName="/xl/comments9.xml" ContentType="application/vnd.openxmlformats-officedocument.spreadsheetml.comments+xml"/>
  <Override PartName="/xl/drawings/drawing4.xml" ContentType="application/vnd.openxmlformats-officedocument.drawing+xml"/>
  <Override PartName="/xl/comments10.xml" ContentType="application/vnd.openxmlformats-officedocument.spreadsheetml.comments+xml"/>
  <Override PartName="/xl/drawings/drawing5.xml" ContentType="application/vnd.openxmlformats-officedocument.drawing+xml"/>
  <Override PartName="/xl/comments11.xml" ContentType="application/vnd.openxmlformats-officedocument.spreadsheetml.comments+xml"/>
  <Override PartName="/xl/drawings/drawing6.xml" ContentType="application/vnd.openxmlformats-officedocument.drawing+xml"/>
  <Override PartName="/xl/comments12.xml" ContentType="application/vnd.openxmlformats-officedocument.spreadsheetml.comments+xml"/>
  <Override PartName="/xl/drawings/drawing7.xml" ContentType="application/vnd.openxmlformats-officedocument.drawing+xml"/>
  <Override PartName="/xl/comments13.xml" ContentType="application/vnd.openxmlformats-officedocument.spreadsheetml.comments+xml"/>
  <Override PartName="/xl/drawings/drawing8.xml" ContentType="application/vnd.openxmlformats-officedocument.drawing+xml"/>
  <Override PartName="/xl/comments14.xml" ContentType="application/vnd.openxmlformats-officedocument.spreadsheetml.comments+xml"/>
  <Override PartName="/xl/drawings/drawing9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codeName="Denne_projektmappe"/>
  <mc:AlternateContent xmlns:mc="http://schemas.openxmlformats.org/markup-compatibility/2006">
    <mc:Choice Requires="x15">
      <x15ac:absPath xmlns:x15ac="http://schemas.microsoft.com/office/spreadsheetml/2010/11/ac" url="https://d.docs.live.net/fec84c66b9add70f/Documents/Strategirummet/E2G/Tekster til E2G-platform/"/>
    </mc:Choice>
  </mc:AlternateContent>
  <xr:revisionPtr revIDLastSave="11" documentId="8_{BE5E5B3C-4951-44D7-B0E4-2F132E0218CC}" xr6:coauthVersionLast="45" xr6:coauthVersionMax="45" xr10:uidLastSave="{AB69661E-1F35-435C-88B9-A0922359C42A}"/>
  <workbookProtection workbookAlgorithmName="SHA-512" workbookHashValue="hLmrileIALD7ECznL39auw1Rnt2bk/vdNrsRMv0kVh0SkDxf9ibN5kRJTz9qxH5X/NzpCHPcqnSg4Vmtbw0ELQ==" workbookSaltValue="ENU+76Cy7dXq11oR5hNBQg==" workbookSpinCount="100000" lockStructure="1"/>
  <bookViews>
    <workbookView xWindow="-120" yWindow="-120" windowWidth="29040" windowHeight="15840" firstSheet="15" activeTab="19" xr2:uid="{00000000-000D-0000-FFFF-FFFF00000000}"/>
  </bookViews>
  <sheets>
    <sheet name="2030 " sheetId="51" state="hidden" r:id="rId1"/>
    <sheet name="Meta data" sheetId="22" state="hidden" r:id="rId2"/>
    <sheet name="Størrelse på strømme" sheetId="47" state="hidden" r:id="rId3"/>
    <sheet name="2025" sheetId="33" state="hidden" r:id="rId4"/>
    <sheet name="2019" sheetId="58" state="hidden" r:id="rId5"/>
    <sheet name="2017" sheetId="59" state="hidden" r:id="rId6"/>
    <sheet name="2015" sheetId="60" state="hidden" r:id="rId7"/>
    <sheet name="2013" sheetId="61" state="hidden" r:id="rId8"/>
    <sheet name="2011" sheetId="62" state="hidden" r:id="rId9"/>
    <sheet name="2009" sheetId="64" state="hidden" r:id="rId10"/>
    <sheet name="2008" sheetId="65" state="hidden" r:id="rId11"/>
    <sheet name="2006" sheetId="66" state="hidden" r:id="rId12"/>
    <sheet name="Emissionsfaktorer" sheetId="5" state="hidden" r:id="rId13"/>
    <sheet name="Bolig, Service, Handel, Byg" sheetId="39" r:id="rId14"/>
    <sheet name="Fremstilling, Gartneri, Landbru" sheetId="44" r:id="rId15"/>
    <sheet name="Fjernvarmeprognose" sheetId="41" r:id="rId16"/>
    <sheet name="Transport" sheetId="40" r:id="rId17"/>
    <sheet name="Elproduktion" sheetId="45" r:id="rId18"/>
    <sheet name="Fjernvarme" sheetId="43" r:id="rId19"/>
    <sheet name="Raffinaderi" sheetId="55" r:id="rId20"/>
    <sheet name="Tekniske virkning" sheetId="42" r:id="rId21"/>
    <sheet name="Nøgletal" sheetId="32" state="hidden" r:id="rId22"/>
    <sheet name="Ekstra vedr. transport" sheetId="48" state="hidden" r:id="rId23"/>
    <sheet name=" Plan Energi 2030-S" sheetId="50" state="hidden" r:id="rId24"/>
    <sheet name=" Plan Energi 2019" sheetId="54" state="hidden" r:id="rId25"/>
    <sheet name=" Plan Energi 2017" sheetId="46" state="hidden" r:id="rId26"/>
    <sheet name=" Plan Energi 2015" sheetId="34" state="hidden" r:id="rId27"/>
    <sheet name=" Plan Energi 2013" sheetId="35" state="hidden" r:id="rId28"/>
    <sheet name=" Plan Energi 2011" sheetId="36" state="hidden" r:id="rId29"/>
    <sheet name=" Plan Energi 2009" sheetId="37" state="hidden" r:id="rId30"/>
    <sheet name=" Plan Energi 2008" sheetId="52" state="hidden" r:id="rId31"/>
    <sheet name=" Plan Energi 2006" sheetId="53" state="hidden" r:id="rId32"/>
    <sheet name="BF - Husholdning" sheetId="69" state="hidden" r:id="rId33"/>
    <sheet name="BF - transport" sheetId="67" state="hidden" r:id="rId34"/>
    <sheet name="BF - elapparater" sheetId="70" state="hidden" r:id="rId35"/>
    <sheet name="BF - elforbrug" sheetId="76" state="hidden" r:id="rId36"/>
    <sheet name="BF - overblik 2019" sheetId="77" state="hidden" r:id="rId37"/>
    <sheet name="BF - overblik beregning" sheetId="80" state="hidden" r:id="rId38"/>
    <sheet name="BF - overblik 2030" sheetId="78" state="hidden" r:id="rId3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83" i="39" l="1"/>
  <c r="M84" i="39"/>
  <c r="M82" i="39"/>
  <c r="M65" i="39"/>
  <c r="M66" i="39"/>
  <c r="M64" i="39"/>
  <c r="W86" i="54" l="1"/>
  <c r="V86" i="54"/>
  <c r="U86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W84" i="54"/>
  <c r="V84" i="54"/>
  <c r="U84" i="54"/>
  <c r="T84" i="54"/>
  <c r="S84" i="54"/>
  <c r="O84" i="54"/>
  <c r="N84" i="54"/>
  <c r="M84" i="54"/>
  <c r="L84" i="54"/>
  <c r="K84" i="54"/>
  <c r="J84" i="54"/>
  <c r="X83" i="54"/>
  <c r="Q82" i="54"/>
  <c r="M82" i="54"/>
  <c r="L82" i="54"/>
  <c r="D82" i="54"/>
  <c r="V81" i="54"/>
  <c r="V82" i="54" s="1"/>
  <c r="T81" i="54"/>
  <c r="T82" i="54" s="1"/>
  <c r="R81" i="54"/>
  <c r="R84" i="54" s="1"/>
  <c r="Q81" i="54"/>
  <c r="Q84" i="54" s="1"/>
  <c r="O81" i="54"/>
  <c r="O82" i="54" s="1"/>
  <c r="M81" i="54"/>
  <c r="L81" i="54"/>
  <c r="K81" i="54"/>
  <c r="K82" i="54" s="1"/>
  <c r="J81" i="54"/>
  <c r="J82" i="54" s="1"/>
  <c r="G81" i="54"/>
  <c r="G82" i="54" s="1"/>
  <c r="D81" i="54"/>
  <c r="C81" i="54"/>
  <c r="C82" i="54" s="1"/>
  <c r="B81" i="54"/>
  <c r="B82" i="54" s="1"/>
  <c r="X80" i="54"/>
  <c r="AQ80" i="54" s="1"/>
  <c r="AH80" i="54" s="1"/>
  <c r="X79" i="54"/>
  <c r="AQ79" i="54" s="1"/>
  <c r="AH79" i="54" s="1"/>
  <c r="AQ78" i="54"/>
  <c r="AH78" i="54" s="1"/>
  <c r="X78" i="54"/>
  <c r="AP77" i="54"/>
  <c r="AP81" i="54" s="1"/>
  <c r="AH77" i="54"/>
  <c r="AD77" i="54"/>
  <c r="X77" i="54"/>
  <c r="P76" i="54"/>
  <c r="F76" i="54"/>
  <c r="X76" i="54" s="1"/>
  <c r="AQ76" i="54" s="1"/>
  <c r="AH76" i="54" s="1"/>
  <c r="P75" i="54"/>
  <c r="F75" i="54"/>
  <c r="X75" i="54" s="1"/>
  <c r="AQ75" i="54" s="1"/>
  <c r="AH75" i="54" s="1"/>
  <c r="P74" i="54"/>
  <c r="X74" i="54" s="1"/>
  <c r="AQ74" i="54" s="1"/>
  <c r="AH74" i="54" s="1"/>
  <c r="F74" i="54"/>
  <c r="X73" i="54"/>
  <c r="AQ73" i="54" s="1"/>
  <c r="AH73" i="54" s="1"/>
  <c r="P73" i="54"/>
  <c r="F73" i="54"/>
  <c r="P72" i="54"/>
  <c r="P81" i="54" s="1"/>
  <c r="H72" i="54"/>
  <c r="X72" i="54" s="1"/>
  <c r="AQ72" i="54" s="1"/>
  <c r="AH72" i="54" s="1"/>
  <c r="AC71" i="54"/>
  <c r="X71" i="54"/>
  <c r="AN70" i="54"/>
  <c r="AH70" i="54" s="1"/>
  <c r="X70" i="54"/>
  <c r="AN69" i="54"/>
  <c r="AH69" i="54"/>
  <c r="AE69" i="54"/>
  <c r="AD69" i="54" s="1"/>
  <c r="X69" i="54"/>
  <c r="AH68" i="54"/>
  <c r="AF68" i="54"/>
  <c r="X68" i="54"/>
  <c r="AD68" i="54" s="1"/>
  <c r="AH67" i="54"/>
  <c r="X67" i="54"/>
  <c r="AF67" i="54" s="1"/>
  <c r="AH66" i="54"/>
  <c r="X66" i="54"/>
  <c r="AF66" i="54" s="1"/>
  <c r="AH65" i="54"/>
  <c r="X65" i="54"/>
  <c r="AF65" i="54" s="1"/>
  <c r="AH64" i="54"/>
  <c r="X64" i="54"/>
  <c r="AF64" i="54" s="1"/>
  <c r="AH63" i="54"/>
  <c r="X63" i="54"/>
  <c r="AF63" i="54" s="1"/>
  <c r="AF71" i="54" s="1"/>
  <c r="AG71" i="54" s="1"/>
  <c r="AC62" i="54"/>
  <c r="X62" i="54"/>
  <c r="AH61" i="54"/>
  <c r="W61" i="54"/>
  <c r="W81" i="54" s="1"/>
  <c r="W82" i="54" s="1"/>
  <c r="V61" i="54"/>
  <c r="U61" i="54"/>
  <c r="U81" i="54" s="1"/>
  <c r="U82" i="54" s="1"/>
  <c r="S61" i="54"/>
  <c r="S81" i="54" s="1"/>
  <c r="S82" i="54" s="1"/>
  <c r="E61" i="54"/>
  <c r="AH60" i="54"/>
  <c r="X60" i="54"/>
  <c r="AF60" i="54" s="1"/>
  <c r="AF59" i="54"/>
  <c r="X59" i="54"/>
  <c r="AD58" i="54"/>
  <c r="X58" i="54"/>
  <c r="AF58" i="54" s="1"/>
  <c r="AF57" i="54"/>
  <c r="AD57" i="54"/>
  <c r="N57" i="54"/>
  <c r="X57" i="54" s="1"/>
  <c r="AH56" i="54"/>
  <c r="X56" i="54"/>
  <c r="AF56" i="54" s="1"/>
  <c r="AC55" i="54"/>
  <c r="X55" i="54"/>
  <c r="AH54" i="54"/>
  <c r="X54" i="54"/>
  <c r="AF54" i="54" s="1"/>
  <c r="AH53" i="54"/>
  <c r="X53" i="54"/>
  <c r="AF53" i="54" s="1"/>
  <c r="AF55" i="54" s="1"/>
  <c r="AG55" i="54" s="1"/>
  <c r="AC52" i="54"/>
  <c r="X52" i="54"/>
  <c r="AH51" i="54"/>
  <c r="X51" i="54"/>
  <c r="AF51" i="54" s="1"/>
  <c r="AH50" i="54"/>
  <c r="AF50" i="54"/>
  <c r="X50" i="54"/>
  <c r="AF49" i="54"/>
  <c r="AD49" i="54"/>
  <c r="X49" i="54"/>
  <c r="AF48" i="54"/>
  <c r="AD48" i="54"/>
  <c r="X48" i="54"/>
  <c r="N48" i="54"/>
  <c r="AH47" i="54"/>
  <c r="AF47" i="54"/>
  <c r="AD47" i="54"/>
  <c r="X47" i="54"/>
  <c r="AH46" i="54"/>
  <c r="AF46" i="54"/>
  <c r="AD46" i="54"/>
  <c r="X46" i="54"/>
  <c r="AH45" i="54"/>
  <c r="AF45" i="54"/>
  <c r="AD45" i="54"/>
  <c r="X45" i="54"/>
  <c r="AH44" i="54"/>
  <c r="AF44" i="54"/>
  <c r="AF52" i="54" s="1"/>
  <c r="AG52" i="54" s="1"/>
  <c r="AD44" i="54"/>
  <c r="X44" i="54"/>
  <c r="AC43" i="54"/>
  <c r="X43" i="54"/>
  <c r="AH42" i="54"/>
  <c r="AF42" i="54"/>
  <c r="AD42" i="54"/>
  <c r="X42" i="54"/>
  <c r="AH41" i="54"/>
  <c r="AF41" i="54"/>
  <c r="AD41" i="54"/>
  <c r="X41" i="54"/>
  <c r="AH40" i="54"/>
  <c r="AF40" i="54"/>
  <c r="AF43" i="54" s="1"/>
  <c r="AG43" i="54" s="1"/>
  <c r="AD40" i="54"/>
  <c r="X40" i="54"/>
  <c r="AC39" i="54"/>
  <c r="X39" i="54"/>
  <c r="AF38" i="54"/>
  <c r="AD38" i="54"/>
  <c r="X38" i="54"/>
  <c r="AF37" i="54"/>
  <c r="AD37" i="54"/>
  <c r="N37" i="54"/>
  <c r="X37" i="54" s="1"/>
  <c r="AH36" i="54"/>
  <c r="X36" i="54"/>
  <c r="AF36" i="54" s="1"/>
  <c r="AH35" i="54"/>
  <c r="X35" i="54"/>
  <c r="AF35" i="54" s="1"/>
  <c r="AH34" i="54"/>
  <c r="X34" i="54"/>
  <c r="AF34" i="54" s="1"/>
  <c r="AH33" i="54"/>
  <c r="X33" i="54"/>
  <c r="AF33" i="54" s="1"/>
  <c r="AH32" i="54"/>
  <c r="X32" i="54"/>
  <c r="AF32" i="54" s="1"/>
  <c r="X31" i="54"/>
  <c r="I31" i="54"/>
  <c r="I81" i="54" s="1"/>
  <c r="I82" i="54" s="1"/>
  <c r="AH30" i="54"/>
  <c r="X30" i="54"/>
  <c r="AD30" i="54" s="1"/>
  <c r="AH29" i="54"/>
  <c r="X29" i="54"/>
  <c r="AD29" i="54" s="1"/>
  <c r="AH28" i="54"/>
  <c r="AD28" i="54"/>
  <c r="X28" i="54"/>
  <c r="AH27" i="54"/>
  <c r="AD27" i="54"/>
  <c r="X27" i="54"/>
  <c r="AH26" i="54"/>
  <c r="X26" i="54"/>
  <c r="AD26" i="54" s="1"/>
  <c r="AN25" i="54"/>
  <c r="AH25" i="54" s="1"/>
  <c r="AN24" i="54"/>
  <c r="AH24" i="54"/>
  <c r="X24" i="54"/>
  <c r="X23" i="54"/>
  <c r="AN23" i="54" s="1"/>
  <c r="AH23" i="54" s="1"/>
  <c r="X22" i="54"/>
  <c r="AI22" i="54" s="1"/>
  <c r="AH22" i="54" s="1"/>
  <c r="AI21" i="54"/>
  <c r="AH21" i="54" s="1"/>
  <c r="X21" i="54"/>
  <c r="AI20" i="54"/>
  <c r="AH20" i="54"/>
  <c r="X20" i="54"/>
  <c r="X19" i="54"/>
  <c r="AI19" i="54" s="1"/>
  <c r="AH19" i="54" s="1"/>
  <c r="X18" i="54"/>
  <c r="AI18" i="54" s="1"/>
  <c r="AH18" i="54" s="1"/>
  <c r="AI17" i="54"/>
  <c r="AH17" i="54" s="1"/>
  <c r="X17" i="54"/>
  <c r="AN16" i="54"/>
  <c r="X16" i="54"/>
  <c r="AI16" i="54" s="1"/>
  <c r="AH15" i="54"/>
  <c r="AH14" i="54"/>
  <c r="AE14" i="54"/>
  <c r="AD14" i="54" s="1"/>
  <c r="N14" i="54"/>
  <c r="AH13" i="54"/>
  <c r="AE13" i="54" s="1"/>
  <c r="AD13" i="54" s="1"/>
  <c r="X13" i="54"/>
  <c r="AH12" i="54"/>
  <c r="AE12" i="54" s="1"/>
  <c r="AD12" i="54" s="1"/>
  <c r="X12" i="54"/>
  <c r="AH11" i="54"/>
  <c r="AE11" i="54" s="1"/>
  <c r="AD11" i="54" s="1"/>
  <c r="X11" i="54"/>
  <c r="AH10" i="54"/>
  <c r="AE10" i="54" s="1"/>
  <c r="AD10" i="54" s="1"/>
  <c r="X10" i="54"/>
  <c r="AH9" i="54"/>
  <c r="AE9" i="54" s="1"/>
  <c r="AD9" i="54" s="1"/>
  <c r="X9" i="54"/>
  <c r="AH8" i="54"/>
  <c r="X8" i="54"/>
  <c r="AN55" i="54" l="1"/>
  <c r="AJ55" i="54"/>
  <c r="AL55" i="54"/>
  <c r="AM55" i="54"/>
  <c r="AI55" i="54"/>
  <c r="AK55" i="54"/>
  <c r="AO55" i="54"/>
  <c r="AN71" i="54"/>
  <c r="AJ71" i="54"/>
  <c r="AL71" i="54"/>
  <c r="AO71" i="54"/>
  <c r="AM71" i="54"/>
  <c r="AI71" i="54"/>
  <c r="AK71" i="54"/>
  <c r="AN52" i="54"/>
  <c r="AJ52" i="54"/>
  <c r="AM52" i="54"/>
  <c r="AI52" i="54"/>
  <c r="AL52" i="54"/>
  <c r="AK52" i="54"/>
  <c r="AO52" i="54"/>
  <c r="X14" i="54"/>
  <c r="N81" i="54"/>
  <c r="E81" i="54"/>
  <c r="E82" i="54" s="1"/>
  <c r="X61" i="54"/>
  <c r="AF39" i="54"/>
  <c r="AG39" i="54" s="1"/>
  <c r="AL43" i="54"/>
  <c r="AN43" i="54"/>
  <c r="AO43" i="54"/>
  <c r="AK43" i="54"/>
  <c r="AJ43" i="54"/>
  <c r="AI43" i="54"/>
  <c r="AH43" i="54" s="1"/>
  <c r="AM43" i="54"/>
  <c r="P82" i="54"/>
  <c r="P84" i="54"/>
  <c r="X84" i="54"/>
  <c r="F81" i="54"/>
  <c r="F82" i="54" s="1"/>
  <c r="AQ16" i="54"/>
  <c r="AQ81" i="54" s="1"/>
  <c r="R82" i="54"/>
  <c r="AE8" i="54"/>
  <c r="AD32" i="54"/>
  <c r="AD33" i="54"/>
  <c r="AD34" i="54"/>
  <c r="AD35" i="54"/>
  <c r="AD51" i="54"/>
  <c r="AD53" i="54"/>
  <c r="AD54" i="54"/>
  <c r="AD63" i="54"/>
  <c r="AD64" i="54"/>
  <c r="AD65" i="54"/>
  <c r="AD66" i="54"/>
  <c r="AD67" i="54"/>
  <c r="H81" i="54"/>
  <c r="H82" i="54" s="1"/>
  <c r="K83" i="48"/>
  <c r="J83" i="48"/>
  <c r="K65" i="48"/>
  <c r="J65" i="48"/>
  <c r="K33" i="48"/>
  <c r="J33" i="48"/>
  <c r="K31" i="48"/>
  <c r="J31" i="48"/>
  <c r="K26" i="48"/>
  <c r="K92" i="48"/>
  <c r="K27" i="48" s="1"/>
  <c r="K94" i="48"/>
  <c r="K29" i="48" s="1"/>
  <c r="K96" i="48"/>
  <c r="K32" i="48" s="1"/>
  <c r="K98" i="48"/>
  <c r="K100" i="48"/>
  <c r="K34" i="48" s="1"/>
  <c r="K102" i="48"/>
  <c r="K28" i="48" s="1"/>
  <c r="K104" i="48"/>
  <c r="K30" i="48" s="1"/>
  <c r="K106" i="48"/>
  <c r="J92" i="48"/>
  <c r="J27" i="48" s="1"/>
  <c r="J94" i="48"/>
  <c r="J29" i="48" s="1"/>
  <c r="J96" i="48"/>
  <c r="J32" i="48" s="1"/>
  <c r="J98" i="48"/>
  <c r="J100" i="48"/>
  <c r="J34" i="48" s="1"/>
  <c r="J102" i="48"/>
  <c r="J28" i="48" s="1"/>
  <c r="J104" i="48"/>
  <c r="J30" i="48" s="1"/>
  <c r="J106" i="48"/>
  <c r="J88" i="48"/>
  <c r="K88" i="48"/>
  <c r="AD8" i="54" l="1"/>
  <c r="AE81" i="54"/>
  <c r="AF61" i="54"/>
  <c r="AF62" i="54" s="1"/>
  <c r="AG62" i="54" s="1"/>
  <c r="AD61" i="54"/>
  <c r="AD15" i="54" s="1"/>
  <c r="AL39" i="54"/>
  <c r="AO39" i="54"/>
  <c r="AK39" i="54"/>
  <c r="AN39" i="54"/>
  <c r="AJ39" i="54"/>
  <c r="AM39" i="54"/>
  <c r="AI39" i="54"/>
  <c r="AH52" i="54"/>
  <c r="AH16" i="54"/>
  <c r="AH71" i="54"/>
  <c r="AH55" i="54"/>
  <c r="J26" i="48"/>
  <c r="A15" i="54" l="1"/>
  <c r="Z83" i="54"/>
  <c r="AN62" i="54"/>
  <c r="AJ62" i="54"/>
  <c r="AJ81" i="54" s="1"/>
  <c r="AM62" i="54"/>
  <c r="AI62" i="54"/>
  <c r="AI81" i="54" s="1"/>
  <c r="AL62" i="54"/>
  <c r="AO62" i="54"/>
  <c r="AO81" i="54" s="1"/>
  <c r="AK62" i="54"/>
  <c r="AN81" i="54"/>
  <c r="AL81" i="54"/>
  <c r="AG81" i="54"/>
  <c r="AH39" i="54"/>
  <c r="AK81" i="54"/>
  <c r="AF81" i="54"/>
  <c r="AD81" i="54"/>
  <c r="AM81" i="54"/>
  <c r="K14" i="55"/>
  <c r="J14" i="55"/>
  <c r="AH62" i="54" l="1"/>
  <c r="AH81" i="54" s="1"/>
  <c r="A81" i="54"/>
  <c r="A82" i="54" s="1"/>
  <c r="X82" i="54" s="1"/>
  <c r="Z82" i="54" s="1"/>
  <c r="X15" i="54"/>
  <c r="X81" i="54" s="1"/>
  <c r="K95" i="43"/>
  <c r="J262" i="43"/>
  <c r="P68" i="40" l="1"/>
  <c r="P35" i="40"/>
  <c r="M95" i="43"/>
  <c r="M144" i="43"/>
  <c r="O83" i="39"/>
  <c r="O84" i="39"/>
  <c r="O82" i="39"/>
  <c r="O65" i="39"/>
  <c r="O66" i="39"/>
  <c r="O64" i="39"/>
  <c r="O28" i="39"/>
  <c r="O30" i="39"/>
  <c r="W86" i="50"/>
  <c r="V86" i="50"/>
  <c r="U86" i="50"/>
  <c r="T86" i="50"/>
  <c r="S86" i="50"/>
  <c r="R86" i="50"/>
  <c r="Q86" i="50"/>
  <c r="P86" i="50"/>
  <c r="O86" i="50"/>
  <c r="N86" i="50"/>
  <c r="M86" i="50"/>
  <c r="L86" i="50"/>
  <c r="K86" i="50"/>
  <c r="J86" i="50"/>
  <c r="I86" i="50"/>
  <c r="H86" i="50"/>
  <c r="G86" i="50"/>
  <c r="F86" i="50"/>
  <c r="E86" i="50"/>
  <c r="D86" i="50"/>
  <c r="C86" i="50"/>
  <c r="B86" i="50"/>
  <c r="W84" i="50"/>
  <c r="V84" i="50"/>
  <c r="U84" i="50"/>
  <c r="T84" i="50"/>
  <c r="S84" i="50"/>
  <c r="N84" i="50"/>
  <c r="M84" i="50"/>
  <c r="L84" i="50"/>
  <c r="K84" i="50"/>
  <c r="J84" i="50"/>
  <c r="X83" i="50"/>
  <c r="T81" i="50"/>
  <c r="T82" i="50" s="1"/>
  <c r="Q81" i="50"/>
  <c r="Q84" i="50" s="1"/>
  <c r="O81" i="50"/>
  <c r="O82" i="50" s="1"/>
  <c r="M81" i="50"/>
  <c r="M82" i="50" s="1"/>
  <c r="L81" i="50"/>
  <c r="L82" i="50" s="1"/>
  <c r="K81" i="50"/>
  <c r="K82" i="50" s="1"/>
  <c r="J81" i="50"/>
  <c r="J82" i="50" s="1"/>
  <c r="G81" i="50"/>
  <c r="G82" i="50" s="1"/>
  <c r="D81" i="50"/>
  <c r="D82" i="50" s="1"/>
  <c r="C81" i="50"/>
  <c r="C82" i="50" s="1"/>
  <c r="B81" i="50"/>
  <c r="B82" i="50" s="1"/>
  <c r="X80" i="50"/>
  <c r="AQ80" i="50" s="1"/>
  <c r="AH80" i="50" s="1"/>
  <c r="X79" i="50"/>
  <c r="AQ79" i="50" s="1"/>
  <c r="AH79" i="50" s="1"/>
  <c r="X78" i="50"/>
  <c r="AQ78" i="50" s="1"/>
  <c r="AH78" i="50" s="1"/>
  <c r="AP77" i="50"/>
  <c r="AP81" i="50" s="1"/>
  <c r="AD77" i="50"/>
  <c r="X77" i="50"/>
  <c r="P76" i="50"/>
  <c r="F76" i="50"/>
  <c r="P75" i="50"/>
  <c r="F75" i="50"/>
  <c r="P74" i="50"/>
  <c r="X74" i="50" s="1"/>
  <c r="AQ74" i="50" s="1"/>
  <c r="AH74" i="50" s="1"/>
  <c r="F74" i="50"/>
  <c r="P73" i="50"/>
  <c r="F73" i="50"/>
  <c r="X73" i="50" s="1"/>
  <c r="AQ73" i="50" s="1"/>
  <c r="AH73" i="50" s="1"/>
  <c r="P72" i="50"/>
  <c r="H72" i="50"/>
  <c r="AC71" i="50"/>
  <c r="X71" i="50"/>
  <c r="AN70" i="50"/>
  <c r="AH70" i="50" s="1"/>
  <c r="X70" i="50"/>
  <c r="AE69" i="50"/>
  <c r="AD69" i="50" s="1"/>
  <c r="X69" i="50"/>
  <c r="AH68" i="50"/>
  <c r="AF68" i="50"/>
  <c r="X68" i="50"/>
  <c r="AD68" i="50" s="1"/>
  <c r="AH67" i="50"/>
  <c r="X67" i="50"/>
  <c r="AF67" i="50" s="1"/>
  <c r="AH66" i="50"/>
  <c r="X66" i="50"/>
  <c r="AF66" i="50" s="1"/>
  <c r="AH65" i="50"/>
  <c r="X65" i="50"/>
  <c r="AF65" i="50" s="1"/>
  <c r="AH64" i="50"/>
  <c r="X64" i="50"/>
  <c r="AF64" i="50" s="1"/>
  <c r="AH63" i="50"/>
  <c r="X63" i="50"/>
  <c r="AF63" i="50" s="1"/>
  <c r="AC62" i="50"/>
  <c r="X62" i="50"/>
  <c r="AH61" i="50"/>
  <c r="W61" i="50"/>
  <c r="W81" i="50" s="1"/>
  <c r="W82" i="50" s="1"/>
  <c r="V61" i="50"/>
  <c r="V81" i="50" s="1"/>
  <c r="V82" i="50" s="1"/>
  <c r="U61" i="50"/>
  <c r="U81" i="50" s="1"/>
  <c r="U82" i="50" s="1"/>
  <c r="S61" i="50"/>
  <c r="S81" i="50" s="1"/>
  <c r="S82" i="50" s="1"/>
  <c r="R61" i="50"/>
  <c r="I61" i="50"/>
  <c r="E61" i="50"/>
  <c r="E81" i="50" s="1"/>
  <c r="E82" i="50" s="1"/>
  <c r="AH60" i="50"/>
  <c r="X60" i="50"/>
  <c r="AF60" i="50" s="1"/>
  <c r="X59" i="50"/>
  <c r="AF59" i="50" s="1"/>
  <c r="AD58" i="50"/>
  <c r="X58" i="50"/>
  <c r="AF58" i="50" s="1"/>
  <c r="AF57" i="50"/>
  <c r="N57" i="50" s="1"/>
  <c r="X57" i="50" s="1"/>
  <c r="AD57" i="50"/>
  <c r="AH56" i="50"/>
  <c r="AF56" i="50"/>
  <c r="X56" i="50"/>
  <c r="AC55" i="50"/>
  <c r="X55" i="50"/>
  <c r="AH54" i="50"/>
  <c r="X54" i="50"/>
  <c r="AF54" i="50" s="1"/>
  <c r="AH53" i="50"/>
  <c r="X53" i="50"/>
  <c r="AF53" i="50" s="1"/>
  <c r="AF55" i="50" s="1"/>
  <c r="AG55" i="50" s="1"/>
  <c r="AC52" i="50"/>
  <c r="X52" i="50"/>
  <c r="AH51" i="50"/>
  <c r="AF51" i="50"/>
  <c r="AD51" i="50"/>
  <c r="X51" i="50"/>
  <c r="AH50" i="50"/>
  <c r="X50" i="50"/>
  <c r="AF50" i="50" s="1"/>
  <c r="AF49" i="50"/>
  <c r="AD49" i="50"/>
  <c r="X49" i="50"/>
  <c r="AF48" i="50"/>
  <c r="N48" i="50" s="1"/>
  <c r="X48" i="50" s="1"/>
  <c r="AD48" i="50"/>
  <c r="AH47" i="50"/>
  <c r="X47" i="50"/>
  <c r="AF47" i="50" s="1"/>
  <c r="AH46" i="50"/>
  <c r="X46" i="50"/>
  <c r="AF46" i="50" s="1"/>
  <c r="AH45" i="50"/>
  <c r="X45" i="50"/>
  <c r="AF45" i="50" s="1"/>
  <c r="AH44" i="50"/>
  <c r="X44" i="50"/>
  <c r="AF44" i="50" s="1"/>
  <c r="AC43" i="50"/>
  <c r="X43" i="50"/>
  <c r="AH42" i="50"/>
  <c r="X42" i="50"/>
  <c r="AF42" i="50" s="1"/>
  <c r="AH41" i="50"/>
  <c r="X41" i="50"/>
  <c r="AF41" i="50" s="1"/>
  <c r="AH40" i="50"/>
  <c r="X40" i="50"/>
  <c r="AF40" i="50" s="1"/>
  <c r="AC39" i="50"/>
  <c r="X39" i="50"/>
  <c r="AF38" i="50"/>
  <c r="AD38" i="50"/>
  <c r="X38" i="50"/>
  <c r="AF37" i="50"/>
  <c r="N37" i="50" s="1"/>
  <c r="X37" i="50" s="1"/>
  <c r="AD37" i="50"/>
  <c r="AH36" i="50"/>
  <c r="X36" i="50"/>
  <c r="AF36" i="50" s="1"/>
  <c r="AH35" i="50"/>
  <c r="AF35" i="50"/>
  <c r="X35" i="50"/>
  <c r="AD35" i="50" s="1"/>
  <c r="AH34" i="50"/>
  <c r="AF34" i="50"/>
  <c r="X34" i="50"/>
  <c r="AD34" i="50" s="1"/>
  <c r="AH33" i="50"/>
  <c r="AF33" i="50"/>
  <c r="X33" i="50"/>
  <c r="AD33" i="50" s="1"/>
  <c r="AH32" i="50"/>
  <c r="AF32" i="50"/>
  <c r="X32" i="50"/>
  <c r="AD32" i="50" s="1"/>
  <c r="I31" i="50"/>
  <c r="AH30" i="50"/>
  <c r="X30" i="50"/>
  <c r="AD30" i="50" s="1"/>
  <c r="AH29" i="50"/>
  <c r="AD29" i="50"/>
  <c r="X29" i="50"/>
  <c r="AH28" i="50"/>
  <c r="X28" i="50"/>
  <c r="AD28" i="50" s="1"/>
  <c r="AH27" i="50"/>
  <c r="X27" i="50"/>
  <c r="AD27" i="50" s="1"/>
  <c r="AH26" i="50"/>
  <c r="X26" i="50"/>
  <c r="AD26" i="50" s="1"/>
  <c r="X25" i="50"/>
  <c r="AN25" i="50" s="1"/>
  <c r="AH25" i="50" s="1"/>
  <c r="X24" i="50"/>
  <c r="AN24" i="50" s="1"/>
  <c r="AH24" i="50" s="1"/>
  <c r="X23" i="50"/>
  <c r="AN23" i="50" s="1"/>
  <c r="AH23" i="50" s="1"/>
  <c r="X22" i="50"/>
  <c r="AI22" i="50" s="1"/>
  <c r="AH22" i="50" s="1"/>
  <c r="AI21" i="50"/>
  <c r="AH21" i="50" s="1"/>
  <c r="X21" i="50"/>
  <c r="X20" i="50"/>
  <c r="AI20" i="50" s="1"/>
  <c r="AH20" i="50" s="1"/>
  <c r="X19" i="50"/>
  <c r="AI19" i="50" s="1"/>
  <c r="AH19" i="50" s="1"/>
  <c r="X18" i="50"/>
  <c r="AI18" i="50" s="1"/>
  <c r="AH18" i="50" s="1"/>
  <c r="AI17" i="50"/>
  <c r="AH17" i="50"/>
  <c r="X17" i="50"/>
  <c r="X16" i="50"/>
  <c r="AH15" i="50"/>
  <c r="AH14" i="50"/>
  <c r="AE14" i="50"/>
  <c r="AD14" i="50" s="1"/>
  <c r="AH13" i="50"/>
  <c r="AE13" i="50" s="1"/>
  <c r="AD13" i="50" s="1"/>
  <c r="X13" i="50"/>
  <c r="AH12" i="50"/>
  <c r="AE12" i="50" s="1"/>
  <c r="AD12" i="50" s="1"/>
  <c r="X12" i="50"/>
  <c r="AH11" i="50"/>
  <c r="AE11" i="50" s="1"/>
  <c r="AD11" i="50" s="1"/>
  <c r="X11" i="50"/>
  <c r="AH10" i="50"/>
  <c r="AE10" i="50" s="1"/>
  <c r="AD10" i="50" s="1"/>
  <c r="X10" i="50"/>
  <c r="AH9" i="50"/>
  <c r="AE9" i="50" s="1"/>
  <c r="AD9" i="50" s="1"/>
  <c r="X9" i="50"/>
  <c r="AH8" i="50"/>
  <c r="X8" i="50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W84" i="46"/>
  <c r="V84" i="46"/>
  <c r="U84" i="46"/>
  <c r="T84" i="46"/>
  <c r="S84" i="46"/>
  <c r="N84" i="46"/>
  <c r="M84" i="46"/>
  <c r="L84" i="46"/>
  <c r="K84" i="46"/>
  <c r="J84" i="46"/>
  <c r="X83" i="46"/>
  <c r="T81" i="46"/>
  <c r="T82" i="46" s="1"/>
  <c r="Q81" i="46"/>
  <c r="Q84" i="46" s="1"/>
  <c r="O81" i="46"/>
  <c r="M81" i="46"/>
  <c r="M82" i="46" s="1"/>
  <c r="L81" i="46"/>
  <c r="L82" i="46" s="1"/>
  <c r="K81" i="46"/>
  <c r="K82" i="46" s="1"/>
  <c r="J81" i="46"/>
  <c r="J82" i="46" s="1"/>
  <c r="G81" i="46"/>
  <c r="G82" i="46" s="1"/>
  <c r="D81" i="46"/>
  <c r="D82" i="46" s="1"/>
  <c r="C81" i="46"/>
  <c r="C82" i="46" s="1"/>
  <c r="B81" i="46"/>
  <c r="B82" i="46" s="1"/>
  <c r="X80" i="46"/>
  <c r="X79" i="46"/>
  <c r="X78" i="46"/>
  <c r="AD77" i="46"/>
  <c r="X77" i="46"/>
  <c r="P76" i="46"/>
  <c r="F76" i="46"/>
  <c r="X76" i="46" s="1"/>
  <c r="P75" i="46"/>
  <c r="F75" i="46"/>
  <c r="X75" i="46" s="1"/>
  <c r="P74" i="46"/>
  <c r="F74" i="46"/>
  <c r="P73" i="46"/>
  <c r="X73" i="46" s="1"/>
  <c r="F73" i="46"/>
  <c r="P72" i="46"/>
  <c r="H72" i="46"/>
  <c r="X72" i="46" s="1"/>
  <c r="AC71" i="46"/>
  <c r="X71" i="46"/>
  <c r="AN70" i="46"/>
  <c r="AH70" i="46" s="1"/>
  <c r="X70" i="46"/>
  <c r="AN69" i="46"/>
  <c r="AH69" i="46" s="1"/>
  <c r="AE69" i="46"/>
  <c r="AD69" i="46"/>
  <c r="X69" i="46"/>
  <c r="AH68" i="46"/>
  <c r="AF68" i="46"/>
  <c r="X68" i="46"/>
  <c r="AD68" i="46" s="1"/>
  <c r="AH67" i="46"/>
  <c r="X67" i="46"/>
  <c r="AF67" i="46" s="1"/>
  <c r="AH66" i="46"/>
  <c r="X66" i="46"/>
  <c r="AF66" i="46" s="1"/>
  <c r="AH65" i="46"/>
  <c r="X65" i="46"/>
  <c r="AF65" i="46" s="1"/>
  <c r="AH64" i="46"/>
  <c r="X64" i="46"/>
  <c r="AF64" i="46" s="1"/>
  <c r="AH63" i="46"/>
  <c r="X63" i="46"/>
  <c r="AF63" i="46" s="1"/>
  <c r="AC62" i="46"/>
  <c r="X62" i="46"/>
  <c r="AH61" i="46"/>
  <c r="W61" i="46"/>
  <c r="W81" i="46" s="1"/>
  <c r="W82" i="46" s="1"/>
  <c r="V61" i="46"/>
  <c r="V81" i="46" s="1"/>
  <c r="V82" i="46" s="1"/>
  <c r="U61" i="46"/>
  <c r="U81" i="46" s="1"/>
  <c r="U82" i="46" s="1"/>
  <c r="S61" i="46"/>
  <c r="S81" i="46" s="1"/>
  <c r="S82" i="46" s="1"/>
  <c r="E61" i="46"/>
  <c r="E81" i="46" s="1"/>
  <c r="E82" i="46" s="1"/>
  <c r="AH60" i="46"/>
  <c r="AF60" i="46"/>
  <c r="X60" i="46"/>
  <c r="X59" i="46"/>
  <c r="AF59" i="46" s="1"/>
  <c r="AF58" i="46"/>
  <c r="AD58" i="46"/>
  <c r="X58" i="46"/>
  <c r="AF57" i="46"/>
  <c r="N57" i="46" s="1"/>
  <c r="X57" i="46" s="1"/>
  <c r="AD57" i="46"/>
  <c r="AH56" i="46"/>
  <c r="X56" i="46"/>
  <c r="AF56" i="46" s="1"/>
  <c r="AC55" i="46"/>
  <c r="X55" i="46"/>
  <c r="AH54" i="46"/>
  <c r="AF54" i="46"/>
  <c r="AD54" i="46"/>
  <c r="X54" i="46"/>
  <c r="AH53" i="46"/>
  <c r="AF53" i="46"/>
  <c r="AF55" i="46" s="1"/>
  <c r="AD53" i="46"/>
  <c r="X53" i="46"/>
  <c r="AC52" i="46"/>
  <c r="X52" i="46"/>
  <c r="AH51" i="46"/>
  <c r="X51" i="46"/>
  <c r="AF51" i="46" s="1"/>
  <c r="AH50" i="46"/>
  <c r="X50" i="46"/>
  <c r="AF50" i="46" s="1"/>
  <c r="AF49" i="46"/>
  <c r="AD49" i="46"/>
  <c r="X49" i="46"/>
  <c r="AF48" i="46"/>
  <c r="N48" i="46" s="1"/>
  <c r="X48" i="46" s="1"/>
  <c r="AD48" i="46"/>
  <c r="AH47" i="46"/>
  <c r="X47" i="46"/>
  <c r="AF47" i="46" s="1"/>
  <c r="AH46" i="46"/>
  <c r="X46" i="46"/>
  <c r="AF46" i="46" s="1"/>
  <c r="AH45" i="46"/>
  <c r="X45" i="46"/>
  <c r="AF45" i="46" s="1"/>
  <c r="AH44" i="46"/>
  <c r="X44" i="46"/>
  <c r="AF44" i="46" s="1"/>
  <c r="AC43" i="46"/>
  <c r="X43" i="46"/>
  <c r="AH42" i="46"/>
  <c r="X42" i="46"/>
  <c r="AF42" i="46" s="1"/>
  <c r="AH41" i="46"/>
  <c r="X41" i="46"/>
  <c r="AF41" i="46" s="1"/>
  <c r="AH40" i="46"/>
  <c r="X40" i="46"/>
  <c r="AF40" i="46" s="1"/>
  <c r="AC39" i="46"/>
  <c r="X39" i="46"/>
  <c r="AF38" i="46"/>
  <c r="AD38" i="46"/>
  <c r="X38" i="46"/>
  <c r="AF37" i="46"/>
  <c r="N37" i="46" s="1"/>
  <c r="X37" i="46" s="1"/>
  <c r="AD37" i="46"/>
  <c r="AH36" i="46"/>
  <c r="X36" i="46"/>
  <c r="AF36" i="46" s="1"/>
  <c r="AH35" i="46"/>
  <c r="X35" i="46"/>
  <c r="AH34" i="46"/>
  <c r="X34" i="46"/>
  <c r="AH33" i="46"/>
  <c r="X33" i="46"/>
  <c r="AH32" i="46"/>
  <c r="X32" i="46"/>
  <c r="I31" i="46"/>
  <c r="I81" i="46" s="1"/>
  <c r="I82" i="46" s="1"/>
  <c r="AH30" i="46"/>
  <c r="X30" i="46"/>
  <c r="AD30" i="46" s="1"/>
  <c r="AH29" i="46"/>
  <c r="X29" i="46"/>
  <c r="AD29" i="46" s="1"/>
  <c r="AH28" i="46"/>
  <c r="X28" i="46"/>
  <c r="AD28" i="46" s="1"/>
  <c r="AH27" i="46"/>
  <c r="X27" i="46"/>
  <c r="AD27" i="46" s="1"/>
  <c r="AH26" i="46"/>
  <c r="AD26" i="46"/>
  <c r="X26" i="46"/>
  <c r="AN25" i="46"/>
  <c r="AH25" i="46"/>
  <c r="X24" i="46"/>
  <c r="AN24" i="46" s="1"/>
  <c r="AH24" i="46" s="1"/>
  <c r="X23" i="46"/>
  <c r="AN23" i="46" s="1"/>
  <c r="AH23" i="46" s="1"/>
  <c r="AI22" i="46"/>
  <c r="AH22" i="46" s="1"/>
  <c r="X22" i="46"/>
  <c r="X21" i="46"/>
  <c r="AI21" i="46" s="1"/>
  <c r="AH21" i="46" s="1"/>
  <c r="X20" i="46"/>
  <c r="AI20" i="46" s="1"/>
  <c r="AH20" i="46" s="1"/>
  <c r="X19" i="46"/>
  <c r="AI19" i="46" s="1"/>
  <c r="AH19" i="46" s="1"/>
  <c r="X18" i="46"/>
  <c r="AI18" i="46" s="1"/>
  <c r="AH18" i="46" s="1"/>
  <c r="X17" i="46"/>
  <c r="AI17" i="46" s="1"/>
  <c r="AH17" i="46" s="1"/>
  <c r="AN16" i="46"/>
  <c r="AI16" i="46"/>
  <c r="X16" i="46"/>
  <c r="AQ16" i="46" s="1"/>
  <c r="AH15" i="46"/>
  <c r="AH14" i="46"/>
  <c r="AE14" i="46"/>
  <c r="AD14" i="46" s="1"/>
  <c r="AH13" i="46"/>
  <c r="AE13" i="46" s="1"/>
  <c r="AD13" i="46" s="1"/>
  <c r="X13" i="46"/>
  <c r="AH12" i="46"/>
  <c r="AE12" i="46" s="1"/>
  <c r="AD12" i="46" s="1"/>
  <c r="X12" i="46"/>
  <c r="AH11" i="46"/>
  <c r="AE11" i="46" s="1"/>
  <c r="AD11" i="46" s="1"/>
  <c r="X11" i="46"/>
  <c r="AH10" i="46"/>
  <c r="AE10" i="46" s="1"/>
  <c r="AD10" i="46" s="1"/>
  <c r="X10" i="46"/>
  <c r="AH9" i="46"/>
  <c r="AE9" i="46" s="1"/>
  <c r="AD9" i="46" s="1"/>
  <c r="X9" i="46"/>
  <c r="AH8" i="46"/>
  <c r="X8" i="46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W84" i="34"/>
  <c r="V84" i="34"/>
  <c r="U84" i="34"/>
  <c r="T84" i="34"/>
  <c r="S84" i="34"/>
  <c r="N84" i="34"/>
  <c r="M84" i="34"/>
  <c r="L84" i="34"/>
  <c r="K84" i="34"/>
  <c r="J84" i="34"/>
  <c r="X83" i="34"/>
  <c r="T81" i="34"/>
  <c r="T82" i="34" s="1"/>
  <c r="Q81" i="34"/>
  <c r="Q84" i="34" s="1"/>
  <c r="O81" i="34"/>
  <c r="O82" i="34" s="1"/>
  <c r="M81" i="34"/>
  <c r="M82" i="34" s="1"/>
  <c r="L81" i="34"/>
  <c r="L82" i="34" s="1"/>
  <c r="K81" i="34"/>
  <c r="K82" i="34" s="1"/>
  <c r="J81" i="34"/>
  <c r="J82" i="34" s="1"/>
  <c r="G81" i="34"/>
  <c r="G82" i="34" s="1"/>
  <c r="D81" i="34"/>
  <c r="D82" i="34" s="1"/>
  <c r="C81" i="34"/>
  <c r="C82" i="34" s="1"/>
  <c r="B81" i="34"/>
  <c r="B82" i="34" s="1"/>
  <c r="X80" i="34"/>
  <c r="X79" i="34"/>
  <c r="AD78" i="34"/>
  <c r="X78" i="34"/>
  <c r="F77" i="34"/>
  <c r="X77" i="34" s="1"/>
  <c r="P76" i="34"/>
  <c r="F76" i="34"/>
  <c r="P75" i="34"/>
  <c r="X75" i="34" s="1"/>
  <c r="F75" i="34"/>
  <c r="P74" i="34"/>
  <c r="F74" i="34"/>
  <c r="X74" i="34" s="1"/>
  <c r="P73" i="34"/>
  <c r="F73" i="34"/>
  <c r="X73" i="34" s="1"/>
  <c r="P72" i="34"/>
  <c r="H72" i="34"/>
  <c r="H81" i="34" s="1"/>
  <c r="H82" i="34" s="1"/>
  <c r="X71" i="34"/>
  <c r="AN70" i="34"/>
  <c r="AH70" i="34" s="1"/>
  <c r="X70" i="34"/>
  <c r="AN69" i="34"/>
  <c r="AH69" i="34" s="1"/>
  <c r="AE69" i="34"/>
  <c r="AD69" i="34"/>
  <c r="X69" i="34"/>
  <c r="AH68" i="34"/>
  <c r="AF68" i="34"/>
  <c r="X68" i="34"/>
  <c r="AD68" i="34" s="1"/>
  <c r="AH67" i="34"/>
  <c r="X67" i="34"/>
  <c r="AF67" i="34" s="1"/>
  <c r="AH66" i="34"/>
  <c r="X66" i="34"/>
  <c r="AF66" i="34" s="1"/>
  <c r="AH65" i="34"/>
  <c r="X65" i="34"/>
  <c r="AF65" i="34" s="1"/>
  <c r="AH64" i="34"/>
  <c r="X64" i="34"/>
  <c r="AF64" i="34" s="1"/>
  <c r="AH63" i="34"/>
  <c r="X63" i="34"/>
  <c r="AF63" i="34" s="1"/>
  <c r="X62" i="34"/>
  <c r="AH61" i="34"/>
  <c r="W61" i="34"/>
  <c r="W81" i="34" s="1"/>
  <c r="W82" i="34" s="1"/>
  <c r="V61" i="34"/>
  <c r="V81" i="34" s="1"/>
  <c r="V82" i="34" s="1"/>
  <c r="U61" i="34"/>
  <c r="U81" i="34" s="1"/>
  <c r="U82" i="34" s="1"/>
  <c r="S81" i="34"/>
  <c r="S82" i="34" s="1"/>
  <c r="R61" i="34"/>
  <c r="R81" i="34" s="1"/>
  <c r="R84" i="34" s="1"/>
  <c r="E61" i="34"/>
  <c r="E81" i="34" s="1"/>
  <c r="E82" i="34" s="1"/>
  <c r="AH60" i="34"/>
  <c r="X60" i="34"/>
  <c r="AF60" i="34" s="1"/>
  <c r="X59" i="34"/>
  <c r="AF59" i="34" s="1"/>
  <c r="AD58" i="34"/>
  <c r="X58" i="34"/>
  <c r="AF58" i="34" s="1"/>
  <c r="AF57" i="34"/>
  <c r="N57" i="34" s="1"/>
  <c r="X57" i="34" s="1"/>
  <c r="AD57" i="34"/>
  <c r="AH56" i="34"/>
  <c r="X56" i="34"/>
  <c r="AF56" i="34" s="1"/>
  <c r="AH55" i="34"/>
  <c r="X55" i="34"/>
  <c r="AH54" i="34"/>
  <c r="X54" i="34"/>
  <c r="AF54" i="34" s="1"/>
  <c r="AH53" i="34"/>
  <c r="X53" i="34"/>
  <c r="AF53" i="34" s="1"/>
  <c r="AH52" i="34"/>
  <c r="X52" i="34"/>
  <c r="AH51" i="34"/>
  <c r="X51" i="34"/>
  <c r="AF51" i="34" s="1"/>
  <c r="AH50" i="34"/>
  <c r="X50" i="34"/>
  <c r="AF50" i="34" s="1"/>
  <c r="AF49" i="34"/>
  <c r="AD49" i="34"/>
  <c r="X49" i="34"/>
  <c r="AF48" i="34"/>
  <c r="N48" i="34" s="1"/>
  <c r="X48" i="34" s="1"/>
  <c r="AD48" i="34"/>
  <c r="AH47" i="34"/>
  <c r="X47" i="34"/>
  <c r="AH46" i="34"/>
  <c r="X46" i="34"/>
  <c r="AD46" i="34" s="1"/>
  <c r="AH45" i="34"/>
  <c r="X45" i="34"/>
  <c r="AD45" i="34" s="1"/>
  <c r="AH44" i="34"/>
  <c r="AF44" i="34"/>
  <c r="X44" i="34"/>
  <c r="AD44" i="34" s="1"/>
  <c r="AH43" i="34"/>
  <c r="X43" i="34"/>
  <c r="AH42" i="34"/>
  <c r="X42" i="34"/>
  <c r="AD42" i="34" s="1"/>
  <c r="AH41" i="34"/>
  <c r="AF41" i="34"/>
  <c r="X41" i="34"/>
  <c r="AD41" i="34" s="1"/>
  <c r="AH40" i="34"/>
  <c r="X40" i="34"/>
  <c r="AH39" i="34"/>
  <c r="X39" i="34"/>
  <c r="AF38" i="34"/>
  <c r="AD38" i="34"/>
  <c r="X38" i="34"/>
  <c r="AF37" i="34"/>
  <c r="N37" i="34" s="1"/>
  <c r="X37" i="34" s="1"/>
  <c r="AD37" i="34"/>
  <c r="AH36" i="34"/>
  <c r="X36" i="34"/>
  <c r="AF36" i="34" s="1"/>
  <c r="AH35" i="34"/>
  <c r="X35" i="34"/>
  <c r="AF35" i="34" s="1"/>
  <c r="AH34" i="34"/>
  <c r="X34" i="34"/>
  <c r="AF34" i="34" s="1"/>
  <c r="AH33" i="34"/>
  <c r="X33" i="34"/>
  <c r="AF33" i="34" s="1"/>
  <c r="AH32" i="34"/>
  <c r="X32" i="34"/>
  <c r="AF32" i="34" s="1"/>
  <c r="I31" i="34"/>
  <c r="I81" i="34" s="1"/>
  <c r="I82" i="34" s="1"/>
  <c r="AH30" i="34"/>
  <c r="AD30" i="34"/>
  <c r="X30" i="34"/>
  <c r="AH29" i="34"/>
  <c r="X29" i="34"/>
  <c r="AD29" i="34" s="1"/>
  <c r="AH28" i="34"/>
  <c r="X28" i="34"/>
  <c r="AD28" i="34" s="1"/>
  <c r="AH27" i="34"/>
  <c r="X27" i="34"/>
  <c r="AD27" i="34" s="1"/>
  <c r="AH26" i="34"/>
  <c r="X26" i="34"/>
  <c r="AD26" i="34" s="1"/>
  <c r="AN25" i="34"/>
  <c r="AH25" i="34" s="1"/>
  <c r="X24" i="34"/>
  <c r="AN24" i="34" s="1"/>
  <c r="AH24" i="34" s="1"/>
  <c r="X23" i="34"/>
  <c r="AN23" i="34" s="1"/>
  <c r="AH23" i="34" s="1"/>
  <c r="AI22" i="34"/>
  <c r="AH22" i="34"/>
  <c r="X22" i="34"/>
  <c r="X21" i="34"/>
  <c r="AI21" i="34" s="1"/>
  <c r="AH21" i="34" s="1"/>
  <c r="X20" i="34"/>
  <c r="AI20" i="34" s="1"/>
  <c r="AH20" i="34" s="1"/>
  <c r="AI19" i="34"/>
  <c r="AH19" i="34" s="1"/>
  <c r="X19" i="34"/>
  <c r="X18" i="34"/>
  <c r="AI18" i="34" s="1"/>
  <c r="AH18" i="34" s="1"/>
  <c r="X17" i="34"/>
  <c r="AI17" i="34" s="1"/>
  <c r="X16" i="34"/>
  <c r="AH15" i="34"/>
  <c r="AH14" i="34"/>
  <c r="N14" i="34" s="1"/>
  <c r="AD14" i="34"/>
  <c r="AH13" i="34"/>
  <c r="AE13" i="34" s="1"/>
  <c r="AD13" i="34" s="1"/>
  <c r="X13" i="34"/>
  <c r="AH12" i="34"/>
  <c r="AE12" i="34" s="1"/>
  <c r="AD12" i="34" s="1"/>
  <c r="X12" i="34"/>
  <c r="AH11" i="34"/>
  <c r="AE11" i="34" s="1"/>
  <c r="AD11" i="34" s="1"/>
  <c r="X11" i="34"/>
  <c r="AH10" i="34"/>
  <c r="AE10" i="34" s="1"/>
  <c r="AD10" i="34" s="1"/>
  <c r="X10" i="34"/>
  <c r="AH9" i="34"/>
  <c r="AE9" i="34" s="1"/>
  <c r="AD9" i="34" s="1"/>
  <c r="X9" i="34"/>
  <c r="AH8" i="34"/>
  <c r="AE8" i="34" s="1"/>
  <c r="X8" i="34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W84" i="35"/>
  <c r="V84" i="35"/>
  <c r="U84" i="35"/>
  <c r="T84" i="35"/>
  <c r="S84" i="35"/>
  <c r="N84" i="35"/>
  <c r="M84" i="35"/>
  <c r="L84" i="35"/>
  <c r="K84" i="35"/>
  <c r="J84" i="35"/>
  <c r="X83" i="35"/>
  <c r="E82" i="35"/>
  <c r="W81" i="35"/>
  <c r="W82" i="35" s="1"/>
  <c r="V81" i="35"/>
  <c r="V82" i="35" s="1"/>
  <c r="U81" i="35"/>
  <c r="U82" i="35" s="1"/>
  <c r="T81" i="35"/>
  <c r="T82" i="35" s="1"/>
  <c r="S81" i="35"/>
  <c r="S82" i="35" s="1"/>
  <c r="R81" i="35"/>
  <c r="Q81" i="35"/>
  <c r="O81" i="35"/>
  <c r="M81" i="35"/>
  <c r="M82" i="35" s="1"/>
  <c r="L81" i="35"/>
  <c r="L82" i="35" s="1"/>
  <c r="K81" i="35"/>
  <c r="K82" i="35" s="1"/>
  <c r="J81" i="35"/>
  <c r="J82" i="35" s="1"/>
  <c r="G81" i="35"/>
  <c r="G82" i="35" s="1"/>
  <c r="E81" i="35"/>
  <c r="D81" i="35"/>
  <c r="D82" i="35" s="1"/>
  <c r="C81" i="35"/>
  <c r="C82" i="35" s="1"/>
  <c r="B81" i="35"/>
  <c r="B82" i="35" s="1"/>
  <c r="X80" i="35"/>
  <c r="X79" i="35"/>
  <c r="AQ78" i="35"/>
  <c r="AH78" i="35" s="1"/>
  <c r="AD78" i="35"/>
  <c r="X78" i="35"/>
  <c r="F9" i="48" s="1"/>
  <c r="X77" i="35"/>
  <c r="F8" i="48" s="1"/>
  <c r="F74" i="48" s="1"/>
  <c r="X76" i="35"/>
  <c r="X75" i="35"/>
  <c r="P75" i="35"/>
  <c r="F75" i="35"/>
  <c r="P74" i="35"/>
  <c r="F74" i="35"/>
  <c r="P73" i="35"/>
  <c r="F73" i="35"/>
  <c r="X73" i="35" s="1"/>
  <c r="P72" i="35"/>
  <c r="H72" i="35"/>
  <c r="H81" i="35" s="1"/>
  <c r="H82" i="35" s="1"/>
  <c r="X71" i="35"/>
  <c r="AN70" i="35"/>
  <c r="AH70" i="35" s="1"/>
  <c r="X70" i="35"/>
  <c r="AN69" i="35"/>
  <c r="AH69" i="35" s="1"/>
  <c r="AE69" i="35"/>
  <c r="AD69" i="35"/>
  <c r="X69" i="35"/>
  <c r="AH68" i="35"/>
  <c r="AF68" i="35"/>
  <c r="X68" i="35"/>
  <c r="AD68" i="35" s="1"/>
  <c r="AH67" i="35"/>
  <c r="X67" i="35"/>
  <c r="AH66" i="35"/>
  <c r="X66" i="35"/>
  <c r="AH65" i="35"/>
  <c r="X65" i="35"/>
  <c r="AH64" i="35"/>
  <c r="X64" i="35"/>
  <c r="AH63" i="35"/>
  <c r="X63" i="35"/>
  <c r="X62" i="35"/>
  <c r="AH61" i="35"/>
  <c r="X61" i="35"/>
  <c r="AF61" i="35" s="1"/>
  <c r="AH60" i="35"/>
  <c r="X60" i="35"/>
  <c r="AF60" i="35" s="1"/>
  <c r="X59" i="35"/>
  <c r="AF59" i="35" s="1"/>
  <c r="AF58" i="35"/>
  <c r="X58" i="35"/>
  <c r="AF57" i="35"/>
  <c r="N57" i="35" s="1"/>
  <c r="X57" i="35" s="1"/>
  <c r="AD57" i="35"/>
  <c r="AH56" i="35"/>
  <c r="X56" i="35"/>
  <c r="AF56" i="35" s="1"/>
  <c r="X55" i="35"/>
  <c r="AH54" i="35"/>
  <c r="X54" i="35"/>
  <c r="AF54" i="35" s="1"/>
  <c r="AF53" i="35"/>
  <c r="AF55" i="35" s="1"/>
  <c r="AG55" i="35" s="1"/>
  <c r="AI55" i="35" s="1"/>
  <c r="AD53" i="35"/>
  <c r="X53" i="35"/>
  <c r="AJ53" i="35" s="1"/>
  <c r="AH53" i="35" s="1"/>
  <c r="X52" i="35"/>
  <c r="AH51" i="35"/>
  <c r="X51" i="35"/>
  <c r="AF51" i="35" s="1"/>
  <c r="AH50" i="35"/>
  <c r="X50" i="35"/>
  <c r="AF50" i="35" s="1"/>
  <c r="AF49" i="35"/>
  <c r="AD49" i="35"/>
  <c r="X49" i="35"/>
  <c r="AD48" i="35"/>
  <c r="X48" i="35"/>
  <c r="AF48" i="35" s="1"/>
  <c r="N48" i="35"/>
  <c r="AH47" i="35"/>
  <c r="AF47" i="35"/>
  <c r="AD47" i="35"/>
  <c r="X47" i="35"/>
  <c r="AH46" i="35"/>
  <c r="AF46" i="35"/>
  <c r="AD46" i="35"/>
  <c r="X46" i="35"/>
  <c r="AH45" i="35"/>
  <c r="AF45" i="35"/>
  <c r="AD45" i="35"/>
  <c r="X45" i="35"/>
  <c r="AH44" i="35"/>
  <c r="AF44" i="35"/>
  <c r="AD44" i="35"/>
  <c r="X44" i="35"/>
  <c r="X43" i="35"/>
  <c r="AH42" i="35"/>
  <c r="AF42" i="35"/>
  <c r="X42" i="35"/>
  <c r="AD42" i="35" s="1"/>
  <c r="AH41" i="35"/>
  <c r="AF41" i="35"/>
  <c r="X41" i="35"/>
  <c r="AD41" i="35" s="1"/>
  <c r="AH40" i="35"/>
  <c r="AF40" i="35"/>
  <c r="AF43" i="35" s="1"/>
  <c r="AG43" i="35" s="1"/>
  <c r="X40" i="35"/>
  <c r="AD40" i="35" s="1"/>
  <c r="X39" i="35"/>
  <c r="AF38" i="35"/>
  <c r="AD38" i="35"/>
  <c r="X38" i="35"/>
  <c r="AF37" i="35"/>
  <c r="N37" i="35" s="1"/>
  <c r="X37" i="35" s="1"/>
  <c r="AD37" i="35"/>
  <c r="AH36" i="35"/>
  <c r="X36" i="35"/>
  <c r="AF36" i="35" s="1"/>
  <c r="AH35" i="35"/>
  <c r="X35" i="35"/>
  <c r="AH34" i="35"/>
  <c r="X34" i="35"/>
  <c r="AH33" i="35"/>
  <c r="X33" i="35"/>
  <c r="AH32" i="35"/>
  <c r="X32" i="35"/>
  <c r="I31" i="35"/>
  <c r="I81" i="35" s="1"/>
  <c r="I82" i="35" s="1"/>
  <c r="AH30" i="35"/>
  <c r="X30" i="35"/>
  <c r="AD30" i="35" s="1"/>
  <c r="AH29" i="35"/>
  <c r="AD29" i="35"/>
  <c r="X29" i="35"/>
  <c r="AH28" i="35"/>
  <c r="X28" i="35"/>
  <c r="AD28" i="35" s="1"/>
  <c r="AH27" i="35"/>
  <c r="X27" i="35"/>
  <c r="AD27" i="35" s="1"/>
  <c r="AH26" i="35"/>
  <c r="X26" i="35"/>
  <c r="AD26" i="35" s="1"/>
  <c r="AN25" i="35"/>
  <c r="AH25" i="35" s="1"/>
  <c r="AN24" i="35"/>
  <c r="AH24" i="35" s="1"/>
  <c r="X24" i="35"/>
  <c r="X23" i="35"/>
  <c r="AN23" i="35" s="1"/>
  <c r="AH23" i="35" s="1"/>
  <c r="X22" i="35"/>
  <c r="AI22" i="35" s="1"/>
  <c r="AH22" i="35" s="1"/>
  <c r="AI21" i="35"/>
  <c r="AH21" i="35" s="1"/>
  <c r="X21" i="35"/>
  <c r="AI20" i="35"/>
  <c r="AH20" i="35"/>
  <c r="X20" i="35"/>
  <c r="X19" i="35"/>
  <c r="AI19" i="35" s="1"/>
  <c r="AH19" i="35" s="1"/>
  <c r="X18" i="35"/>
  <c r="AI18" i="35" s="1"/>
  <c r="AH18" i="35" s="1"/>
  <c r="AI17" i="35"/>
  <c r="AH17" i="35" s="1"/>
  <c r="X17" i="35"/>
  <c r="X16" i="35"/>
  <c r="AH15" i="35"/>
  <c r="AH14" i="35"/>
  <c r="N14" i="35" s="1"/>
  <c r="AD14" i="35"/>
  <c r="AH13" i="35"/>
  <c r="AE13" i="35" s="1"/>
  <c r="AD13" i="35" s="1"/>
  <c r="X13" i="35"/>
  <c r="AH12" i="35"/>
  <c r="AE12" i="35" s="1"/>
  <c r="AD12" i="35" s="1"/>
  <c r="X12" i="35"/>
  <c r="AH11" i="35"/>
  <c r="AE11" i="35" s="1"/>
  <c r="AD11" i="35" s="1"/>
  <c r="X11" i="35"/>
  <c r="AH10" i="35"/>
  <c r="AE10" i="35" s="1"/>
  <c r="AD10" i="35" s="1"/>
  <c r="X10" i="35"/>
  <c r="AH9" i="35"/>
  <c r="AE9" i="35" s="1"/>
  <c r="AD9" i="35" s="1"/>
  <c r="X9" i="35"/>
  <c r="AH8" i="35"/>
  <c r="X8" i="35"/>
  <c r="W86" i="36"/>
  <c r="V86" i="36"/>
  <c r="U86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B86" i="36"/>
  <c r="X83" i="36"/>
  <c r="W81" i="36"/>
  <c r="T81" i="36"/>
  <c r="O81" i="36"/>
  <c r="M81" i="36"/>
  <c r="L81" i="36"/>
  <c r="K81" i="36"/>
  <c r="J81" i="36"/>
  <c r="H81" i="36"/>
  <c r="H82" i="36" s="1"/>
  <c r="G81" i="36"/>
  <c r="G82" i="36" s="1"/>
  <c r="D81" i="36"/>
  <c r="D82" i="36" s="1"/>
  <c r="C81" i="36"/>
  <c r="C82" i="36" s="1"/>
  <c r="B81" i="36"/>
  <c r="B82" i="36" s="1"/>
  <c r="AQ80" i="36"/>
  <c r="AH80" i="36"/>
  <c r="X80" i="36"/>
  <c r="E11" i="48" s="1"/>
  <c r="X79" i="36"/>
  <c r="AD78" i="36"/>
  <c r="X78" i="36"/>
  <c r="X77" i="36"/>
  <c r="X76" i="36"/>
  <c r="P75" i="36"/>
  <c r="F75" i="36"/>
  <c r="P74" i="36"/>
  <c r="F74" i="36"/>
  <c r="F81" i="36" s="1"/>
  <c r="F82" i="36" s="1"/>
  <c r="X73" i="36"/>
  <c r="X72" i="36"/>
  <c r="E3" i="48" s="1"/>
  <c r="X71" i="36"/>
  <c r="AN70" i="36"/>
  <c r="AH70" i="36"/>
  <c r="X70" i="36"/>
  <c r="AE69" i="36"/>
  <c r="X69" i="36"/>
  <c r="AH68" i="36"/>
  <c r="AF68" i="36"/>
  <c r="X68" i="36"/>
  <c r="AD68" i="36" s="1"/>
  <c r="AH67" i="36"/>
  <c r="AF67" i="36"/>
  <c r="X67" i="36"/>
  <c r="AD67" i="36" s="1"/>
  <c r="AH66" i="36"/>
  <c r="AF66" i="36"/>
  <c r="X66" i="36"/>
  <c r="AD66" i="36" s="1"/>
  <c r="AH65" i="36"/>
  <c r="AF65" i="36"/>
  <c r="X65" i="36"/>
  <c r="AD65" i="36" s="1"/>
  <c r="AH64" i="36"/>
  <c r="AF64" i="36"/>
  <c r="AF71" i="36" s="1"/>
  <c r="AG71" i="36" s="1"/>
  <c r="X64" i="36"/>
  <c r="AD64" i="36" s="1"/>
  <c r="AH63" i="36"/>
  <c r="AF63" i="36"/>
  <c r="X63" i="36"/>
  <c r="AD63" i="36" s="1"/>
  <c r="X62" i="36"/>
  <c r="AH61" i="36"/>
  <c r="W61" i="36"/>
  <c r="V61" i="36"/>
  <c r="V81" i="36" s="1"/>
  <c r="U61" i="36"/>
  <c r="U81" i="36" s="1"/>
  <c r="S61" i="36"/>
  <c r="S81" i="36" s="1"/>
  <c r="R61" i="36"/>
  <c r="R81" i="36" s="1"/>
  <c r="Q61" i="36"/>
  <c r="Q81" i="36" s="1"/>
  <c r="E61" i="36"/>
  <c r="X61" i="36" s="1"/>
  <c r="AH60" i="36"/>
  <c r="X60" i="36"/>
  <c r="AF60" i="36" s="1"/>
  <c r="X59" i="36"/>
  <c r="AF59" i="36" s="1"/>
  <c r="X58" i="36"/>
  <c r="AF58" i="36" s="1"/>
  <c r="AF57" i="36"/>
  <c r="N57" i="36" s="1"/>
  <c r="X57" i="36" s="1"/>
  <c r="AD57" i="36"/>
  <c r="AH56" i="36"/>
  <c r="X56" i="36"/>
  <c r="AF56" i="36" s="1"/>
  <c r="X55" i="36"/>
  <c r="AH54" i="36"/>
  <c r="AF54" i="36"/>
  <c r="X54" i="36"/>
  <c r="AD54" i="36" s="1"/>
  <c r="AF53" i="36"/>
  <c r="AF55" i="36" s="1"/>
  <c r="AG55" i="36" s="1"/>
  <c r="X53" i="36"/>
  <c r="AD53" i="36" s="1"/>
  <c r="X52" i="36"/>
  <c r="AH51" i="36"/>
  <c r="AF51" i="36"/>
  <c r="AD51" i="36"/>
  <c r="X51" i="36"/>
  <c r="AH50" i="36"/>
  <c r="X50" i="36"/>
  <c r="AF50" i="36" s="1"/>
  <c r="AD49" i="36"/>
  <c r="X49" i="36"/>
  <c r="AF49" i="36" s="1"/>
  <c r="AD48" i="36"/>
  <c r="N48" i="36"/>
  <c r="X48" i="36" s="1"/>
  <c r="AF48" i="36" s="1"/>
  <c r="AH47" i="36"/>
  <c r="X47" i="36"/>
  <c r="AF47" i="36" s="1"/>
  <c r="AH46" i="36"/>
  <c r="X46" i="36"/>
  <c r="AF46" i="36" s="1"/>
  <c r="AH45" i="36"/>
  <c r="X45" i="36"/>
  <c r="AF45" i="36" s="1"/>
  <c r="AH44" i="36"/>
  <c r="X44" i="36"/>
  <c r="AF44" i="36" s="1"/>
  <c r="AF52" i="36" s="1"/>
  <c r="AG52" i="36" s="1"/>
  <c r="X43" i="36"/>
  <c r="AH42" i="36"/>
  <c r="X42" i="36"/>
  <c r="AH41" i="36"/>
  <c r="X41" i="36"/>
  <c r="AD41" i="36" s="1"/>
  <c r="AH40" i="36"/>
  <c r="AF40" i="36"/>
  <c r="X40" i="36"/>
  <c r="AD40" i="36" s="1"/>
  <c r="X39" i="36"/>
  <c r="AF38" i="36"/>
  <c r="AD38" i="36"/>
  <c r="X38" i="36"/>
  <c r="AF37" i="36"/>
  <c r="AD37" i="36"/>
  <c r="N37" i="36"/>
  <c r="X37" i="36" s="1"/>
  <c r="AH36" i="36"/>
  <c r="X36" i="36"/>
  <c r="AF36" i="36" s="1"/>
  <c r="AH35" i="36"/>
  <c r="X35" i="36"/>
  <c r="AF35" i="36" s="1"/>
  <c r="AH34" i="36"/>
  <c r="X34" i="36"/>
  <c r="AF34" i="36" s="1"/>
  <c r="AH33" i="36"/>
  <c r="X33" i="36"/>
  <c r="AF33" i="36" s="1"/>
  <c r="AH32" i="36"/>
  <c r="X32" i="36"/>
  <c r="AF32" i="36" s="1"/>
  <c r="I31" i="36"/>
  <c r="I81" i="36" s="1"/>
  <c r="I82" i="36" s="1"/>
  <c r="AH30" i="36"/>
  <c r="X30" i="36"/>
  <c r="AD30" i="36" s="1"/>
  <c r="AH29" i="36"/>
  <c r="X29" i="36"/>
  <c r="AD29" i="36" s="1"/>
  <c r="AH28" i="36"/>
  <c r="X28" i="36"/>
  <c r="AD28" i="36" s="1"/>
  <c r="AH27" i="36"/>
  <c r="X27" i="36"/>
  <c r="AD27" i="36" s="1"/>
  <c r="AH26" i="36"/>
  <c r="X26" i="36"/>
  <c r="AD26" i="36" s="1"/>
  <c r="AN25" i="36"/>
  <c r="AH25" i="36" s="1"/>
  <c r="X24" i="36"/>
  <c r="AN24" i="36" s="1"/>
  <c r="AH24" i="36" s="1"/>
  <c r="AN23" i="36"/>
  <c r="AH23" i="36"/>
  <c r="X23" i="36"/>
  <c r="X22" i="36"/>
  <c r="AI22" i="36" s="1"/>
  <c r="AH22" i="36" s="1"/>
  <c r="X21" i="36"/>
  <c r="AI21" i="36" s="1"/>
  <c r="AH21" i="36" s="1"/>
  <c r="AI20" i="36"/>
  <c r="AH20" i="36" s="1"/>
  <c r="X20" i="36"/>
  <c r="AH19" i="36"/>
  <c r="X19" i="36"/>
  <c r="AI19" i="36" s="1"/>
  <c r="X18" i="36"/>
  <c r="AI18" i="36" s="1"/>
  <c r="AH18" i="36" s="1"/>
  <c r="X17" i="36"/>
  <c r="AI17" i="36" s="1"/>
  <c r="AH17" i="36" s="1"/>
  <c r="X16" i="36"/>
  <c r="AN16" i="36" s="1"/>
  <c r="AH15" i="36"/>
  <c r="AH14" i="36"/>
  <c r="AD14" i="36"/>
  <c r="N14" i="36"/>
  <c r="N81" i="36" s="1"/>
  <c r="AH13" i="36"/>
  <c r="AE13" i="36" s="1"/>
  <c r="AD13" i="36" s="1"/>
  <c r="X13" i="36"/>
  <c r="AH12" i="36"/>
  <c r="AE12" i="36" s="1"/>
  <c r="AD12" i="36" s="1"/>
  <c r="X12" i="36"/>
  <c r="AH11" i="36"/>
  <c r="AE11" i="36" s="1"/>
  <c r="AD11" i="36"/>
  <c r="X11" i="36"/>
  <c r="AH10" i="36"/>
  <c r="AE10" i="36" s="1"/>
  <c r="AD10" i="36" s="1"/>
  <c r="X10" i="36"/>
  <c r="AH9" i="36"/>
  <c r="AE9" i="36"/>
  <c r="AD9" i="36" s="1"/>
  <c r="X9" i="36"/>
  <c r="AH8" i="36"/>
  <c r="AE8" i="36"/>
  <c r="AE81" i="36" s="1"/>
  <c r="X8" i="36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X83" i="37"/>
  <c r="W81" i="37"/>
  <c r="W82" i="37" s="1"/>
  <c r="V81" i="37"/>
  <c r="V82" i="37" s="1"/>
  <c r="U81" i="37"/>
  <c r="U82" i="37" s="1"/>
  <c r="T81" i="37"/>
  <c r="T82" i="37" s="1"/>
  <c r="S81" i="37"/>
  <c r="S82" i="37" s="1"/>
  <c r="R81" i="37"/>
  <c r="R82" i="37" s="1"/>
  <c r="Q81" i="37"/>
  <c r="Q82" i="37" s="1"/>
  <c r="O81" i="37"/>
  <c r="M81" i="37"/>
  <c r="M82" i="37" s="1"/>
  <c r="L81" i="37"/>
  <c r="L82" i="37" s="1"/>
  <c r="K81" i="37"/>
  <c r="K82" i="37" s="1"/>
  <c r="J81" i="37"/>
  <c r="J82" i="37" s="1"/>
  <c r="H81" i="37"/>
  <c r="H82" i="37" s="1"/>
  <c r="G81" i="37"/>
  <c r="G82" i="37" s="1"/>
  <c r="E81" i="37"/>
  <c r="E82" i="37" s="1"/>
  <c r="D81" i="37"/>
  <c r="D82" i="37" s="1"/>
  <c r="C81" i="37"/>
  <c r="C82" i="37" s="1"/>
  <c r="B81" i="37"/>
  <c r="B82" i="37" s="1"/>
  <c r="X80" i="37"/>
  <c r="X79" i="37"/>
  <c r="D10" i="48" s="1"/>
  <c r="AD78" i="37"/>
  <c r="X78" i="37"/>
  <c r="D9" i="48" s="1"/>
  <c r="P77" i="37"/>
  <c r="F77" i="37"/>
  <c r="X77" i="37" s="1"/>
  <c r="P76" i="37"/>
  <c r="F76" i="37"/>
  <c r="X76" i="37" s="1"/>
  <c r="P75" i="37"/>
  <c r="F75" i="37"/>
  <c r="P74" i="37"/>
  <c r="P81" i="37" s="1"/>
  <c r="P82" i="37" s="1"/>
  <c r="F74" i="37"/>
  <c r="X74" i="37" s="1"/>
  <c r="AQ73" i="37"/>
  <c r="AH73" i="37" s="1"/>
  <c r="X73" i="37"/>
  <c r="D4" i="48" s="1"/>
  <c r="D54" i="48" s="1"/>
  <c r="X72" i="37"/>
  <c r="X71" i="37"/>
  <c r="AN70" i="37"/>
  <c r="AH70" i="37" s="1"/>
  <c r="X70" i="37"/>
  <c r="AE69" i="37"/>
  <c r="AD69" i="37" s="1"/>
  <c r="X69" i="37"/>
  <c r="AH68" i="37"/>
  <c r="AF68" i="37"/>
  <c r="X68" i="37"/>
  <c r="AD68" i="37" s="1"/>
  <c r="AH67" i="37"/>
  <c r="X67" i="37"/>
  <c r="AF67" i="37" s="1"/>
  <c r="AH66" i="37"/>
  <c r="X66" i="37"/>
  <c r="AF66" i="37" s="1"/>
  <c r="AH65" i="37"/>
  <c r="X65" i="37"/>
  <c r="AF65" i="37" s="1"/>
  <c r="AH64" i="37"/>
  <c r="X64" i="37"/>
  <c r="AF64" i="37" s="1"/>
  <c r="AH63" i="37"/>
  <c r="X63" i="37"/>
  <c r="AF63" i="37" s="1"/>
  <c r="X62" i="37"/>
  <c r="AH61" i="37"/>
  <c r="X61" i="37"/>
  <c r="AD61" i="37" s="1"/>
  <c r="AH60" i="37"/>
  <c r="X60" i="37"/>
  <c r="AF60" i="37" s="1"/>
  <c r="X59" i="37"/>
  <c r="AF59" i="37" s="1"/>
  <c r="AF58" i="37"/>
  <c r="X58" i="37"/>
  <c r="AF57" i="37"/>
  <c r="N57" i="37" s="1"/>
  <c r="X57" i="37" s="1"/>
  <c r="AD57" i="37"/>
  <c r="AH56" i="37"/>
  <c r="X56" i="37"/>
  <c r="AF56" i="37" s="1"/>
  <c r="X55" i="37"/>
  <c r="AH54" i="37"/>
  <c r="X54" i="37"/>
  <c r="AF54" i="37" s="1"/>
  <c r="AF55" i="37" s="1"/>
  <c r="AG55" i="37" s="1"/>
  <c r="X53" i="37"/>
  <c r="AD53" i="37" s="1"/>
  <c r="X52" i="37"/>
  <c r="AH51" i="37"/>
  <c r="X51" i="37"/>
  <c r="AD51" i="37" s="1"/>
  <c r="AH50" i="37"/>
  <c r="AF50" i="37"/>
  <c r="X50" i="37"/>
  <c r="AD49" i="37"/>
  <c r="X49" i="37"/>
  <c r="AF49" i="37" s="1"/>
  <c r="AD48" i="37"/>
  <c r="N48" i="37"/>
  <c r="X48" i="37" s="1"/>
  <c r="AF48" i="37" s="1"/>
  <c r="AH47" i="37"/>
  <c r="X47" i="37"/>
  <c r="AF47" i="37" s="1"/>
  <c r="AH46" i="37"/>
  <c r="X46" i="37"/>
  <c r="AF46" i="37" s="1"/>
  <c r="AH45" i="37"/>
  <c r="X45" i="37"/>
  <c r="AF45" i="37" s="1"/>
  <c r="AH44" i="37"/>
  <c r="X44" i="37"/>
  <c r="AF44" i="37" s="1"/>
  <c r="X43" i="37"/>
  <c r="AH42" i="37"/>
  <c r="X42" i="37"/>
  <c r="AF42" i="37" s="1"/>
  <c r="AH41" i="37"/>
  <c r="X41" i="37"/>
  <c r="AF41" i="37" s="1"/>
  <c r="AH40" i="37"/>
  <c r="X40" i="37"/>
  <c r="AF40" i="37" s="1"/>
  <c r="X39" i="37"/>
  <c r="AF38" i="37"/>
  <c r="AD38" i="37"/>
  <c r="X38" i="37"/>
  <c r="AF37" i="37"/>
  <c r="AD37" i="37"/>
  <c r="N37" i="37"/>
  <c r="X37" i="37" s="1"/>
  <c r="AH36" i="37"/>
  <c r="X36" i="37"/>
  <c r="AF36" i="37" s="1"/>
  <c r="AH35" i="37"/>
  <c r="X35" i="37"/>
  <c r="AF35" i="37" s="1"/>
  <c r="AH34" i="37"/>
  <c r="X34" i="37"/>
  <c r="AF34" i="37" s="1"/>
  <c r="AH33" i="37"/>
  <c r="X33" i="37"/>
  <c r="AF33" i="37" s="1"/>
  <c r="AH32" i="37"/>
  <c r="X32" i="37"/>
  <c r="AF32" i="37" s="1"/>
  <c r="I31" i="37"/>
  <c r="X31" i="37" s="1"/>
  <c r="AH30" i="37"/>
  <c r="X30" i="37"/>
  <c r="AD30" i="37" s="1"/>
  <c r="AH29" i="37"/>
  <c r="X29" i="37"/>
  <c r="AH28" i="37"/>
  <c r="X28" i="37"/>
  <c r="AD28" i="37" s="1"/>
  <c r="AH27" i="37"/>
  <c r="X27" i="37"/>
  <c r="AD27" i="37" s="1"/>
  <c r="AH26" i="37"/>
  <c r="X26" i="37"/>
  <c r="AD26" i="37" s="1"/>
  <c r="AN25" i="37"/>
  <c r="AH25" i="37" s="1"/>
  <c r="X24" i="37"/>
  <c r="AN24" i="37" s="1"/>
  <c r="AH24" i="37" s="1"/>
  <c r="AN23" i="37"/>
  <c r="AH23" i="37"/>
  <c r="X23" i="37"/>
  <c r="X22" i="37"/>
  <c r="AI22" i="37" s="1"/>
  <c r="AH22" i="37" s="1"/>
  <c r="X21" i="37"/>
  <c r="AI21" i="37" s="1"/>
  <c r="AH21" i="37" s="1"/>
  <c r="AI20" i="37"/>
  <c r="AH20" i="37" s="1"/>
  <c r="X20" i="37"/>
  <c r="AI19" i="37"/>
  <c r="AH19" i="37" s="1"/>
  <c r="X19" i="37"/>
  <c r="X18" i="37"/>
  <c r="AI18" i="37" s="1"/>
  <c r="AH18" i="37" s="1"/>
  <c r="X17" i="37"/>
  <c r="AI17" i="37" s="1"/>
  <c r="AH17" i="37" s="1"/>
  <c r="X16" i="37"/>
  <c r="AN16" i="37" s="1"/>
  <c r="AH15" i="37"/>
  <c r="AI14" i="37"/>
  <c r="AH14" i="37"/>
  <c r="N14" i="37" s="1"/>
  <c r="AD14" i="37"/>
  <c r="AH13" i="37"/>
  <c r="AE13" i="37" s="1"/>
  <c r="AD13" i="37" s="1"/>
  <c r="X13" i="37"/>
  <c r="AH12" i="37"/>
  <c r="AE12" i="37" s="1"/>
  <c r="AD12" i="37" s="1"/>
  <c r="X12" i="37"/>
  <c r="AH11" i="37"/>
  <c r="AE11" i="37" s="1"/>
  <c r="AD11" i="37" s="1"/>
  <c r="X11" i="37"/>
  <c r="AH10" i="37"/>
  <c r="AE10" i="37" s="1"/>
  <c r="AD10" i="37" s="1"/>
  <c r="X10" i="37"/>
  <c r="AH9" i="37"/>
  <c r="AE9" i="37" s="1"/>
  <c r="AD9" i="37" s="1"/>
  <c r="X9" i="37"/>
  <c r="AH8" i="37"/>
  <c r="AE8" i="37" s="1"/>
  <c r="X8" i="37"/>
  <c r="W86" i="52"/>
  <c r="V86" i="52"/>
  <c r="U86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H86" i="52"/>
  <c r="G86" i="52"/>
  <c r="F86" i="52"/>
  <c r="E86" i="52"/>
  <c r="D86" i="52"/>
  <c r="C86" i="52"/>
  <c r="B86" i="52"/>
  <c r="X83" i="52"/>
  <c r="O82" i="52"/>
  <c r="G82" i="52"/>
  <c r="W81" i="52"/>
  <c r="W82" i="52" s="1"/>
  <c r="V81" i="52"/>
  <c r="V82" i="52" s="1"/>
  <c r="U81" i="52"/>
  <c r="U82" i="52" s="1"/>
  <c r="T81" i="52"/>
  <c r="T82" i="52" s="1"/>
  <c r="S81" i="52"/>
  <c r="S82" i="52" s="1"/>
  <c r="R81" i="52"/>
  <c r="R82" i="52" s="1"/>
  <c r="Q81" i="52"/>
  <c r="Q82" i="52" s="1"/>
  <c r="O81" i="52"/>
  <c r="M81" i="52"/>
  <c r="M82" i="52" s="1"/>
  <c r="L81" i="52"/>
  <c r="L82" i="52" s="1"/>
  <c r="K81" i="52"/>
  <c r="K82" i="52" s="1"/>
  <c r="J81" i="52"/>
  <c r="J82" i="52" s="1"/>
  <c r="H81" i="52"/>
  <c r="H82" i="52" s="1"/>
  <c r="G81" i="52"/>
  <c r="E81" i="52"/>
  <c r="E82" i="52" s="1"/>
  <c r="D81" i="52"/>
  <c r="D82" i="52" s="1"/>
  <c r="C81" i="52"/>
  <c r="C82" i="52" s="1"/>
  <c r="B81" i="52"/>
  <c r="B82" i="52" s="1"/>
  <c r="X80" i="52"/>
  <c r="AQ79" i="52"/>
  <c r="AH79" i="52" s="1"/>
  <c r="X79" i="52"/>
  <c r="C10" i="48" s="1"/>
  <c r="AQ78" i="52"/>
  <c r="AH78" i="52" s="1"/>
  <c r="AD78" i="52"/>
  <c r="X78" i="52"/>
  <c r="C9" i="48" s="1"/>
  <c r="X77" i="52"/>
  <c r="C8" i="48" s="1"/>
  <c r="C74" i="48" s="1"/>
  <c r="X76" i="52"/>
  <c r="P75" i="52"/>
  <c r="X75" i="52" s="1"/>
  <c r="F75" i="52"/>
  <c r="X74" i="52"/>
  <c r="P74" i="52"/>
  <c r="F74" i="52"/>
  <c r="F81" i="52" s="1"/>
  <c r="F82" i="52" s="1"/>
  <c r="X73" i="52"/>
  <c r="C4" i="48" s="1"/>
  <c r="C54" i="48" s="1"/>
  <c r="X72" i="52"/>
  <c r="AN70" i="52"/>
  <c r="AH70" i="52"/>
  <c r="AE69" i="52"/>
  <c r="AN69" i="52" s="1"/>
  <c r="AH69" i="52" s="1"/>
  <c r="AD69" i="52"/>
  <c r="AH68" i="52"/>
  <c r="AF68" i="52"/>
  <c r="AD68" i="52"/>
  <c r="AH67" i="52"/>
  <c r="AF67" i="52"/>
  <c r="AD67" i="52"/>
  <c r="AH66" i="52"/>
  <c r="AF66" i="52"/>
  <c r="AD66" i="52"/>
  <c r="AH65" i="52"/>
  <c r="AF65" i="52"/>
  <c r="AD65" i="52"/>
  <c r="AD64" i="52"/>
  <c r="X64" i="52"/>
  <c r="AN64" i="52" s="1"/>
  <c r="AH64" i="52" s="1"/>
  <c r="AH63" i="52"/>
  <c r="AD63" i="52"/>
  <c r="X63" i="52"/>
  <c r="AF63" i="52" s="1"/>
  <c r="X62" i="52"/>
  <c r="AH61" i="52"/>
  <c r="X61" i="52"/>
  <c r="AF61" i="52" s="1"/>
  <c r="AH60" i="52"/>
  <c r="X60" i="52"/>
  <c r="AF60" i="52" s="1"/>
  <c r="X59" i="52"/>
  <c r="AF59" i="52" s="1"/>
  <c r="X58" i="52"/>
  <c r="AF58" i="52" s="1"/>
  <c r="AF57" i="52"/>
  <c r="AD57" i="52"/>
  <c r="AH56" i="52"/>
  <c r="X56" i="52"/>
  <c r="AF56" i="52" s="1"/>
  <c r="AH55" i="52"/>
  <c r="X55" i="52"/>
  <c r="AH54" i="52"/>
  <c r="X54" i="52"/>
  <c r="AD54" i="52" s="1"/>
  <c r="AF53" i="52"/>
  <c r="AD53" i="52"/>
  <c r="X53" i="52"/>
  <c r="AJ53" i="52" s="1"/>
  <c r="AH52" i="52"/>
  <c r="X52" i="52"/>
  <c r="AH51" i="52"/>
  <c r="AD51" i="52"/>
  <c r="X51" i="52"/>
  <c r="AF51" i="52" s="1"/>
  <c r="AH50" i="52"/>
  <c r="X50" i="52"/>
  <c r="AF50" i="52" s="1"/>
  <c r="AD49" i="52"/>
  <c r="X49" i="52"/>
  <c r="AF49" i="52" s="1"/>
  <c r="AD48" i="52"/>
  <c r="N48" i="52"/>
  <c r="X48" i="52" s="1"/>
  <c r="AF48" i="52" s="1"/>
  <c r="AH47" i="52"/>
  <c r="X47" i="52"/>
  <c r="AF47" i="52" s="1"/>
  <c r="AH46" i="52"/>
  <c r="X46" i="52"/>
  <c r="AF46" i="52" s="1"/>
  <c r="AH45" i="52"/>
  <c r="X45" i="52"/>
  <c r="AF45" i="52" s="1"/>
  <c r="AH44" i="52"/>
  <c r="X44" i="52"/>
  <c r="AF44" i="52" s="1"/>
  <c r="AH43" i="52"/>
  <c r="X43" i="52"/>
  <c r="AH42" i="52"/>
  <c r="X42" i="52"/>
  <c r="AF42" i="52" s="1"/>
  <c r="AH41" i="52"/>
  <c r="X41" i="52"/>
  <c r="AF41" i="52" s="1"/>
  <c r="AH40" i="52"/>
  <c r="X40" i="52"/>
  <c r="AF40" i="52" s="1"/>
  <c r="AF43" i="52" s="1"/>
  <c r="AG43" i="52" s="1"/>
  <c r="AH39" i="52"/>
  <c r="X39" i="52"/>
  <c r="AF38" i="52"/>
  <c r="AD38" i="52"/>
  <c r="X38" i="52"/>
  <c r="AF37" i="52"/>
  <c r="N37" i="52" s="1"/>
  <c r="X37" i="52" s="1"/>
  <c r="AD37" i="52"/>
  <c r="AH36" i="52"/>
  <c r="X36" i="52"/>
  <c r="AF36" i="52" s="1"/>
  <c r="AH35" i="52"/>
  <c r="AF35" i="52"/>
  <c r="X35" i="52"/>
  <c r="AD35" i="52" s="1"/>
  <c r="AH34" i="52"/>
  <c r="AF34" i="52"/>
  <c r="X34" i="52"/>
  <c r="AD34" i="52" s="1"/>
  <c r="AH33" i="52"/>
  <c r="AF33" i="52"/>
  <c r="X33" i="52"/>
  <c r="AD33" i="52" s="1"/>
  <c r="AH32" i="52"/>
  <c r="AF32" i="52"/>
  <c r="X32" i="52"/>
  <c r="AD32" i="52" s="1"/>
  <c r="I31" i="52"/>
  <c r="I81" i="52" s="1"/>
  <c r="I82" i="52" s="1"/>
  <c r="AH30" i="52"/>
  <c r="X30" i="52"/>
  <c r="AD30" i="52" s="1"/>
  <c r="AH29" i="52"/>
  <c r="X29" i="52"/>
  <c r="AD29" i="52" s="1"/>
  <c r="AH28" i="52"/>
  <c r="AD28" i="52"/>
  <c r="X28" i="52"/>
  <c r="AH27" i="52"/>
  <c r="X27" i="52"/>
  <c r="AD27" i="52" s="1"/>
  <c r="AH26" i="52"/>
  <c r="X26" i="52"/>
  <c r="AD26" i="52" s="1"/>
  <c r="AN25" i="52"/>
  <c r="AH25" i="52" s="1"/>
  <c r="X24" i="52"/>
  <c r="AN24" i="52" s="1"/>
  <c r="AH24" i="52" s="1"/>
  <c r="X23" i="52"/>
  <c r="AN23" i="52" s="1"/>
  <c r="AH23" i="52" s="1"/>
  <c r="X22" i="52"/>
  <c r="AI22" i="52" s="1"/>
  <c r="AH22" i="52" s="1"/>
  <c r="X21" i="52"/>
  <c r="AI21" i="52" s="1"/>
  <c r="AH21" i="52" s="1"/>
  <c r="AI20" i="52"/>
  <c r="AH20" i="52"/>
  <c r="X20" i="52"/>
  <c r="X19" i="52"/>
  <c r="AI19" i="52" s="1"/>
  <c r="AH19" i="52" s="1"/>
  <c r="X18" i="52"/>
  <c r="AI18" i="52" s="1"/>
  <c r="AH18" i="52" s="1"/>
  <c r="AI17" i="52"/>
  <c r="AH17" i="52" s="1"/>
  <c r="X17" i="52"/>
  <c r="AN16" i="52"/>
  <c r="X16" i="52"/>
  <c r="AI16" i="52" s="1"/>
  <c r="AH15" i="52"/>
  <c r="AH14" i="52"/>
  <c r="N14" i="52" s="1"/>
  <c r="AD14" i="52"/>
  <c r="AH13" i="52"/>
  <c r="AE13" i="52" s="1"/>
  <c r="AD13" i="52" s="1"/>
  <c r="X13" i="52"/>
  <c r="AH12" i="52"/>
  <c r="AE12" i="52" s="1"/>
  <c r="AD12" i="52" s="1"/>
  <c r="X12" i="52"/>
  <c r="AH11" i="52"/>
  <c r="AE11" i="52" s="1"/>
  <c r="AD11" i="52" s="1"/>
  <c r="X11" i="52"/>
  <c r="AH10" i="52"/>
  <c r="AE10" i="52" s="1"/>
  <c r="AD10" i="52" s="1"/>
  <c r="X10" i="52"/>
  <c r="AH9" i="52"/>
  <c r="AE9" i="52" s="1"/>
  <c r="AD9" i="52" s="1"/>
  <c r="X9" i="52"/>
  <c r="AH8" i="52"/>
  <c r="AE8" i="52" s="1"/>
  <c r="X8" i="52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B86" i="53"/>
  <c r="W84" i="53"/>
  <c r="V84" i="53"/>
  <c r="U84" i="53"/>
  <c r="T84" i="53"/>
  <c r="S84" i="53"/>
  <c r="X83" i="53"/>
  <c r="T82" i="53"/>
  <c r="P82" i="53"/>
  <c r="W81" i="53"/>
  <c r="W82" i="53" s="1"/>
  <c r="V81" i="53"/>
  <c r="V82" i="53" s="1"/>
  <c r="U81" i="53"/>
  <c r="U82" i="53" s="1"/>
  <c r="T81" i="53"/>
  <c r="S81" i="53"/>
  <c r="S82" i="53" s="1"/>
  <c r="R81" i="53"/>
  <c r="R82" i="53" s="1"/>
  <c r="Q81" i="53"/>
  <c r="Q82" i="53" s="1"/>
  <c r="P81" i="53"/>
  <c r="O81" i="53"/>
  <c r="O82" i="53" s="1"/>
  <c r="M81" i="53"/>
  <c r="M82" i="53" s="1"/>
  <c r="L81" i="53"/>
  <c r="L82" i="53" s="1"/>
  <c r="K81" i="53"/>
  <c r="K82" i="53" s="1"/>
  <c r="J81" i="53"/>
  <c r="J82" i="53" s="1"/>
  <c r="H81" i="53"/>
  <c r="H82" i="53" s="1"/>
  <c r="G81" i="53"/>
  <c r="G82" i="53" s="1"/>
  <c r="E81" i="53"/>
  <c r="E82" i="53" s="1"/>
  <c r="D81" i="53"/>
  <c r="D82" i="53" s="1"/>
  <c r="C81" i="53"/>
  <c r="C82" i="53" s="1"/>
  <c r="B81" i="53"/>
  <c r="B82" i="53" s="1"/>
  <c r="X80" i="53"/>
  <c r="X79" i="53"/>
  <c r="B10" i="48" s="1"/>
  <c r="B57" i="48" s="1"/>
  <c r="AD78" i="53"/>
  <c r="X78" i="53"/>
  <c r="B9" i="48" s="1"/>
  <c r="B56" i="48" s="1"/>
  <c r="AP77" i="53"/>
  <c r="AH77" i="53" s="1"/>
  <c r="X77" i="53"/>
  <c r="B8" i="48" s="1"/>
  <c r="B74" i="48" s="1"/>
  <c r="X76" i="53"/>
  <c r="X75" i="53"/>
  <c r="F74" i="53"/>
  <c r="X74" i="53" s="1"/>
  <c r="X73" i="53"/>
  <c r="B4" i="48" s="1"/>
  <c r="B54" i="48" s="1"/>
  <c r="AQ72" i="53"/>
  <c r="AH72" i="53"/>
  <c r="X72" i="53"/>
  <c r="B3" i="48" s="1"/>
  <c r="X71" i="53"/>
  <c r="AN70" i="53"/>
  <c r="AH70" i="53"/>
  <c r="X70" i="53"/>
  <c r="AN69" i="53"/>
  <c r="AH69" i="53" s="1"/>
  <c r="X69" i="53"/>
  <c r="AH68" i="53"/>
  <c r="X68" i="53"/>
  <c r="AD68" i="53" s="1"/>
  <c r="AH67" i="53"/>
  <c r="AF67" i="53"/>
  <c r="X67" i="53"/>
  <c r="AD67" i="53" s="1"/>
  <c r="AH66" i="53"/>
  <c r="AF66" i="53"/>
  <c r="X66" i="53"/>
  <c r="AD66" i="53" s="1"/>
  <c r="AH65" i="53"/>
  <c r="AF65" i="53"/>
  <c r="X65" i="53"/>
  <c r="AD65" i="53" s="1"/>
  <c r="X64" i="53"/>
  <c r="AD64" i="53" s="1"/>
  <c r="AH63" i="53"/>
  <c r="X63" i="53"/>
  <c r="AD63" i="53" s="1"/>
  <c r="X62" i="53"/>
  <c r="AH61" i="53"/>
  <c r="AF61" i="53"/>
  <c r="AD61" i="53"/>
  <c r="AH60" i="53"/>
  <c r="X60" i="53"/>
  <c r="AF60" i="53" s="1"/>
  <c r="X59" i="53"/>
  <c r="AF59" i="53" s="1"/>
  <c r="X58" i="53"/>
  <c r="AF58" i="53" s="1"/>
  <c r="AF57" i="53"/>
  <c r="N57" i="53" s="1"/>
  <c r="X57" i="53" s="1"/>
  <c r="AD57" i="53"/>
  <c r="AH56" i="53"/>
  <c r="X56" i="53"/>
  <c r="AF56" i="53" s="1"/>
  <c r="X55" i="53"/>
  <c r="AH54" i="53"/>
  <c r="AF54" i="53"/>
  <c r="X54" i="53"/>
  <c r="AD54" i="53" s="1"/>
  <c r="X53" i="53"/>
  <c r="AD53" i="53" s="1"/>
  <c r="X52" i="53"/>
  <c r="AH51" i="53"/>
  <c r="AF51" i="53"/>
  <c r="AD51" i="53"/>
  <c r="X51" i="53"/>
  <c r="AH50" i="53"/>
  <c r="X50" i="53"/>
  <c r="AF50" i="53" s="1"/>
  <c r="AD49" i="53"/>
  <c r="X49" i="53"/>
  <c r="AF49" i="53" s="1"/>
  <c r="AD48" i="53"/>
  <c r="N48" i="53"/>
  <c r="X48" i="53" s="1"/>
  <c r="AF48" i="53" s="1"/>
  <c r="AH47" i="53"/>
  <c r="X47" i="53"/>
  <c r="AH46" i="53"/>
  <c r="X46" i="53"/>
  <c r="AH45" i="53"/>
  <c r="X45" i="53"/>
  <c r="AH44" i="53"/>
  <c r="X44" i="53"/>
  <c r="X43" i="53"/>
  <c r="AH42" i="53"/>
  <c r="X42" i="53"/>
  <c r="AD42" i="53" s="1"/>
  <c r="AH41" i="53"/>
  <c r="X41" i="53"/>
  <c r="AD41" i="53" s="1"/>
  <c r="AH40" i="53"/>
  <c r="X40" i="53"/>
  <c r="AD40" i="53" s="1"/>
  <c r="X39" i="53"/>
  <c r="AF38" i="53"/>
  <c r="AD38" i="53"/>
  <c r="X38" i="53"/>
  <c r="AF37" i="53"/>
  <c r="N37" i="53" s="1"/>
  <c r="X37" i="53" s="1"/>
  <c r="AD37" i="53"/>
  <c r="AH36" i="53"/>
  <c r="X36" i="53"/>
  <c r="AF36" i="53" s="1"/>
  <c r="AH35" i="53"/>
  <c r="X35" i="53"/>
  <c r="AF35" i="53" s="1"/>
  <c r="AH34" i="53"/>
  <c r="X34" i="53"/>
  <c r="AF34" i="53" s="1"/>
  <c r="AF39" i="53" s="1"/>
  <c r="AG39" i="53" s="1"/>
  <c r="AH33" i="53"/>
  <c r="X33" i="53"/>
  <c r="AF33" i="53" s="1"/>
  <c r="AH32" i="53"/>
  <c r="AF32" i="53"/>
  <c r="AD32" i="53"/>
  <c r="I31" i="53"/>
  <c r="X31" i="53" s="1"/>
  <c r="AH30" i="53"/>
  <c r="AD30" i="53"/>
  <c r="AH29" i="53"/>
  <c r="AD29" i="53"/>
  <c r="AH28" i="53"/>
  <c r="AD28" i="53"/>
  <c r="AH27" i="53"/>
  <c r="AD27" i="53"/>
  <c r="AH26" i="53"/>
  <c r="AD26" i="53"/>
  <c r="AN25" i="53"/>
  <c r="AH25" i="53"/>
  <c r="AN24" i="53"/>
  <c r="AH24" i="53"/>
  <c r="AN23" i="53"/>
  <c r="AH23" i="53"/>
  <c r="AI22" i="53"/>
  <c r="AH22" i="53"/>
  <c r="AI21" i="53"/>
  <c r="AH21" i="53"/>
  <c r="AI20" i="53"/>
  <c r="AH20" i="53"/>
  <c r="AI19" i="53"/>
  <c r="AH19" i="53"/>
  <c r="AI18" i="53"/>
  <c r="AH18" i="53"/>
  <c r="AI17" i="53"/>
  <c r="AH17" i="53"/>
  <c r="AQ16" i="53"/>
  <c r="AN16" i="53"/>
  <c r="AI16" i="53"/>
  <c r="AH15" i="53"/>
  <c r="AH14" i="53"/>
  <c r="N14" i="53" s="1"/>
  <c r="AD14" i="53"/>
  <c r="AH13" i="53"/>
  <c r="AE13" i="53"/>
  <c r="AD13" i="53" s="1"/>
  <c r="AH12" i="53"/>
  <c r="AE12" i="53" s="1"/>
  <c r="AD12" i="53" s="1"/>
  <c r="AH11" i="53"/>
  <c r="AE11" i="53"/>
  <c r="AD11" i="53"/>
  <c r="AH10" i="53"/>
  <c r="AE10" i="53" s="1"/>
  <c r="AD10" i="53"/>
  <c r="AH9" i="53"/>
  <c r="AE9" i="53"/>
  <c r="AD9" i="53" s="1"/>
  <c r="AH8" i="53"/>
  <c r="AE8" i="53"/>
  <c r="AD8" i="53"/>
  <c r="AF61" i="37" l="1"/>
  <c r="X84" i="37"/>
  <c r="O82" i="37"/>
  <c r="Q82" i="34"/>
  <c r="AF71" i="52"/>
  <c r="AG71" i="52" s="1"/>
  <c r="AJ71" i="52" s="1"/>
  <c r="N81" i="53"/>
  <c r="AE81" i="37"/>
  <c r="AD8" i="37"/>
  <c r="AQ74" i="37"/>
  <c r="AH74" i="37" s="1"/>
  <c r="D5" i="48"/>
  <c r="D72" i="48" s="1"/>
  <c r="AF62" i="53"/>
  <c r="AG62" i="53" s="1"/>
  <c r="AQ74" i="53"/>
  <c r="AH74" i="53" s="1"/>
  <c r="B5" i="48"/>
  <c r="B72" i="48" s="1"/>
  <c r="AF41" i="53"/>
  <c r="AF63" i="53"/>
  <c r="AQ76" i="53"/>
  <c r="AH76" i="53" s="1"/>
  <c r="B7" i="48"/>
  <c r="B73" i="48" s="1"/>
  <c r="AQ80" i="53"/>
  <c r="AH80" i="53" s="1"/>
  <c r="B11" i="48"/>
  <c r="B58" i="48" s="1"/>
  <c r="AD8" i="36"/>
  <c r="AN69" i="36"/>
  <c r="AH69" i="36" s="1"/>
  <c r="AD69" i="36"/>
  <c r="E7" i="48"/>
  <c r="E73" i="48" s="1"/>
  <c r="AQ76" i="36"/>
  <c r="AH76" i="36" s="1"/>
  <c r="AQ73" i="35"/>
  <c r="AH73" i="35" s="1"/>
  <c r="F4" i="48"/>
  <c r="F54" i="48" s="1"/>
  <c r="F7" i="48"/>
  <c r="F73" i="48" s="1"/>
  <c r="AQ76" i="35"/>
  <c r="AH76" i="35" s="1"/>
  <c r="AQ16" i="34"/>
  <c r="AN16" i="34"/>
  <c r="AI16" i="34"/>
  <c r="AQ73" i="46"/>
  <c r="AH73" i="46" s="1"/>
  <c r="H4" i="48"/>
  <c r="H54" i="48" s="1"/>
  <c r="O82" i="46"/>
  <c r="O84" i="46"/>
  <c r="I7" i="48"/>
  <c r="I73" i="48" s="1"/>
  <c r="AF39" i="50"/>
  <c r="AG39" i="50" s="1"/>
  <c r="AF42" i="53"/>
  <c r="X81" i="53"/>
  <c r="AF54" i="52"/>
  <c r="AQ72" i="52"/>
  <c r="AH72" i="52" s="1"/>
  <c r="C3" i="48"/>
  <c r="AQ75" i="52"/>
  <c r="AH75" i="52" s="1"/>
  <c r="C6" i="48"/>
  <c r="C55" i="48" s="1"/>
  <c r="AP77" i="52"/>
  <c r="AQ76" i="37"/>
  <c r="AH76" i="37" s="1"/>
  <c r="D7" i="48"/>
  <c r="D73" i="48" s="1"/>
  <c r="D75" i="48"/>
  <c r="D56" i="48"/>
  <c r="D76" i="48"/>
  <c r="D57" i="48"/>
  <c r="AD33" i="53"/>
  <c r="AF40" i="53"/>
  <c r="B53" i="48"/>
  <c r="AQ73" i="53"/>
  <c r="AH73" i="53" s="1"/>
  <c r="AQ78" i="53"/>
  <c r="AH78" i="53" s="1"/>
  <c r="AF55" i="52"/>
  <c r="P81" i="52"/>
  <c r="AQ76" i="52"/>
  <c r="AH76" i="52" s="1"/>
  <c r="C7" i="48"/>
  <c r="C73" i="48" s="1"/>
  <c r="C75" i="48"/>
  <c r="C56" i="48"/>
  <c r="C76" i="48"/>
  <c r="C57" i="48"/>
  <c r="AQ79" i="37"/>
  <c r="AH79" i="37" s="1"/>
  <c r="I81" i="37"/>
  <c r="I82" i="37" s="1"/>
  <c r="AF33" i="35"/>
  <c r="AD33" i="35"/>
  <c r="AF35" i="35"/>
  <c r="AD35" i="35"/>
  <c r="O82" i="35"/>
  <c r="O84" i="35"/>
  <c r="AQ80" i="34"/>
  <c r="AH80" i="34" s="1"/>
  <c r="G11" i="48"/>
  <c r="AF32" i="46"/>
  <c r="AD32" i="46"/>
  <c r="AF34" i="46"/>
  <c r="AD34" i="46"/>
  <c r="H9" i="48"/>
  <c r="AQ78" i="46"/>
  <c r="AH78" i="46" s="1"/>
  <c r="I4" i="48"/>
  <c r="I54" i="48" s="1"/>
  <c r="AP77" i="37"/>
  <c r="D8" i="48"/>
  <c r="D74" i="48" s="1"/>
  <c r="AQ80" i="37"/>
  <c r="AH80" i="37" s="1"/>
  <c r="D11" i="48"/>
  <c r="AD42" i="36"/>
  <c r="AF42" i="36"/>
  <c r="AQ78" i="36"/>
  <c r="AH78" i="36" s="1"/>
  <c r="E9" i="48"/>
  <c r="AI16" i="35"/>
  <c r="AQ16" i="35"/>
  <c r="AF62" i="35"/>
  <c r="AG62" i="35" s="1"/>
  <c r="AK62" i="35" s="1"/>
  <c r="AP77" i="35"/>
  <c r="AQ79" i="35"/>
  <c r="AH79" i="35" s="1"/>
  <c r="F10" i="48"/>
  <c r="Q84" i="35"/>
  <c r="Q82" i="35"/>
  <c r="AD8" i="34"/>
  <c r="AE81" i="34"/>
  <c r="AD40" i="34"/>
  <c r="AF40" i="34"/>
  <c r="AD47" i="34"/>
  <c r="AF47" i="34"/>
  <c r="AQ75" i="34"/>
  <c r="AH75" i="34" s="1"/>
  <c r="G6" i="48"/>
  <c r="G55" i="48" s="1"/>
  <c r="G9" i="48"/>
  <c r="AQ78" i="34"/>
  <c r="AH78" i="34" s="1"/>
  <c r="AF39" i="52"/>
  <c r="AG39" i="52" s="1"/>
  <c r="AQ74" i="52"/>
  <c r="AH74" i="52" s="1"/>
  <c r="C5" i="48"/>
  <c r="C72" i="48" s="1"/>
  <c r="AF53" i="53"/>
  <c r="AF55" i="53" s="1"/>
  <c r="AG55" i="53" s="1"/>
  <c r="AF64" i="53"/>
  <c r="AQ75" i="53"/>
  <c r="AH75" i="53" s="1"/>
  <c r="B6" i="48"/>
  <c r="B55" i="48" s="1"/>
  <c r="AQ79" i="53"/>
  <c r="AH79" i="53" s="1"/>
  <c r="I81" i="53"/>
  <c r="I82" i="53" s="1"/>
  <c r="X84" i="53"/>
  <c r="AF64" i="52"/>
  <c r="AQ73" i="52"/>
  <c r="AH73" i="52" s="1"/>
  <c r="AQ80" i="52"/>
  <c r="AH80" i="52" s="1"/>
  <c r="C11" i="48"/>
  <c r="AF51" i="37"/>
  <c r="AJ53" i="37"/>
  <c r="AH53" i="37" s="1"/>
  <c r="AF62" i="37"/>
  <c r="AG62" i="37" s="1"/>
  <c r="AF71" i="37"/>
  <c r="AG71" i="37" s="1"/>
  <c r="AJ71" i="37" s="1"/>
  <c r="AN69" i="37"/>
  <c r="AH69" i="37" s="1"/>
  <c r="AQ72" i="37"/>
  <c r="AH72" i="37" s="1"/>
  <c r="D3" i="48"/>
  <c r="X75" i="37"/>
  <c r="AQ78" i="37"/>
  <c r="AH78" i="37" s="1"/>
  <c r="X31" i="36"/>
  <c r="AQ73" i="36"/>
  <c r="AH73" i="36" s="1"/>
  <c r="E4" i="48"/>
  <c r="E54" i="48" s="1"/>
  <c r="AN16" i="35"/>
  <c r="AF32" i="35"/>
  <c r="AD32" i="35"/>
  <c r="AF34" i="35"/>
  <c r="AD34" i="35"/>
  <c r="AF52" i="35"/>
  <c r="AG52" i="35" s="1"/>
  <c r="AQ75" i="35"/>
  <c r="AH75" i="35" s="1"/>
  <c r="F6" i="48"/>
  <c r="F55" i="48" s="1"/>
  <c r="AQ74" i="34"/>
  <c r="AH74" i="34" s="1"/>
  <c r="G5" i="48"/>
  <c r="G72" i="48" s="1"/>
  <c r="AF33" i="46"/>
  <c r="AD33" i="46"/>
  <c r="AF35" i="46"/>
  <c r="AD35" i="46"/>
  <c r="AQ75" i="46"/>
  <c r="AH75" i="46" s="1"/>
  <c r="H6" i="48"/>
  <c r="H55" i="48" s="1"/>
  <c r="H8" i="48"/>
  <c r="H74" i="48" s="1"/>
  <c r="AP77" i="46"/>
  <c r="I9" i="48"/>
  <c r="AQ16" i="50"/>
  <c r="AN16" i="50"/>
  <c r="AI16" i="50"/>
  <c r="P81" i="34"/>
  <c r="F81" i="34"/>
  <c r="F82" i="34" s="1"/>
  <c r="AG55" i="46"/>
  <c r="AI55" i="46" s="1"/>
  <c r="AQ72" i="46"/>
  <c r="AH72" i="46" s="1"/>
  <c r="H3" i="48"/>
  <c r="I6" i="48"/>
  <c r="I55" i="48" s="1"/>
  <c r="I81" i="50"/>
  <c r="I82" i="50" s="1"/>
  <c r="X61" i="50"/>
  <c r="AD61" i="50" s="1"/>
  <c r="AN69" i="50"/>
  <c r="AH69" i="50" s="1"/>
  <c r="F81" i="50"/>
  <c r="F82" i="50" s="1"/>
  <c r="E53" i="48"/>
  <c r="P81" i="36"/>
  <c r="AQ79" i="36"/>
  <c r="AH79" i="36" s="1"/>
  <c r="E10" i="48"/>
  <c r="F75" i="48"/>
  <c r="F56" i="48"/>
  <c r="AQ80" i="35"/>
  <c r="AH80" i="35" s="1"/>
  <c r="F11" i="48"/>
  <c r="AF46" i="34"/>
  <c r="AQ73" i="34"/>
  <c r="AH73" i="34" s="1"/>
  <c r="G4" i="48"/>
  <c r="G54" i="48" s="1"/>
  <c r="AF43" i="46"/>
  <c r="AG43" i="46" s="1"/>
  <c r="AD51" i="46"/>
  <c r="P81" i="46"/>
  <c r="P84" i="46" s="1"/>
  <c r="AQ76" i="46"/>
  <c r="AH76" i="46" s="1"/>
  <c r="H7" i="48"/>
  <c r="H73" i="48" s="1"/>
  <c r="AQ79" i="46"/>
  <c r="AH79" i="46" s="1"/>
  <c r="H10" i="48"/>
  <c r="Q82" i="46"/>
  <c r="I8" i="48"/>
  <c r="I74" i="48" s="1"/>
  <c r="I10" i="48"/>
  <c r="AD53" i="50"/>
  <c r="AD54" i="50"/>
  <c r="X72" i="50"/>
  <c r="AQ72" i="50" s="1"/>
  <c r="AH72" i="50" s="1"/>
  <c r="O84" i="50"/>
  <c r="AF41" i="36"/>
  <c r="AF43" i="36" s="1"/>
  <c r="AG43" i="36" s="1"/>
  <c r="AQ72" i="36"/>
  <c r="AH72" i="36" s="1"/>
  <c r="X75" i="36"/>
  <c r="AP77" i="36"/>
  <c r="AH77" i="36" s="1"/>
  <c r="E8" i="48"/>
  <c r="E74" i="48" s="1"/>
  <c r="E77" i="48"/>
  <c r="E58" i="48"/>
  <c r="X74" i="35"/>
  <c r="AF42" i="34"/>
  <c r="AF45" i="34"/>
  <c r="AF52" i="34" s="1"/>
  <c r="AG52" i="34" s="1"/>
  <c r="X61" i="34"/>
  <c r="AD61" i="34" s="1"/>
  <c r="AF71" i="34"/>
  <c r="AG71" i="34" s="1"/>
  <c r="AN71" i="34" s="1"/>
  <c r="AP77" i="34"/>
  <c r="G8" i="48"/>
  <c r="G74" i="48" s="1"/>
  <c r="AQ79" i="34"/>
  <c r="AH79" i="34" s="1"/>
  <c r="G10" i="48"/>
  <c r="O84" i="34"/>
  <c r="AH16" i="46"/>
  <c r="X61" i="46"/>
  <c r="AD61" i="46" s="1"/>
  <c r="X74" i="46"/>
  <c r="AQ80" i="46"/>
  <c r="AH80" i="46" s="1"/>
  <c r="H11" i="48"/>
  <c r="I11" i="48"/>
  <c r="P81" i="50"/>
  <c r="P84" i="50" s="1"/>
  <c r="X76" i="50"/>
  <c r="AQ76" i="50" s="1"/>
  <c r="AH76" i="50" s="1"/>
  <c r="AH77" i="50"/>
  <c r="Q82" i="50"/>
  <c r="O29" i="39"/>
  <c r="AL55" i="50"/>
  <c r="AO55" i="50"/>
  <c r="AK55" i="50"/>
  <c r="AM55" i="50"/>
  <c r="AI55" i="50"/>
  <c r="AN55" i="50"/>
  <c r="AJ55" i="50"/>
  <c r="P82" i="50"/>
  <c r="AN39" i="50"/>
  <c r="AJ39" i="50"/>
  <c r="AO39" i="50"/>
  <c r="AM39" i="50"/>
  <c r="AI39" i="50"/>
  <c r="AK39" i="50"/>
  <c r="AL39" i="50"/>
  <c r="AF43" i="50"/>
  <c r="AG43" i="50" s="1"/>
  <c r="AF52" i="50"/>
  <c r="AG52" i="50" s="1"/>
  <c r="AF61" i="50"/>
  <c r="AF62" i="50" s="1"/>
  <c r="AG62" i="50" s="1"/>
  <c r="AF71" i="50"/>
  <c r="AG71" i="50" s="1"/>
  <c r="R81" i="50"/>
  <c r="N14" i="50"/>
  <c r="X84" i="50"/>
  <c r="X31" i="50"/>
  <c r="AD40" i="50"/>
  <c r="AD41" i="50"/>
  <c r="AD42" i="50"/>
  <c r="AD44" i="50"/>
  <c r="AD45" i="50"/>
  <c r="AD46" i="50"/>
  <c r="AD47" i="50"/>
  <c r="AD63" i="50"/>
  <c r="AD64" i="50"/>
  <c r="AD65" i="50"/>
  <c r="AD66" i="50"/>
  <c r="AD67" i="50"/>
  <c r="X75" i="50"/>
  <c r="AQ75" i="50" s="1"/>
  <c r="AH75" i="50" s="1"/>
  <c r="H81" i="50"/>
  <c r="H82" i="50" s="1"/>
  <c r="AE8" i="50"/>
  <c r="AK55" i="46"/>
  <c r="AM55" i="46"/>
  <c r="AN43" i="46"/>
  <c r="AJ43" i="46"/>
  <c r="AK43" i="46"/>
  <c r="AM43" i="46"/>
  <c r="AI43" i="46"/>
  <c r="AO43" i="46"/>
  <c r="AL43" i="46"/>
  <c r="AF52" i="46"/>
  <c r="AG52" i="46" s="1"/>
  <c r="AF61" i="46"/>
  <c r="AF62" i="46" s="1"/>
  <c r="AG62" i="46" s="1"/>
  <c r="AF71" i="46"/>
  <c r="AG71" i="46" s="1"/>
  <c r="F81" i="46"/>
  <c r="F82" i="46" s="1"/>
  <c r="R81" i="46"/>
  <c r="X84" i="46" s="1"/>
  <c r="N14" i="46"/>
  <c r="X31" i="46"/>
  <c r="AD40" i="46"/>
  <c r="AD41" i="46"/>
  <c r="AD42" i="46"/>
  <c r="AD44" i="46"/>
  <c r="AD45" i="46"/>
  <c r="AD46" i="46"/>
  <c r="AD47" i="46"/>
  <c r="AD63" i="46"/>
  <c r="AD64" i="46"/>
  <c r="AD65" i="46"/>
  <c r="AD66" i="46"/>
  <c r="AD67" i="46"/>
  <c r="H81" i="46"/>
  <c r="H82" i="46" s="1"/>
  <c r="AE8" i="46"/>
  <c r="AH17" i="34"/>
  <c r="AP81" i="34"/>
  <c r="AH77" i="34"/>
  <c r="AH16" i="34"/>
  <c r="AF39" i="34"/>
  <c r="AG39" i="34" s="1"/>
  <c r="P82" i="34"/>
  <c r="P84" i="34"/>
  <c r="AK71" i="34"/>
  <c r="AM71" i="34"/>
  <c r="N81" i="34"/>
  <c r="X14" i="34"/>
  <c r="AF55" i="34"/>
  <c r="AG55" i="34" s="1"/>
  <c r="AD32" i="34"/>
  <c r="AD33" i="34"/>
  <c r="AD34" i="34"/>
  <c r="AD35" i="34"/>
  <c r="AD51" i="34"/>
  <c r="AD53" i="34"/>
  <c r="AD54" i="34"/>
  <c r="R82" i="34"/>
  <c r="X84" i="34"/>
  <c r="AD63" i="34"/>
  <c r="AD64" i="34"/>
  <c r="AD65" i="34"/>
  <c r="AD66" i="34"/>
  <c r="AD67" i="34"/>
  <c r="X72" i="34"/>
  <c r="X76" i="34"/>
  <c r="X31" i="34"/>
  <c r="AL52" i="35"/>
  <c r="AO52" i="35"/>
  <c r="AK52" i="35"/>
  <c r="AI52" i="35"/>
  <c r="AJ52" i="35"/>
  <c r="AN52" i="35"/>
  <c r="AM52" i="35"/>
  <c r="X14" i="35"/>
  <c r="N81" i="35"/>
  <c r="AM43" i="35"/>
  <c r="AI43" i="35"/>
  <c r="AL43" i="35"/>
  <c r="AN43" i="35"/>
  <c r="AK43" i="35"/>
  <c r="AJ43" i="35"/>
  <c r="AO43" i="35"/>
  <c r="AF65" i="35"/>
  <c r="AD65" i="35"/>
  <c r="AF67" i="35"/>
  <c r="AD67" i="35"/>
  <c r="R84" i="35"/>
  <c r="R82" i="35"/>
  <c r="AO62" i="35"/>
  <c r="AM62" i="35"/>
  <c r="AP81" i="35"/>
  <c r="AH77" i="35"/>
  <c r="X31" i="35"/>
  <c r="AF64" i="35"/>
  <c r="AD64" i="35"/>
  <c r="AF66" i="35"/>
  <c r="AD66" i="35"/>
  <c r="AF63" i="35"/>
  <c r="AD63" i="35"/>
  <c r="AL55" i="35"/>
  <c r="AO55" i="35"/>
  <c r="AK55" i="35"/>
  <c r="AN55" i="35"/>
  <c r="AJ55" i="35"/>
  <c r="AE8" i="35"/>
  <c r="AH16" i="35"/>
  <c r="AD51" i="35"/>
  <c r="AD54" i="35"/>
  <c r="AM55" i="35"/>
  <c r="P81" i="35"/>
  <c r="X72" i="35"/>
  <c r="F81" i="35"/>
  <c r="F82" i="35" s="1"/>
  <c r="X84" i="35"/>
  <c r="AD61" i="35"/>
  <c r="AM52" i="36"/>
  <c r="AI52" i="36"/>
  <c r="AJ52" i="36"/>
  <c r="AL52" i="36"/>
  <c r="AO52" i="36"/>
  <c r="AK52" i="36"/>
  <c r="AN52" i="36"/>
  <c r="AM55" i="36"/>
  <c r="AI55" i="36"/>
  <c r="AJ55" i="36"/>
  <c r="AL55" i="36"/>
  <c r="AO55" i="36"/>
  <c r="AK55" i="36"/>
  <c r="AN55" i="36"/>
  <c r="AP81" i="36"/>
  <c r="X84" i="36"/>
  <c r="AM71" i="36"/>
  <c r="AI71" i="36"/>
  <c r="AL71" i="36"/>
  <c r="AN71" i="36"/>
  <c r="AO71" i="36"/>
  <c r="AK71" i="36"/>
  <c r="AJ71" i="36"/>
  <c r="AF39" i="36"/>
  <c r="AG39" i="36" s="1"/>
  <c r="AF61" i="36"/>
  <c r="AF62" i="36" s="1"/>
  <c r="AG62" i="36" s="1"/>
  <c r="AD61" i="36"/>
  <c r="X14" i="36"/>
  <c r="AI16" i="36"/>
  <c r="AD32" i="36"/>
  <c r="AD33" i="36"/>
  <c r="AD34" i="36"/>
  <c r="AD35" i="36"/>
  <c r="AD44" i="36"/>
  <c r="AD45" i="36"/>
  <c r="AD46" i="36"/>
  <c r="AD47" i="36"/>
  <c r="AJ53" i="36"/>
  <c r="AH53" i="36" s="1"/>
  <c r="X74" i="36"/>
  <c r="E81" i="36"/>
  <c r="E82" i="36" s="1"/>
  <c r="AQ16" i="36"/>
  <c r="AN71" i="37"/>
  <c r="AI71" i="37"/>
  <c r="AF39" i="37"/>
  <c r="AG39" i="37" s="1"/>
  <c r="AF43" i="37"/>
  <c r="AG43" i="37" s="1"/>
  <c r="AO55" i="37"/>
  <c r="AK55" i="37"/>
  <c r="AL55" i="37"/>
  <c r="AN55" i="37"/>
  <c r="AJ55" i="37"/>
  <c r="AM55" i="37"/>
  <c r="AI55" i="37"/>
  <c r="AF52" i="37"/>
  <c r="AG52" i="37" s="1"/>
  <c r="AN62" i="37"/>
  <c r="AJ62" i="37"/>
  <c r="AM62" i="37"/>
  <c r="AI62" i="37"/>
  <c r="AK62" i="37"/>
  <c r="AL62" i="37"/>
  <c r="AO62" i="37"/>
  <c r="X14" i="37"/>
  <c r="N81" i="37"/>
  <c r="N82" i="37" s="1"/>
  <c r="AF81" i="37"/>
  <c r="AP81" i="37"/>
  <c r="AH77" i="37"/>
  <c r="AQ16" i="37"/>
  <c r="AD32" i="37"/>
  <c r="AD33" i="37"/>
  <c r="AD34" i="37"/>
  <c r="AD35" i="37"/>
  <c r="AD44" i="37"/>
  <c r="AD45" i="37"/>
  <c r="AD46" i="37"/>
  <c r="AD47" i="37"/>
  <c r="F81" i="37"/>
  <c r="F82" i="37" s="1"/>
  <c r="AI16" i="37"/>
  <c r="AH16" i="37" s="1"/>
  <c r="AD40" i="37"/>
  <c r="AD41" i="37"/>
  <c r="AD42" i="37"/>
  <c r="AD54" i="37"/>
  <c r="AD63" i="37"/>
  <c r="AD64" i="37"/>
  <c r="AD65" i="37"/>
  <c r="AD66" i="37"/>
  <c r="AD67" i="37"/>
  <c r="AF52" i="52"/>
  <c r="AG52" i="52" s="1"/>
  <c r="X84" i="52"/>
  <c r="P82" i="52"/>
  <c r="AD8" i="52"/>
  <c r="AE81" i="52"/>
  <c r="X14" i="52"/>
  <c r="AH53" i="52"/>
  <c r="AH16" i="52"/>
  <c r="AF62" i="52"/>
  <c r="AG62" i="52" s="1"/>
  <c r="AQ16" i="52"/>
  <c r="X31" i="52"/>
  <c r="AD40" i="52"/>
  <c r="AD41" i="52"/>
  <c r="AD42" i="52"/>
  <c r="AD44" i="52"/>
  <c r="AD45" i="52"/>
  <c r="AD46" i="52"/>
  <c r="AD47" i="52"/>
  <c r="N57" i="52"/>
  <c r="X57" i="52" s="1"/>
  <c r="AD61" i="52"/>
  <c r="AM39" i="53"/>
  <c r="AI39" i="53"/>
  <c r="AL39" i="53"/>
  <c r="AO39" i="53"/>
  <c r="AN39" i="53"/>
  <c r="AK39" i="53"/>
  <c r="AJ39" i="53"/>
  <c r="AM62" i="53"/>
  <c r="AI62" i="53"/>
  <c r="AL62" i="53"/>
  <c r="AO62" i="53"/>
  <c r="AN62" i="53"/>
  <c r="AK62" i="53"/>
  <c r="AJ62" i="53"/>
  <c r="AM55" i="53"/>
  <c r="AI55" i="53"/>
  <c r="AL55" i="53"/>
  <c r="AO55" i="53"/>
  <c r="AN55" i="53"/>
  <c r="AK55" i="53"/>
  <c r="AJ55" i="53"/>
  <c r="AE81" i="53"/>
  <c r="AF43" i="53"/>
  <c r="AG43" i="53" s="1"/>
  <c r="AF45" i="53"/>
  <c r="AD45" i="53"/>
  <c r="AF47" i="53"/>
  <c r="AD47" i="53"/>
  <c r="F81" i="53"/>
  <c r="F82" i="53" s="1"/>
  <c r="AP81" i="53"/>
  <c r="AH16" i="53"/>
  <c r="AD35" i="53"/>
  <c r="AD34" i="53"/>
  <c r="AF44" i="53"/>
  <c r="AD44" i="53"/>
  <c r="AF46" i="53"/>
  <c r="AD46" i="53"/>
  <c r="AJ53" i="53"/>
  <c r="AH53" i="53" s="1"/>
  <c r="AM64" i="53"/>
  <c r="AH64" i="53" s="1"/>
  <c r="AN62" i="35" l="1"/>
  <c r="AJ62" i="35"/>
  <c r="AL62" i="35"/>
  <c r="AI62" i="35"/>
  <c r="AH62" i="35" s="1"/>
  <c r="AD15" i="34"/>
  <c r="AD81" i="34" s="1"/>
  <c r="AF61" i="34"/>
  <c r="AF62" i="34" s="1"/>
  <c r="AG62" i="34" s="1"/>
  <c r="AK62" i="34" s="1"/>
  <c r="AK81" i="34" s="1"/>
  <c r="P82" i="46"/>
  <c r="AM43" i="36"/>
  <c r="AO43" i="36"/>
  <c r="AI43" i="36"/>
  <c r="AN43" i="36"/>
  <c r="AK43" i="36"/>
  <c r="AJ43" i="36"/>
  <c r="AL43" i="36"/>
  <c r="AD15" i="37"/>
  <c r="Z83" i="37" s="1"/>
  <c r="AQ81" i="53"/>
  <c r="AQ81" i="52"/>
  <c r="AM71" i="52"/>
  <c r="AK71" i="52"/>
  <c r="AQ81" i="37"/>
  <c r="AM71" i="37"/>
  <c r="AK71" i="37"/>
  <c r="AQ74" i="36"/>
  <c r="AH74" i="36" s="1"/>
  <c r="E5" i="48"/>
  <c r="AQ72" i="34"/>
  <c r="AH72" i="34" s="1"/>
  <c r="G3" i="48"/>
  <c r="AL71" i="34"/>
  <c r="AO71" i="34"/>
  <c r="AH71" i="34" s="1"/>
  <c r="AJ55" i="46"/>
  <c r="AO55" i="46"/>
  <c r="AH39" i="50"/>
  <c r="AQ75" i="36"/>
  <c r="AH75" i="36" s="1"/>
  <c r="E6" i="48"/>
  <c r="E55" i="48" s="1"/>
  <c r="I76" i="48"/>
  <c r="I57" i="48"/>
  <c r="F77" i="48"/>
  <c r="F58" i="48"/>
  <c r="E76" i="48"/>
  <c r="E57" i="48"/>
  <c r="AF39" i="46"/>
  <c r="AG39" i="46" s="1"/>
  <c r="D53" i="48"/>
  <c r="G56" i="48"/>
  <c r="G75" i="48"/>
  <c r="AP81" i="52"/>
  <c r="AH77" i="52"/>
  <c r="AN71" i="52"/>
  <c r="AQ76" i="34"/>
  <c r="AH76" i="34" s="1"/>
  <c r="G7" i="48"/>
  <c r="G73" i="48" s="1"/>
  <c r="I77" i="48"/>
  <c r="I58" i="48"/>
  <c r="AQ74" i="46"/>
  <c r="AH74" i="46" s="1"/>
  <c r="H5" i="48"/>
  <c r="H72" i="48" s="1"/>
  <c r="G76" i="48"/>
  <c r="G57" i="48"/>
  <c r="AQ74" i="35"/>
  <c r="AH74" i="35" s="1"/>
  <c r="F5" i="48"/>
  <c r="F72" i="48" s="1"/>
  <c r="AQ75" i="37"/>
  <c r="AH75" i="37" s="1"/>
  <c r="D6" i="48"/>
  <c r="D55" i="48" s="1"/>
  <c r="C77" i="48"/>
  <c r="C58" i="48"/>
  <c r="F76" i="48"/>
  <c r="F57" i="48"/>
  <c r="G77" i="48"/>
  <c r="G58" i="48"/>
  <c r="AF39" i="35"/>
  <c r="AG39" i="35" s="1"/>
  <c r="C53" i="48"/>
  <c r="C12" i="48"/>
  <c r="AD15" i="52"/>
  <c r="Z83" i="52" s="1"/>
  <c r="AG81" i="52"/>
  <c r="AL71" i="52"/>
  <c r="AO71" i="52"/>
  <c r="AL71" i="37"/>
  <c r="AO71" i="37"/>
  <c r="AD15" i="36"/>
  <c r="A15" i="36" s="1"/>
  <c r="AQ72" i="35"/>
  <c r="AH72" i="35" s="1"/>
  <c r="F3" i="48"/>
  <c r="AH55" i="35"/>
  <c r="AJ71" i="34"/>
  <c r="AN55" i="46"/>
  <c r="AL55" i="46"/>
  <c r="AH55" i="50"/>
  <c r="I5" i="48"/>
  <c r="I72" i="48" s="1"/>
  <c r="H77" i="48"/>
  <c r="H58" i="48"/>
  <c r="H53" i="48"/>
  <c r="AP81" i="46"/>
  <c r="AH77" i="46"/>
  <c r="AF43" i="34"/>
  <c r="AG43" i="34" s="1"/>
  <c r="E75" i="48"/>
  <c r="E56" i="48"/>
  <c r="B12" i="48"/>
  <c r="D83" i="48"/>
  <c r="AF71" i="53"/>
  <c r="AG71" i="53" s="1"/>
  <c r="AI71" i="52"/>
  <c r="AH55" i="37"/>
  <c r="AH52" i="35"/>
  <c r="AI71" i="34"/>
  <c r="AQ81" i="46"/>
  <c r="I3" i="48"/>
  <c r="H76" i="48"/>
  <c r="H57" i="48"/>
  <c r="AH16" i="50"/>
  <c r="I75" i="48"/>
  <c r="I56" i="48"/>
  <c r="C78" i="48"/>
  <c r="C84" i="48" s="1"/>
  <c r="C82" i="48"/>
  <c r="D77" i="48"/>
  <c r="D58" i="48"/>
  <c r="H75" i="48"/>
  <c r="H56" i="48"/>
  <c r="C83" i="48"/>
  <c r="D86" i="48"/>
  <c r="D78" i="48"/>
  <c r="D79" i="48" s="1"/>
  <c r="D82" i="48"/>
  <c r="AN62" i="50"/>
  <c r="AJ62" i="50"/>
  <c r="AK62" i="50"/>
  <c r="AM62" i="50"/>
  <c r="AM81" i="50" s="1"/>
  <c r="AI62" i="50"/>
  <c r="AL62" i="50"/>
  <c r="AO62" i="50"/>
  <c r="AD15" i="50"/>
  <c r="AL52" i="50"/>
  <c r="AM52" i="50"/>
  <c r="AI52" i="50"/>
  <c r="AO52" i="50"/>
  <c r="AK52" i="50"/>
  <c r="AN52" i="50"/>
  <c r="AJ52" i="50"/>
  <c r="X14" i="50"/>
  <c r="N81" i="50"/>
  <c r="AN43" i="50"/>
  <c r="AJ43" i="50"/>
  <c r="AJ81" i="50" s="1"/>
  <c r="AO43" i="50"/>
  <c r="AM43" i="50"/>
  <c r="AI43" i="50"/>
  <c r="AK43" i="50"/>
  <c r="AL43" i="50"/>
  <c r="R84" i="50"/>
  <c r="R82" i="50"/>
  <c r="AG81" i="50"/>
  <c r="AF81" i="50"/>
  <c r="AD8" i="50"/>
  <c r="AE81" i="50"/>
  <c r="AI81" i="50"/>
  <c r="AN71" i="50"/>
  <c r="AJ71" i="50"/>
  <c r="AO71" i="50"/>
  <c r="AK71" i="50"/>
  <c r="AM71" i="50"/>
  <c r="AI71" i="50"/>
  <c r="AL71" i="50"/>
  <c r="AK81" i="50"/>
  <c r="AQ81" i="50"/>
  <c r="AN62" i="46"/>
  <c r="AJ62" i="46"/>
  <c r="AO62" i="46"/>
  <c r="AM62" i="46"/>
  <c r="AI62" i="46"/>
  <c r="AL62" i="46"/>
  <c r="AK62" i="46"/>
  <c r="AE81" i="46"/>
  <c r="AD8" i="46"/>
  <c r="X14" i="46"/>
  <c r="N81" i="46"/>
  <c r="AH43" i="46"/>
  <c r="AL52" i="46"/>
  <c r="AI52" i="46"/>
  <c r="AO52" i="46"/>
  <c r="AK52" i="46"/>
  <c r="AN52" i="46"/>
  <c r="AJ52" i="46"/>
  <c r="AM52" i="46"/>
  <c r="AG81" i="46"/>
  <c r="R84" i="46"/>
  <c r="R82" i="46"/>
  <c r="AN71" i="46"/>
  <c r="AJ71" i="46"/>
  <c r="AO71" i="46"/>
  <c r="AM71" i="46"/>
  <c r="AI71" i="46"/>
  <c r="AL71" i="46"/>
  <c r="AK71" i="46"/>
  <c r="AH55" i="46"/>
  <c r="AN62" i="34"/>
  <c r="AN81" i="34" s="1"/>
  <c r="AJ62" i="34"/>
  <c r="AJ81" i="34" s="1"/>
  <c r="AM62" i="34"/>
  <c r="AM81" i="34" s="1"/>
  <c r="AI62" i="34"/>
  <c r="AO62" i="34"/>
  <c r="AL62" i="34"/>
  <c r="AL81" i="34" s="1"/>
  <c r="AQ81" i="34"/>
  <c r="AG81" i="34"/>
  <c r="AF81" i="34"/>
  <c r="P82" i="35"/>
  <c r="P84" i="35"/>
  <c r="AD8" i="35"/>
  <c r="AD15" i="35" s="1"/>
  <c r="AE81" i="35"/>
  <c r="AF71" i="35"/>
  <c r="AH43" i="35"/>
  <c r="AL62" i="36"/>
  <c r="AI62" i="36"/>
  <c r="AI81" i="36" s="1"/>
  <c r="AO62" i="36"/>
  <c r="AK62" i="36"/>
  <c r="AN62" i="36"/>
  <c r="AJ62" i="36"/>
  <c r="AM62" i="36"/>
  <c r="AM39" i="36"/>
  <c r="AI39" i="36"/>
  <c r="AJ39" i="36"/>
  <c r="AJ81" i="36" s="1"/>
  <c r="AL39" i="36"/>
  <c r="AL81" i="36" s="1"/>
  <c r="AG81" i="36"/>
  <c r="AO39" i="36"/>
  <c r="AK39" i="36"/>
  <c r="AN39" i="36"/>
  <c r="AN81" i="36" s="1"/>
  <c r="AH71" i="36"/>
  <c r="AH16" i="36"/>
  <c r="AH55" i="36"/>
  <c r="AF81" i="36"/>
  <c r="AH52" i="36"/>
  <c r="AG81" i="37"/>
  <c r="AN39" i="37"/>
  <c r="AJ39" i="37"/>
  <c r="AK39" i="37"/>
  <c r="AM39" i="37"/>
  <c r="AI39" i="37"/>
  <c r="AL39" i="37"/>
  <c r="AO39" i="37"/>
  <c r="AH71" i="37"/>
  <c r="AH62" i="37"/>
  <c r="AN52" i="37"/>
  <c r="AJ52" i="37"/>
  <c r="AK52" i="37"/>
  <c r="AM52" i="37"/>
  <c r="AI52" i="37"/>
  <c r="AI81" i="37" s="1"/>
  <c r="AO52" i="37"/>
  <c r="AL52" i="37"/>
  <c r="AO43" i="37"/>
  <c r="AK43" i="37"/>
  <c r="AL43" i="37"/>
  <c r="AN43" i="37"/>
  <c r="AJ43" i="37"/>
  <c r="AM43" i="37"/>
  <c r="AI43" i="37"/>
  <c r="A15" i="52"/>
  <c r="N81" i="52"/>
  <c r="N82" i="52" s="1"/>
  <c r="AF81" i="52"/>
  <c r="AD81" i="52"/>
  <c r="AL62" i="52"/>
  <c r="AL81" i="52" s="1"/>
  <c r="AO62" i="52"/>
  <c r="AK62" i="52"/>
  <c r="AK81" i="52" s="1"/>
  <c r="AI62" i="52"/>
  <c r="AN62" i="52"/>
  <c r="AN81" i="52" s="1"/>
  <c r="AJ62" i="52"/>
  <c r="AJ81" i="52" s="1"/>
  <c r="AM62" i="52"/>
  <c r="AM81" i="52" s="1"/>
  <c r="AH71" i="52"/>
  <c r="AH39" i="53"/>
  <c r="AN43" i="53"/>
  <c r="AJ43" i="53"/>
  <c r="AM43" i="53"/>
  <c r="AI43" i="53"/>
  <c r="AH43" i="53" s="1"/>
  <c r="AO43" i="53"/>
  <c r="AL43" i="53"/>
  <c r="AK43" i="53"/>
  <c r="AH55" i="53"/>
  <c r="AF52" i="53"/>
  <c r="AG52" i="53" s="1"/>
  <c r="AH62" i="53"/>
  <c r="AG81" i="53"/>
  <c r="AD15" i="53"/>
  <c r="A15" i="37" l="1"/>
  <c r="A81" i="37" s="1"/>
  <c r="A82" i="37" s="1"/>
  <c r="X82" i="37" s="1"/>
  <c r="Z82" i="37" s="1"/>
  <c r="AD81" i="37"/>
  <c r="Z83" i="36"/>
  <c r="AD81" i="36"/>
  <c r="Z83" i="34"/>
  <c r="A15" i="34"/>
  <c r="X15" i="34" s="1"/>
  <c r="X81" i="34" s="1"/>
  <c r="G78" i="48"/>
  <c r="G85" i="48"/>
  <c r="E72" i="48"/>
  <c r="E12" i="48"/>
  <c r="D88" i="48"/>
  <c r="H78" i="48"/>
  <c r="H82" i="48" s="1"/>
  <c r="AM39" i="46"/>
  <c r="AM81" i="46" s="1"/>
  <c r="AN39" i="46"/>
  <c r="AN81" i="46" s="1"/>
  <c r="AI39" i="46"/>
  <c r="AO39" i="46"/>
  <c r="AJ39" i="46"/>
  <c r="AL39" i="46"/>
  <c r="AL81" i="46" s="1"/>
  <c r="AK39" i="46"/>
  <c r="AK81" i="46" s="1"/>
  <c r="AO81" i="46"/>
  <c r="AL81" i="50"/>
  <c r="AO81" i="50"/>
  <c r="AQ81" i="36"/>
  <c r="H12" i="48"/>
  <c r="C59" i="48"/>
  <c r="C63" i="48"/>
  <c r="G87" i="48"/>
  <c r="C87" i="48"/>
  <c r="D85" i="48"/>
  <c r="C86" i="48"/>
  <c r="AH43" i="36"/>
  <c r="AL71" i="53"/>
  <c r="AM71" i="53"/>
  <c r="AN71" i="53"/>
  <c r="AO71" i="53"/>
  <c r="AJ71" i="53"/>
  <c r="AK71" i="53"/>
  <c r="AI71" i="53"/>
  <c r="I78" i="48"/>
  <c r="I86" i="48" s="1"/>
  <c r="F78" i="48"/>
  <c r="F82" i="48"/>
  <c r="AO81" i="52"/>
  <c r="AM81" i="36"/>
  <c r="AQ81" i="35"/>
  <c r="AJ81" i="46"/>
  <c r="AN81" i="50"/>
  <c r="C85" i="48"/>
  <c r="C88" i="48" s="1"/>
  <c r="D65" i="48"/>
  <c r="D12" i="48"/>
  <c r="G53" i="48"/>
  <c r="G12" i="48"/>
  <c r="AO81" i="34"/>
  <c r="AF81" i="46"/>
  <c r="H85" i="48"/>
  <c r="D87" i="48"/>
  <c r="H86" i="48"/>
  <c r="I53" i="48"/>
  <c r="I12" i="48"/>
  <c r="H87" i="48"/>
  <c r="F53" i="48"/>
  <c r="F12" i="48"/>
  <c r="AK39" i="35"/>
  <c r="AM39" i="35"/>
  <c r="AJ39" i="35"/>
  <c r="AN39" i="35"/>
  <c r="AL39" i="35"/>
  <c r="AI39" i="35"/>
  <c r="AO39" i="35"/>
  <c r="F86" i="48"/>
  <c r="I87" i="48"/>
  <c r="D84" i="48"/>
  <c r="D59" i="48"/>
  <c r="D63" i="48"/>
  <c r="Z83" i="50"/>
  <c r="A15" i="50"/>
  <c r="AH71" i="50"/>
  <c r="AD81" i="50"/>
  <c r="AH43" i="50"/>
  <c r="AH52" i="50"/>
  <c r="AH62" i="50"/>
  <c r="AH71" i="46"/>
  <c r="AH52" i="46"/>
  <c r="AH62" i="46"/>
  <c r="AD15" i="46"/>
  <c r="A81" i="34"/>
  <c r="A82" i="34" s="1"/>
  <c r="X82" i="34" s="1"/>
  <c r="Z82" i="34" s="1"/>
  <c r="AH62" i="34"/>
  <c r="AH81" i="34" s="1"/>
  <c r="AI81" i="34"/>
  <c r="AD81" i="35"/>
  <c r="AG71" i="35"/>
  <c r="AF81" i="35"/>
  <c r="Z83" i="35"/>
  <c r="A15" i="35"/>
  <c r="AK81" i="36"/>
  <c r="AH62" i="36"/>
  <c r="A81" i="36"/>
  <c r="A82" i="36" s="1"/>
  <c r="X82" i="36" s="1"/>
  <c r="Z82" i="36" s="1"/>
  <c r="X15" i="36"/>
  <c r="X81" i="36" s="1"/>
  <c r="AO81" i="36"/>
  <c r="AH39" i="36"/>
  <c r="AH81" i="36" s="1"/>
  <c r="AM81" i="37"/>
  <c r="AH52" i="37"/>
  <c r="AL81" i="37"/>
  <c r="AJ81" i="37"/>
  <c r="AO81" i="37"/>
  <c r="AK81" i="37"/>
  <c r="AH43" i="37"/>
  <c r="AH39" i="37"/>
  <c r="AH81" i="37" s="1"/>
  <c r="AN81" i="37"/>
  <c r="X15" i="37"/>
  <c r="X81" i="37" s="1"/>
  <c r="AH62" i="52"/>
  <c r="AH81" i="52" s="1"/>
  <c r="AI81" i="52"/>
  <c r="A81" i="52"/>
  <c r="A82" i="52" s="1"/>
  <c r="X82" i="52" s="1"/>
  <c r="Z82" i="52" s="1"/>
  <c r="X15" i="52"/>
  <c r="X81" i="52" s="1"/>
  <c r="Z83" i="53"/>
  <c r="A15" i="53"/>
  <c r="A81" i="53" s="1"/>
  <c r="A82" i="53" s="1"/>
  <c r="X82" i="53" s="1"/>
  <c r="Z82" i="53" s="1"/>
  <c r="AD81" i="53"/>
  <c r="AI81" i="53"/>
  <c r="AM52" i="53"/>
  <c r="AM81" i="53" s="1"/>
  <c r="AI52" i="53"/>
  <c r="AL52" i="53"/>
  <c r="AK52" i="53"/>
  <c r="AJ52" i="53"/>
  <c r="AJ81" i="53" s="1"/>
  <c r="AO52" i="53"/>
  <c r="AO81" i="53" s="1"/>
  <c r="AN52" i="53"/>
  <c r="AN81" i="53" s="1"/>
  <c r="AF81" i="53"/>
  <c r="D67" i="48" l="1"/>
  <c r="D60" i="48"/>
  <c r="D64" i="48"/>
  <c r="D66" i="48"/>
  <c r="D69" i="48" s="1"/>
  <c r="F87" i="48"/>
  <c r="F84" i="48"/>
  <c r="F85" i="48"/>
  <c r="F83" i="48"/>
  <c r="G86" i="48"/>
  <c r="G79" i="48"/>
  <c r="G82" i="48"/>
  <c r="G84" i="48"/>
  <c r="AL81" i="53"/>
  <c r="AH81" i="46"/>
  <c r="AH39" i="35"/>
  <c r="D68" i="48"/>
  <c r="I82" i="48"/>
  <c r="J78" i="48"/>
  <c r="K78" i="48"/>
  <c r="I79" i="48"/>
  <c r="I83" i="48"/>
  <c r="I84" i="48"/>
  <c r="I85" i="48"/>
  <c r="C64" i="48"/>
  <c r="C69" i="48" s="1"/>
  <c r="C65" i="48"/>
  <c r="C66" i="48"/>
  <c r="C67" i="48"/>
  <c r="G83" i="48"/>
  <c r="I59" i="48"/>
  <c r="AK81" i="53"/>
  <c r="AH71" i="53"/>
  <c r="AH39" i="46"/>
  <c r="AI81" i="46"/>
  <c r="H83" i="48"/>
  <c r="H79" i="48"/>
  <c r="H84" i="48"/>
  <c r="E78" i="48"/>
  <c r="E82" i="48"/>
  <c r="C68" i="48"/>
  <c r="AH81" i="50"/>
  <c r="A81" i="50"/>
  <c r="A82" i="50" s="1"/>
  <c r="X82" i="50" s="1"/>
  <c r="Z82" i="50" s="1"/>
  <c r="X15" i="50"/>
  <c r="X81" i="50" s="1"/>
  <c r="Z83" i="46"/>
  <c r="A15" i="46"/>
  <c r="AD81" i="46"/>
  <c r="AL71" i="35"/>
  <c r="AL81" i="35" s="1"/>
  <c r="AO71" i="35"/>
  <c r="AO81" i="35" s="1"/>
  <c r="AK71" i="35"/>
  <c r="AK81" i="35" s="1"/>
  <c r="AN71" i="35"/>
  <c r="AN81" i="35" s="1"/>
  <c r="AJ71" i="35"/>
  <c r="AJ81" i="35" s="1"/>
  <c r="AM71" i="35"/>
  <c r="AM81" i="35" s="1"/>
  <c r="AI71" i="35"/>
  <c r="AG81" i="35"/>
  <c r="A81" i="35"/>
  <c r="A82" i="35" s="1"/>
  <c r="X82" i="35" s="1"/>
  <c r="Z82" i="35" s="1"/>
  <c r="X15" i="35"/>
  <c r="X81" i="35" s="1"/>
  <c r="AH52" i="53"/>
  <c r="AH81" i="53" s="1"/>
  <c r="I66" i="48" l="1"/>
  <c r="J59" i="48"/>
  <c r="K59" i="48"/>
  <c r="I65" i="48"/>
  <c r="I64" i="48"/>
  <c r="I68" i="48"/>
  <c r="I67" i="48"/>
  <c r="J72" i="48"/>
  <c r="J5" i="48" s="1"/>
  <c r="J76" i="48"/>
  <c r="J77" i="48"/>
  <c r="J75" i="48"/>
  <c r="J74" i="48"/>
  <c r="J8" i="48" s="1"/>
  <c r="J73" i="48"/>
  <c r="J7" i="48" s="1"/>
  <c r="E79" i="48"/>
  <c r="E84" i="48"/>
  <c r="E83" i="48"/>
  <c r="E88" i="48" s="1"/>
  <c r="E87" i="48"/>
  <c r="E86" i="48"/>
  <c r="E85" i="48"/>
  <c r="I88" i="48"/>
  <c r="F79" i="48"/>
  <c r="I63" i="48"/>
  <c r="K77" i="48"/>
  <c r="K76" i="48"/>
  <c r="K74" i="48"/>
  <c r="K8" i="48" s="1"/>
  <c r="K75" i="48"/>
  <c r="K72" i="48"/>
  <c r="K5" i="48" s="1"/>
  <c r="K73" i="48"/>
  <c r="K7" i="48" s="1"/>
  <c r="A81" i="46"/>
  <c r="A82" i="46" s="1"/>
  <c r="X82" i="46" s="1"/>
  <c r="Z82" i="46" s="1"/>
  <c r="X15" i="46"/>
  <c r="X81" i="46" s="1"/>
  <c r="AH71" i="35"/>
  <c r="AH81" i="35" s="1"/>
  <c r="AI81" i="35"/>
  <c r="I69" i="48" l="1"/>
  <c r="B43" i="80"/>
  <c r="V12" i="45" s="1"/>
  <c r="B42" i="80"/>
  <c r="V10" i="45" l="1"/>
  <c r="V11" i="45"/>
  <c r="P48" i="67"/>
  <c r="V60" i="40" s="1"/>
  <c r="P47" i="67"/>
  <c r="V61" i="40" s="1"/>
  <c r="P46" i="67"/>
  <c r="V59" i="40" s="1"/>
  <c r="P45" i="67"/>
  <c r="O34" i="67"/>
  <c r="O26" i="67"/>
  <c r="V13" i="40" s="1"/>
  <c r="O19" i="67"/>
  <c r="V14" i="40" s="1"/>
  <c r="O12" i="67"/>
  <c r="V12" i="40" s="1"/>
  <c r="O4" i="67"/>
  <c r="V11" i="40" s="1"/>
  <c r="O58" i="67"/>
  <c r="V66" i="40" s="1"/>
  <c r="O59" i="67"/>
  <c r="V69" i="40" s="1"/>
  <c r="O57" i="67"/>
  <c r="V65" i="40" s="1"/>
  <c r="O53" i="67"/>
  <c r="O52" i="67"/>
  <c r="O46" i="67"/>
  <c r="O47" i="67"/>
  <c r="O48" i="67"/>
  <c r="O45" i="67"/>
  <c r="O41" i="67"/>
  <c r="V57" i="40" s="1"/>
  <c r="O40" i="67"/>
  <c r="V54" i="40" s="1"/>
  <c r="O36" i="67"/>
  <c r="O35" i="67"/>
  <c r="O28" i="67"/>
  <c r="V44" i="40" s="1"/>
  <c r="O29" i="67"/>
  <c r="V42" i="40" s="1"/>
  <c r="O30" i="67"/>
  <c r="V41" i="40" s="1"/>
  <c r="O31" i="67"/>
  <c r="V40" i="40" s="1"/>
  <c r="O32" i="67"/>
  <c r="O33" i="67"/>
  <c r="V43" i="40" s="1"/>
  <c r="O27" i="67"/>
  <c r="V38" i="40" s="1"/>
  <c r="O21" i="67"/>
  <c r="V49" i="40" s="1"/>
  <c r="O22" i="67"/>
  <c r="V50" i="40" s="1"/>
  <c r="O23" i="67"/>
  <c r="V48" i="40" s="1"/>
  <c r="O24" i="67"/>
  <c r="V52" i="40" s="1"/>
  <c r="O25" i="67"/>
  <c r="V51" i="40" s="1"/>
  <c r="O20" i="67"/>
  <c r="V46" i="40" s="1"/>
  <c r="O14" i="67"/>
  <c r="V29" i="40" s="1"/>
  <c r="O15" i="67"/>
  <c r="V33" i="40" s="1"/>
  <c r="O16" i="67"/>
  <c r="V36" i="40" s="1"/>
  <c r="O17" i="67"/>
  <c r="V34" i="40" s="1"/>
  <c r="O18" i="67"/>
  <c r="V32" i="40" s="1"/>
  <c r="O13" i="67"/>
  <c r="V30" i="40" s="1"/>
  <c r="O6" i="67"/>
  <c r="V21" i="40" s="1"/>
  <c r="O7" i="67"/>
  <c r="V22" i="40" s="1"/>
  <c r="O8" i="67"/>
  <c r="V27" i="40" s="1"/>
  <c r="O9" i="67"/>
  <c r="V26" i="40" s="1"/>
  <c r="O10" i="67"/>
  <c r="V24" i="40" s="1"/>
  <c r="O11" i="67"/>
  <c r="V23" i="40" s="1"/>
  <c r="O5" i="67"/>
  <c r="V20" i="40" s="1"/>
  <c r="O56" i="67"/>
  <c r="V17" i="40" s="1"/>
  <c r="O51" i="67"/>
  <c r="O44" i="67"/>
  <c r="V16" i="40" s="1"/>
  <c r="O39" i="67"/>
  <c r="V15" i="40" s="1"/>
  <c r="B62" i="67" l="1"/>
  <c r="V8" i="40" s="1"/>
  <c r="B41" i="80"/>
  <c r="V5" i="45" s="1"/>
  <c r="B40" i="80"/>
  <c r="V22" i="41" s="1"/>
  <c r="B39" i="80"/>
  <c r="V54" i="44" s="1"/>
  <c r="B37" i="80"/>
  <c r="V62" i="44" s="1"/>
  <c r="B36" i="80"/>
  <c r="V60" i="44" s="1"/>
  <c r="B35" i="80"/>
  <c r="V61" i="44" s="1"/>
  <c r="B31" i="80"/>
  <c r="V73" i="44" s="1"/>
  <c r="B29" i="80"/>
  <c r="V23" i="44" s="1"/>
  <c r="B27" i="80"/>
  <c r="V22" i="44" s="1"/>
  <c r="B28" i="80"/>
  <c r="V80" i="44" s="1"/>
  <c r="V81" i="44" s="1"/>
  <c r="V41" i="44" l="1"/>
  <c r="V42" i="44"/>
  <c r="V43" i="44"/>
  <c r="B38" i="80"/>
  <c r="V70" i="44"/>
  <c r="V76" i="44"/>
  <c r="V77" i="44" s="1"/>
  <c r="V21" i="44"/>
  <c r="V24" i="44" s="1"/>
  <c r="B30" i="80"/>
  <c r="V71" i="44"/>
  <c r="I9" i="80"/>
  <c r="I6" i="80"/>
  <c r="I7" i="80"/>
  <c r="P86" i="39" s="1"/>
  <c r="I5" i="80"/>
  <c r="I3" i="80"/>
  <c r="P50" i="39" s="1"/>
  <c r="I2" i="80"/>
  <c r="P32" i="39" s="1"/>
  <c r="B24" i="80"/>
  <c r="P92" i="39" s="1"/>
  <c r="B23" i="80"/>
  <c r="P90" i="39" s="1"/>
  <c r="B22" i="80"/>
  <c r="P91" i="39" s="1"/>
  <c r="B19" i="80"/>
  <c r="P74" i="39" s="1"/>
  <c r="B18" i="80"/>
  <c r="P72" i="39" s="1"/>
  <c r="B17" i="80"/>
  <c r="P55" i="39" s="1"/>
  <c r="B14" i="80"/>
  <c r="P38" i="39" s="1"/>
  <c r="B13" i="80"/>
  <c r="P36" i="39" s="1"/>
  <c r="B12" i="80"/>
  <c r="P37" i="39" s="1"/>
  <c r="H9" i="80"/>
  <c r="V6" i="41" s="1"/>
  <c r="G9" i="80"/>
  <c r="F9" i="80"/>
  <c r="E9" i="80"/>
  <c r="D9" i="80"/>
  <c r="C9" i="80"/>
  <c r="P13" i="39" s="1"/>
  <c r="B9" i="80"/>
  <c r="D6" i="80"/>
  <c r="V14" i="44" s="1"/>
  <c r="D7" i="80"/>
  <c r="D5" i="80"/>
  <c r="D3" i="80"/>
  <c r="C6" i="80"/>
  <c r="V13" i="44" s="1"/>
  <c r="C7" i="80"/>
  <c r="P85" i="39" s="1"/>
  <c r="C5" i="80"/>
  <c r="C2" i="80"/>
  <c r="P31" i="39" s="1"/>
  <c r="C3" i="80"/>
  <c r="P49" i="39" s="1"/>
  <c r="D2" i="80"/>
  <c r="V37" i="44" l="1"/>
  <c r="V56" i="44"/>
  <c r="V72" i="44"/>
  <c r="V36" i="44"/>
  <c r="V55" i="44"/>
  <c r="V44" i="44"/>
  <c r="V63" i="44"/>
  <c r="P56" i="39"/>
  <c r="B15" i="80"/>
  <c r="P39" i="39" s="1"/>
  <c r="P67" i="39"/>
  <c r="P54" i="39"/>
  <c r="P73" i="39"/>
  <c r="B20" i="80"/>
  <c r="V17" i="44"/>
  <c r="V16" i="44"/>
  <c r="V15" i="44"/>
  <c r="P68" i="39"/>
  <c r="B25" i="80"/>
  <c r="P93" i="39" s="1"/>
  <c r="G3" i="80"/>
  <c r="P63" i="39" s="1"/>
  <c r="H7" i="80"/>
  <c r="V14" i="41" s="1"/>
  <c r="E6" i="80"/>
  <c r="E7" i="80"/>
  <c r="E5" i="80"/>
  <c r="E3" i="80"/>
  <c r="E2" i="80"/>
  <c r="H6" i="80"/>
  <c r="H5" i="80"/>
  <c r="H3" i="80"/>
  <c r="H2" i="80"/>
  <c r="V8" i="41" s="1"/>
  <c r="G6" i="80"/>
  <c r="G7" i="80"/>
  <c r="P81" i="39" s="1"/>
  <c r="G5" i="80"/>
  <c r="G2" i="80"/>
  <c r="P27" i="39" s="1"/>
  <c r="F6" i="80"/>
  <c r="F7" i="80"/>
  <c r="F5" i="80"/>
  <c r="F3" i="80"/>
  <c r="F2" i="80"/>
  <c r="B6" i="80"/>
  <c r="B7" i="80"/>
  <c r="B5" i="80"/>
  <c r="B3" i="80"/>
  <c r="B33" i="80" l="1"/>
  <c r="V30" i="44" s="1"/>
  <c r="V16" i="41"/>
  <c r="V18" i="41"/>
  <c r="V20" i="41"/>
  <c r="V32" i="44"/>
  <c r="V50" i="44"/>
  <c r="V10" i="41"/>
  <c r="V12" i="41"/>
  <c r="V8" i="44"/>
  <c r="B32" i="80"/>
  <c r="V29" i="44" s="1"/>
  <c r="P45" i="39"/>
  <c r="P75" i="39"/>
  <c r="P57" i="39"/>
  <c r="B2" i="80"/>
  <c r="B18" i="70" l="1"/>
  <c r="P12" i="39" s="1"/>
  <c r="B17" i="70"/>
  <c r="P11" i="39" s="1"/>
  <c r="B16" i="70"/>
  <c r="P10" i="39" s="1"/>
  <c r="B15" i="70"/>
  <c r="P9" i="39" s="1"/>
  <c r="B16" i="69"/>
  <c r="B15" i="69"/>
  <c r="P14" i="39" s="1"/>
  <c r="B23" i="69"/>
  <c r="B22" i="69"/>
  <c r="P17" i="39" s="1"/>
  <c r="P21" i="39" s="1"/>
  <c r="B21" i="69"/>
  <c r="B20" i="69"/>
  <c r="P20" i="39" s="1"/>
  <c r="B19" i="69"/>
  <c r="P19" i="39" s="1"/>
  <c r="B18" i="69"/>
  <c r="P18" i="39" s="1"/>
  <c r="O87" i="39" l="1"/>
  <c r="O69" i="39"/>
  <c r="O51" i="39"/>
  <c r="O33" i="39"/>
  <c r="O15" i="39"/>
  <c r="K6" i="5" l="1"/>
  <c r="J6" i="5"/>
  <c r="Q69" i="42" l="1"/>
  <c r="O69" i="42"/>
  <c r="M69" i="42"/>
  <c r="K69" i="42"/>
  <c r="I69" i="42"/>
  <c r="G69" i="42"/>
  <c r="E69" i="42"/>
  <c r="C69" i="42"/>
  <c r="Q68" i="42"/>
  <c r="O68" i="42"/>
  <c r="M68" i="42"/>
  <c r="K68" i="42"/>
  <c r="I68" i="42"/>
  <c r="G68" i="42"/>
  <c r="E68" i="42"/>
  <c r="C68" i="42"/>
  <c r="Q67" i="42"/>
  <c r="O67" i="42"/>
  <c r="M67" i="42"/>
  <c r="K67" i="42"/>
  <c r="I67" i="42"/>
  <c r="G67" i="42"/>
  <c r="E67" i="42"/>
  <c r="C67" i="42"/>
  <c r="Q66" i="42"/>
  <c r="O66" i="42"/>
  <c r="M66" i="42"/>
  <c r="K66" i="42"/>
  <c r="I66" i="42"/>
  <c r="G66" i="42"/>
  <c r="E66" i="42"/>
  <c r="C66" i="42"/>
  <c r="Q65" i="42"/>
  <c r="O65" i="42"/>
  <c r="M65" i="42"/>
  <c r="K65" i="42"/>
  <c r="I65" i="42"/>
  <c r="G65" i="42"/>
  <c r="E65" i="42"/>
  <c r="C65" i="42"/>
  <c r="Q64" i="42"/>
  <c r="O64" i="42"/>
  <c r="M64" i="42"/>
  <c r="K64" i="42"/>
  <c r="I64" i="42"/>
  <c r="G64" i="42"/>
  <c r="E64" i="42"/>
  <c r="C64" i="42"/>
  <c r="Q63" i="42"/>
  <c r="O63" i="42"/>
  <c r="M63" i="42"/>
  <c r="K63" i="42"/>
  <c r="I63" i="42"/>
  <c r="G63" i="42"/>
  <c r="E63" i="42"/>
  <c r="C63" i="42"/>
  <c r="Q62" i="42"/>
  <c r="O62" i="42"/>
  <c r="M62" i="42"/>
  <c r="K62" i="42"/>
  <c r="I62" i="42"/>
  <c r="G62" i="42"/>
  <c r="E62" i="42"/>
  <c r="C62" i="42"/>
  <c r="Q61" i="42"/>
  <c r="O61" i="42"/>
  <c r="M61" i="42"/>
  <c r="K61" i="42"/>
  <c r="I61" i="42"/>
  <c r="G61" i="42"/>
  <c r="E61" i="42"/>
  <c r="C61" i="42"/>
  <c r="Q60" i="42"/>
  <c r="O60" i="42"/>
  <c r="M60" i="42"/>
  <c r="K60" i="42"/>
  <c r="I60" i="42"/>
  <c r="G60" i="42"/>
  <c r="E60" i="42"/>
  <c r="C60" i="42"/>
  <c r="Q59" i="42"/>
  <c r="O59" i="42"/>
  <c r="M59" i="42"/>
  <c r="K59" i="42"/>
  <c r="I59" i="42"/>
  <c r="G59" i="42"/>
  <c r="E59" i="42"/>
  <c r="C59" i="42"/>
  <c r="P48" i="42"/>
  <c r="N48" i="42"/>
  <c r="L48" i="42"/>
  <c r="J48" i="42"/>
  <c r="H48" i="42"/>
  <c r="F48" i="42"/>
  <c r="D48" i="42"/>
  <c r="B48" i="42"/>
  <c r="Q46" i="42"/>
  <c r="O46" i="42"/>
  <c r="M46" i="42"/>
  <c r="K46" i="42"/>
  <c r="I46" i="42"/>
  <c r="G46" i="42"/>
  <c r="E46" i="42"/>
  <c r="C46" i="42"/>
  <c r="Q45" i="42"/>
  <c r="O45" i="42"/>
  <c r="M45" i="42"/>
  <c r="K45" i="42"/>
  <c r="I45" i="42"/>
  <c r="G45" i="42"/>
  <c r="E45" i="42"/>
  <c r="C45" i="42"/>
  <c r="Q44" i="42"/>
  <c r="O44" i="42"/>
  <c r="M44" i="42"/>
  <c r="K44" i="42"/>
  <c r="I44" i="42"/>
  <c r="G44" i="42"/>
  <c r="E44" i="42"/>
  <c r="C44" i="42"/>
  <c r="Q43" i="42"/>
  <c r="O43" i="42"/>
  <c r="M43" i="42"/>
  <c r="K43" i="42"/>
  <c r="I43" i="42"/>
  <c r="G43" i="42"/>
  <c r="E43" i="42"/>
  <c r="C43" i="42"/>
  <c r="Q42" i="42"/>
  <c r="O42" i="42"/>
  <c r="M42" i="42"/>
  <c r="K42" i="42"/>
  <c r="I42" i="42"/>
  <c r="G42" i="42"/>
  <c r="E42" i="42"/>
  <c r="C42" i="42"/>
  <c r="Q41" i="42"/>
  <c r="O41" i="42"/>
  <c r="M41" i="42"/>
  <c r="K41" i="42"/>
  <c r="I41" i="42"/>
  <c r="G41" i="42"/>
  <c r="E41" i="42"/>
  <c r="C41" i="42"/>
  <c r="Q13" i="42"/>
  <c r="O13" i="42"/>
  <c r="M13" i="42"/>
  <c r="K13" i="42"/>
  <c r="I13" i="42"/>
  <c r="G13" i="42"/>
  <c r="E13" i="42"/>
  <c r="C13" i="42"/>
  <c r="Q12" i="42"/>
  <c r="O12" i="42"/>
  <c r="M12" i="42"/>
  <c r="K12" i="42"/>
  <c r="I12" i="42"/>
  <c r="G12" i="42"/>
  <c r="E12" i="42"/>
  <c r="C12" i="42"/>
  <c r="Q11" i="42"/>
  <c r="O11" i="42"/>
  <c r="M11" i="42"/>
  <c r="K11" i="42"/>
  <c r="I11" i="42"/>
  <c r="G11" i="42"/>
  <c r="E11" i="42"/>
  <c r="C11" i="42"/>
  <c r="D13" i="32" l="1"/>
  <c r="BT57" i="66"/>
  <c r="BT41" i="66"/>
  <c r="BT37" i="66"/>
  <c r="BT27" i="66"/>
  <c r="BT19" i="66"/>
  <c r="W65" i="66"/>
  <c r="BT65" i="66"/>
  <c r="AC65" i="66" s="1"/>
  <c r="AV65" i="66"/>
  <c r="AZ65" i="66" s="1"/>
  <c r="BZ117" i="66"/>
  <c r="BZ112" i="66"/>
  <c r="BZ101" i="66"/>
  <c r="BZ90" i="66"/>
  <c r="BZ89" i="66" s="1"/>
  <c r="BI88" i="66"/>
  <c r="BC88" i="66"/>
  <c r="AV88" i="66"/>
  <c r="BI87" i="66"/>
  <c r="BC87" i="66"/>
  <c r="AV87" i="66"/>
  <c r="BI86" i="66"/>
  <c r="BC86" i="66"/>
  <c r="AV86" i="66"/>
  <c r="BI85" i="66"/>
  <c r="BC85" i="66"/>
  <c r="AV85" i="66"/>
  <c r="BX84" i="66"/>
  <c r="BV84" i="66"/>
  <c r="BU84" i="66"/>
  <c r="BS84" i="66"/>
  <c r="BR84" i="66"/>
  <c r="BQ84" i="66"/>
  <c r="BP84" i="66"/>
  <c r="BO84" i="66"/>
  <c r="BN84" i="66"/>
  <c r="BM84" i="66"/>
  <c r="BL84" i="66"/>
  <c r="BK84" i="66"/>
  <c r="BJ84" i="66"/>
  <c r="BH84" i="66"/>
  <c r="BG84" i="66"/>
  <c r="BF84" i="66"/>
  <c r="BE84" i="66"/>
  <c r="BD84" i="66"/>
  <c r="BB84" i="66"/>
  <c r="BA84" i="66"/>
  <c r="AZ84" i="66"/>
  <c r="AY84" i="66"/>
  <c r="AX84" i="66"/>
  <c r="AW84" i="66"/>
  <c r="AU84" i="66"/>
  <c r="AT84" i="66"/>
  <c r="AS84" i="66"/>
  <c r="AR84" i="66"/>
  <c r="AI84" i="66"/>
  <c r="AG84" i="66"/>
  <c r="AF84" i="66"/>
  <c r="AE84" i="66"/>
  <c r="AA84" i="66"/>
  <c r="Z84" i="66"/>
  <c r="R84" i="66"/>
  <c r="P84" i="66"/>
  <c r="O84" i="66"/>
  <c r="L84" i="66"/>
  <c r="D84" i="66"/>
  <c r="C84" i="66"/>
  <c r="BI83" i="66"/>
  <c r="BC83" i="66"/>
  <c r="AV83" i="66"/>
  <c r="BI82" i="66"/>
  <c r="BC82" i="66"/>
  <c r="AV82" i="66"/>
  <c r="BI81" i="66"/>
  <c r="BC81" i="66"/>
  <c r="AV81" i="66"/>
  <c r="BI80" i="66"/>
  <c r="BC80" i="66"/>
  <c r="AV80" i="66"/>
  <c r="AH80" i="66"/>
  <c r="AG80" i="66"/>
  <c r="AF80" i="66"/>
  <c r="AE80" i="66"/>
  <c r="AB80" i="66"/>
  <c r="AA80" i="66"/>
  <c r="Z80" i="66"/>
  <c r="V80" i="66"/>
  <c r="U80" i="66"/>
  <c r="R80" i="66"/>
  <c r="P80" i="66"/>
  <c r="O80" i="66"/>
  <c r="M80" i="66"/>
  <c r="L80" i="66"/>
  <c r="K80" i="66"/>
  <c r="I80" i="66"/>
  <c r="F80" i="66"/>
  <c r="C80" i="66"/>
  <c r="BI79" i="66"/>
  <c r="BC79" i="66"/>
  <c r="AV79" i="66"/>
  <c r="BI78" i="66"/>
  <c r="BC78" i="66"/>
  <c r="AV78" i="66"/>
  <c r="N78" i="66"/>
  <c r="BI77" i="66"/>
  <c r="BC77" i="66"/>
  <c r="AV77" i="66"/>
  <c r="N77" i="66"/>
  <c r="BI76" i="66"/>
  <c r="BC76" i="66"/>
  <c r="AV76" i="66"/>
  <c r="N76" i="66"/>
  <c r="BI75" i="66"/>
  <c r="BC75" i="66"/>
  <c r="AV75" i="66"/>
  <c r="N75" i="66"/>
  <c r="BI74" i="66"/>
  <c r="BC74" i="66"/>
  <c r="AV74" i="66"/>
  <c r="N74" i="66"/>
  <c r="BI73" i="66"/>
  <c r="BC73" i="66"/>
  <c r="AV73" i="66"/>
  <c r="N73" i="66"/>
  <c r="BI72" i="66"/>
  <c r="BC72" i="66"/>
  <c r="AV72" i="66"/>
  <c r="T72" i="66"/>
  <c r="N72" i="66"/>
  <c r="BI71" i="66"/>
  <c r="BC71" i="66"/>
  <c r="AV71" i="66"/>
  <c r="N71" i="66"/>
  <c r="BX70" i="66"/>
  <c r="BV70" i="66"/>
  <c r="BU70" i="66"/>
  <c r="BT70" i="66"/>
  <c r="BT68" i="66" s="1"/>
  <c r="BS70" i="66"/>
  <c r="BS68" i="66" s="1"/>
  <c r="BR70" i="66"/>
  <c r="BQ70" i="66"/>
  <c r="BP70" i="66"/>
  <c r="BO70" i="66"/>
  <c r="BO68" i="66" s="1"/>
  <c r="BN70" i="66"/>
  <c r="BM70" i="66"/>
  <c r="BL70" i="66"/>
  <c r="BK70" i="66"/>
  <c r="BK68" i="66" s="1"/>
  <c r="BJ70" i="66"/>
  <c r="BH70" i="66"/>
  <c r="BG70" i="66"/>
  <c r="BG68" i="66" s="1"/>
  <c r="BF70" i="66"/>
  <c r="BE70" i="66"/>
  <c r="BD70" i="66"/>
  <c r="BB70" i="66"/>
  <c r="BA70" i="66"/>
  <c r="AZ70" i="66"/>
  <c r="AY70" i="66"/>
  <c r="AY68" i="66" s="1"/>
  <c r="AX70" i="66"/>
  <c r="AW70" i="66"/>
  <c r="AU70" i="66"/>
  <c r="AT70" i="66"/>
  <c r="AS70" i="66"/>
  <c r="AR70" i="66"/>
  <c r="AI70" i="66"/>
  <c r="AH70" i="66"/>
  <c r="AG70" i="66"/>
  <c r="AG68" i="66" s="1"/>
  <c r="AF70" i="66"/>
  <c r="AD70" i="66"/>
  <c r="AA70" i="66"/>
  <c r="Z70" i="66"/>
  <c r="Y70" i="66"/>
  <c r="X70" i="66"/>
  <c r="W70" i="66"/>
  <c r="S70" i="66"/>
  <c r="R70" i="66"/>
  <c r="Q70" i="66"/>
  <c r="P70" i="66"/>
  <c r="P68" i="66" s="1"/>
  <c r="BE67" i="66" s="1"/>
  <c r="O70" i="66"/>
  <c r="J70" i="66"/>
  <c r="F70" i="66"/>
  <c r="D70" i="66"/>
  <c r="D68" i="66" s="1"/>
  <c r="C70" i="66"/>
  <c r="BI69" i="66"/>
  <c r="BC69" i="66"/>
  <c r="AV69" i="66"/>
  <c r="T69" i="66"/>
  <c r="N69" i="66"/>
  <c r="BV68" i="66"/>
  <c r="BU68" i="66"/>
  <c r="BR68" i="66"/>
  <c r="BQ68" i="66"/>
  <c r="BP68" i="66"/>
  <c r="BN68" i="66"/>
  <c r="BM68" i="66"/>
  <c r="BL68" i="66"/>
  <c r="BJ68" i="66"/>
  <c r="BH68" i="66"/>
  <c r="BF68" i="66"/>
  <c r="BE68" i="66"/>
  <c r="BD68" i="66"/>
  <c r="BB68" i="66"/>
  <c r="BA68" i="66"/>
  <c r="AZ68" i="66"/>
  <c r="AX68" i="66"/>
  <c r="AW68" i="66"/>
  <c r="AU68" i="66"/>
  <c r="AT68" i="66"/>
  <c r="AS68" i="66"/>
  <c r="AR68" i="66"/>
  <c r="AI68" i="66"/>
  <c r="AA68" i="66"/>
  <c r="R68" i="66"/>
  <c r="BG67" i="66" s="1"/>
  <c r="O68" i="66"/>
  <c r="BD67" i="66" s="1"/>
  <c r="C68" i="66"/>
  <c r="BI67" i="66"/>
  <c r="AV67" i="66"/>
  <c r="AJ67" i="66"/>
  <c r="AP67" i="66" s="1"/>
  <c r="BI66" i="66"/>
  <c r="BC66" i="66"/>
  <c r="T66" i="66"/>
  <c r="N66" i="66"/>
  <c r="CB65" i="66"/>
  <c r="BI64" i="66"/>
  <c r="BC64" i="66"/>
  <c r="AV64" i="66"/>
  <c r="BI63" i="66"/>
  <c r="BC63" i="66"/>
  <c r="AV63" i="66"/>
  <c r="T63" i="66"/>
  <c r="AJ63" i="66" s="1"/>
  <c r="N63" i="66"/>
  <c r="G63" i="66"/>
  <c r="BI62" i="66"/>
  <c r="BC62" i="66"/>
  <c r="AV62" i="66"/>
  <c r="T62" i="66"/>
  <c r="G62" i="66"/>
  <c r="BI61" i="66"/>
  <c r="BC61" i="66"/>
  <c r="AV61" i="66"/>
  <c r="T61" i="66"/>
  <c r="G61" i="66"/>
  <c r="BI60" i="66"/>
  <c r="BC60" i="66"/>
  <c r="AV60" i="66"/>
  <c r="T60" i="66"/>
  <c r="N60" i="66"/>
  <c r="G60" i="66"/>
  <c r="BI59" i="66"/>
  <c r="BC59" i="66"/>
  <c r="AV59" i="66"/>
  <c r="T59" i="66"/>
  <c r="G59" i="66"/>
  <c r="BI58" i="66"/>
  <c r="BC58" i="66"/>
  <c r="AV58" i="66"/>
  <c r="N58" i="66"/>
  <c r="BX57" i="66"/>
  <c r="BW57" i="66"/>
  <c r="BV57" i="66"/>
  <c r="BU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B57" i="66"/>
  <c r="BA57" i="66"/>
  <c r="AZ57" i="66"/>
  <c r="AY57" i="66"/>
  <c r="AX57" i="66"/>
  <c r="AW57" i="66"/>
  <c r="AU57" i="66"/>
  <c r="AT57" i="66"/>
  <c r="AS57" i="66"/>
  <c r="AR57" i="66"/>
  <c r="AH57" i="66"/>
  <c r="AG57" i="66"/>
  <c r="AF57" i="66"/>
  <c r="AE57" i="66"/>
  <c r="AD57" i="66"/>
  <c r="P57" i="66"/>
  <c r="O57" i="66"/>
  <c r="L57" i="66"/>
  <c r="D57" i="66"/>
  <c r="AO56" i="66"/>
  <c r="BI55" i="66"/>
  <c r="BC55" i="66"/>
  <c r="AV55" i="66"/>
  <c r="AO55" i="66"/>
  <c r="AJ55" i="66" s="1"/>
  <c r="T55" i="66"/>
  <c r="N55" i="66"/>
  <c r="G55" i="66"/>
  <c r="BI54" i="66"/>
  <c r="BC54" i="66"/>
  <c r="AV54" i="66"/>
  <c r="T54" i="66"/>
  <c r="N54" i="66"/>
  <c r="G54" i="66"/>
  <c r="BI53" i="66"/>
  <c r="BC53" i="66"/>
  <c r="AV53" i="66"/>
  <c r="T53" i="66"/>
  <c r="N53" i="66"/>
  <c r="G53" i="66"/>
  <c r="BI52" i="66"/>
  <c r="BC52" i="66"/>
  <c r="AV52" i="66"/>
  <c r="T52" i="66"/>
  <c r="N52" i="66"/>
  <c r="G52" i="66"/>
  <c r="BI51" i="66"/>
  <c r="BC51" i="66"/>
  <c r="AV51" i="66"/>
  <c r="N51" i="66"/>
  <c r="BI50" i="66"/>
  <c r="BC50" i="66"/>
  <c r="AV50" i="66"/>
  <c r="N50" i="66"/>
  <c r="BI49" i="66"/>
  <c r="BC49" i="66"/>
  <c r="AV49" i="66"/>
  <c r="N49" i="66"/>
  <c r="G49" i="66"/>
  <c r="BI48" i="66"/>
  <c r="BC48" i="66"/>
  <c r="AV48" i="66"/>
  <c r="N48" i="66"/>
  <c r="BI47" i="66"/>
  <c r="BC47" i="66"/>
  <c r="AV47" i="66"/>
  <c r="N47" i="66"/>
  <c r="BV46" i="66"/>
  <c r="BU46" i="66"/>
  <c r="BT46" i="66"/>
  <c r="BQ46" i="66"/>
  <c r="BP46" i="66"/>
  <c r="BO46" i="66"/>
  <c r="BN46" i="66"/>
  <c r="BM46" i="66"/>
  <c r="BL46" i="66"/>
  <c r="BK46" i="66"/>
  <c r="BJ46" i="66"/>
  <c r="BH46" i="66"/>
  <c r="BG46" i="66"/>
  <c r="BF46" i="66"/>
  <c r="BE46" i="66"/>
  <c r="BD46" i="66"/>
  <c r="BB46" i="66"/>
  <c r="BA46" i="66"/>
  <c r="AZ46" i="66"/>
  <c r="AY46" i="66"/>
  <c r="AX46" i="66"/>
  <c r="AW46" i="66"/>
  <c r="AV46" i="66" s="1"/>
  <c r="AU46" i="66"/>
  <c r="AT46" i="66"/>
  <c r="AR46" i="66"/>
  <c r="AH46" i="66"/>
  <c r="AG46" i="66"/>
  <c r="AE46" i="66"/>
  <c r="AA46" i="66"/>
  <c r="Z46" i="66"/>
  <c r="S46" i="66"/>
  <c r="R46" i="66"/>
  <c r="Q46" i="66"/>
  <c r="P46" i="66"/>
  <c r="O46" i="66"/>
  <c r="N46" i="66"/>
  <c r="L46" i="66"/>
  <c r="H46" i="66"/>
  <c r="F46" i="66"/>
  <c r="BI45" i="66"/>
  <c r="AO45" i="66" s="1"/>
  <c r="BC45" i="66"/>
  <c r="AV45" i="66"/>
  <c r="T45" i="66"/>
  <c r="N45" i="66"/>
  <c r="G45" i="66"/>
  <c r="BI44" i="66"/>
  <c r="BC44" i="66"/>
  <c r="AV44" i="66"/>
  <c r="N44" i="66"/>
  <c r="G44" i="66"/>
  <c r="BI43" i="66"/>
  <c r="BC43" i="66"/>
  <c r="AV43" i="66"/>
  <c r="N43" i="66"/>
  <c r="G43" i="66"/>
  <c r="BI42" i="66"/>
  <c r="BC42" i="66"/>
  <c r="AV42" i="66"/>
  <c r="N42" i="66"/>
  <c r="G42" i="66"/>
  <c r="BW41" i="66"/>
  <c r="BV41" i="66"/>
  <c r="BU41" i="66"/>
  <c r="BQ41" i="66"/>
  <c r="BP41" i="66"/>
  <c r="BO41" i="66"/>
  <c r="BN41" i="66"/>
  <c r="BM41" i="66"/>
  <c r="BL41" i="66"/>
  <c r="BK41" i="66"/>
  <c r="BJ41" i="66"/>
  <c r="BH41" i="66"/>
  <c r="BG41" i="66"/>
  <c r="BF41" i="66"/>
  <c r="BE41" i="66"/>
  <c r="BD41" i="66"/>
  <c r="BB41" i="66"/>
  <c r="BA41" i="66"/>
  <c r="AZ41" i="66"/>
  <c r="AY41" i="66"/>
  <c r="AX41" i="66"/>
  <c r="AV41" i="66" s="1"/>
  <c r="AW41" i="66"/>
  <c r="AU41" i="66"/>
  <c r="AT41" i="66"/>
  <c r="AR41" i="66"/>
  <c r="AH41" i="66"/>
  <c r="AG41" i="66"/>
  <c r="AF41" i="66"/>
  <c r="AE41" i="66"/>
  <c r="AD41" i="66"/>
  <c r="AC41" i="66"/>
  <c r="AB41" i="66"/>
  <c r="Y41" i="66"/>
  <c r="X41" i="66"/>
  <c r="W41" i="66"/>
  <c r="V41" i="66"/>
  <c r="U41" i="66"/>
  <c r="S41" i="66"/>
  <c r="R41" i="66"/>
  <c r="Q41" i="66"/>
  <c r="P41" i="66"/>
  <c r="O41" i="66"/>
  <c r="N41" i="66"/>
  <c r="M41" i="66"/>
  <c r="L41" i="66"/>
  <c r="K41" i="66"/>
  <c r="J41" i="66"/>
  <c r="I41" i="66"/>
  <c r="H41" i="66"/>
  <c r="E41" i="66"/>
  <c r="C41" i="66"/>
  <c r="BI40" i="66"/>
  <c r="BC40" i="66"/>
  <c r="AV40" i="66"/>
  <c r="AO40" i="66"/>
  <c r="T40" i="66"/>
  <c r="N40" i="66"/>
  <c r="G40" i="66"/>
  <c r="AJ40" i="66" s="1"/>
  <c r="BI39" i="66"/>
  <c r="BC39" i="66"/>
  <c r="AV39" i="66"/>
  <c r="N39" i="66"/>
  <c r="BI38" i="66"/>
  <c r="BC38" i="66"/>
  <c r="AV38" i="66"/>
  <c r="N38" i="66"/>
  <c r="N37" i="66" s="1"/>
  <c r="BW37" i="66"/>
  <c r="BV37" i="66"/>
  <c r="BU37" i="66"/>
  <c r="BQ37" i="66"/>
  <c r="BP37" i="66"/>
  <c r="BO37" i="66"/>
  <c r="BN37" i="66"/>
  <c r="BM37" i="66"/>
  <c r="BL37" i="66"/>
  <c r="BK37" i="66"/>
  <c r="BJ37" i="66"/>
  <c r="BI37" i="66"/>
  <c r="BH37" i="66"/>
  <c r="BG37" i="66"/>
  <c r="BF37" i="66"/>
  <c r="BE37" i="66"/>
  <c r="BC37" i="66" s="1"/>
  <c r="BD37" i="66"/>
  <c r="BB37" i="66"/>
  <c r="BA37" i="66"/>
  <c r="AZ37" i="66"/>
  <c r="AY37" i="66"/>
  <c r="AX37" i="66"/>
  <c r="AW37" i="66"/>
  <c r="AU37" i="66"/>
  <c r="AT37" i="66"/>
  <c r="AR37" i="66"/>
  <c r="AH37" i="66"/>
  <c r="AG37" i="66"/>
  <c r="AF37" i="66"/>
  <c r="AE37" i="66"/>
  <c r="AD37" i="66"/>
  <c r="AC37" i="66"/>
  <c r="AA37" i="66"/>
  <c r="Z37" i="66"/>
  <c r="S37" i="66"/>
  <c r="R37" i="66"/>
  <c r="Q37" i="66"/>
  <c r="P37" i="66"/>
  <c r="O37" i="66"/>
  <c r="L37" i="66"/>
  <c r="H37" i="66"/>
  <c r="F37" i="66"/>
  <c r="BI36" i="66"/>
  <c r="BC36" i="66"/>
  <c r="AV36" i="66"/>
  <c r="T36" i="66"/>
  <c r="N36" i="66"/>
  <c r="G36" i="66"/>
  <c r="BI35" i="66"/>
  <c r="BC35" i="66"/>
  <c r="AV35" i="66"/>
  <c r="N35" i="66"/>
  <c r="BI34" i="66"/>
  <c r="BC34" i="66"/>
  <c r="AV34" i="66"/>
  <c r="T34" i="66"/>
  <c r="G34" i="66"/>
  <c r="BI33" i="66"/>
  <c r="BC33" i="66"/>
  <c r="AV33" i="66"/>
  <c r="T33" i="66"/>
  <c r="N33" i="66"/>
  <c r="G33" i="66"/>
  <c r="BI32" i="66"/>
  <c r="BC32" i="66"/>
  <c r="AV32" i="66"/>
  <c r="T32" i="66"/>
  <c r="G32" i="66"/>
  <c r="BI31" i="66"/>
  <c r="BC31" i="66"/>
  <c r="AV31" i="66"/>
  <c r="N31" i="66"/>
  <c r="BI30" i="66"/>
  <c r="BC30" i="66"/>
  <c r="AV30" i="66"/>
  <c r="N30" i="66"/>
  <c r="G30" i="66"/>
  <c r="BI29" i="66"/>
  <c r="BC29" i="66"/>
  <c r="AV29" i="66"/>
  <c r="N29" i="66"/>
  <c r="BI28" i="66"/>
  <c r="BC28" i="66"/>
  <c r="AV28" i="66"/>
  <c r="N28" i="66"/>
  <c r="BW27" i="66"/>
  <c r="BV27" i="66"/>
  <c r="BU27" i="66"/>
  <c r="BQ27" i="66"/>
  <c r="BP27" i="66"/>
  <c r="BO27" i="66"/>
  <c r="BN27" i="66"/>
  <c r="BM27" i="66"/>
  <c r="BL27" i="66"/>
  <c r="BK27" i="66"/>
  <c r="BJ27" i="66"/>
  <c r="BI27" i="66" s="1"/>
  <c r="BH27" i="66"/>
  <c r="BG27" i="66"/>
  <c r="BF27" i="66"/>
  <c r="BE27" i="66"/>
  <c r="BD27" i="66"/>
  <c r="BB27" i="66"/>
  <c r="BA27" i="66"/>
  <c r="AZ27" i="66"/>
  <c r="AY27" i="66"/>
  <c r="AX27" i="66"/>
  <c r="AW27" i="66"/>
  <c r="AU27" i="66"/>
  <c r="AT27" i="66"/>
  <c r="AR27" i="66"/>
  <c r="AH27" i="66"/>
  <c r="AG27" i="66"/>
  <c r="AF27" i="66"/>
  <c r="AE27" i="66"/>
  <c r="AD27" i="66"/>
  <c r="AA27" i="66"/>
  <c r="Z27" i="66"/>
  <c r="R27" i="66"/>
  <c r="P27" i="66"/>
  <c r="O27" i="66"/>
  <c r="L27" i="66"/>
  <c r="H27" i="66"/>
  <c r="F27" i="66"/>
  <c r="BI26" i="66"/>
  <c r="BC26" i="66"/>
  <c r="AV26" i="66"/>
  <c r="AO26" i="66" s="1"/>
  <c r="T26" i="66"/>
  <c r="N26" i="66"/>
  <c r="G26" i="66"/>
  <c r="BI25" i="66"/>
  <c r="BC25" i="66"/>
  <c r="AV25" i="66"/>
  <c r="T25" i="66"/>
  <c r="N25" i="66"/>
  <c r="G25" i="66"/>
  <c r="BI24" i="66"/>
  <c r="BC24" i="66"/>
  <c r="AV24" i="66"/>
  <c r="T24" i="66"/>
  <c r="G24" i="66"/>
  <c r="BI23" i="66"/>
  <c r="BC23" i="66"/>
  <c r="AV23" i="66"/>
  <c r="N23" i="66"/>
  <c r="BI22" i="66"/>
  <c r="BC22" i="66"/>
  <c r="AV22" i="66"/>
  <c r="AV19" i="66" s="1"/>
  <c r="N22" i="66"/>
  <c r="G22" i="66"/>
  <c r="BI21" i="66"/>
  <c r="BC21" i="66"/>
  <c r="AV21" i="66"/>
  <c r="N21" i="66"/>
  <c r="BI20" i="66"/>
  <c r="BC20" i="66"/>
  <c r="AV20" i="66"/>
  <c r="N20" i="66"/>
  <c r="BX19" i="66"/>
  <c r="BW19" i="66"/>
  <c r="BV19" i="66"/>
  <c r="BU19" i="66"/>
  <c r="BQ19" i="66"/>
  <c r="BP19" i="66"/>
  <c r="BO19" i="66"/>
  <c r="BN19" i="66"/>
  <c r="BM19" i="66"/>
  <c r="BL19" i="66"/>
  <c r="BK19" i="66"/>
  <c r="BJ19" i="66"/>
  <c r="BH19" i="66"/>
  <c r="BH18" i="66" s="1"/>
  <c r="BG19" i="66"/>
  <c r="BF19" i="66"/>
  <c r="BE19" i="66"/>
  <c r="BD19" i="66"/>
  <c r="BD18" i="66" s="1"/>
  <c r="BB19" i="66"/>
  <c r="BB18" i="66" s="1"/>
  <c r="BA19" i="66"/>
  <c r="AZ19" i="66"/>
  <c r="AZ18" i="66" s="1"/>
  <c r="AY19" i="66"/>
  <c r="AX19" i="66"/>
  <c r="AX18" i="66" s="1"/>
  <c r="AW19" i="66"/>
  <c r="AU19" i="66"/>
  <c r="AT19" i="66"/>
  <c r="AT18" i="66" s="1"/>
  <c r="AS19" i="66"/>
  <c r="AR19" i="66"/>
  <c r="AI19" i="66"/>
  <c r="AI18" i="66" s="1"/>
  <c r="AH19" i="66"/>
  <c r="AG19" i="66"/>
  <c r="AF19" i="66"/>
  <c r="AE19" i="66"/>
  <c r="AE18" i="66" s="1"/>
  <c r="AD19" i="66"/>
  <c r="AA19" i="66"/>
  <c r="Z19" i="66"/>
  <c r="R19" i="66"/>
  <c r="Q19" i="66"/>
  <c r="P19" i="66"/>
  <c r="P18" i="66" s="1"/>
  <c r="O19" i="66"/>
  <c r="O18" i="66" s="1"/>
  <c r="L19" i="66"/>
  <c r="H19" i="66"/>
  <c r="H18" i="66" s="1"/>
  <c r="F19" i="66"/>
  <c r="D19" i="66"/>
  <c r="D18" i="66" s="1"/>
  <c r="BX18" i="66"/>
  <c r="BV18" i="66"/>
  <c r="BU18" i="66"/>
  <c r="BQ18" i="66"/>
  <c r="BO18" i="66"/>
  <c r="BN18" i="66"/>
  <c r="BM18" i="66"/>
  <c r="BK18" i="66"/>
  <c r="BJ18" i="66"/>
  <c r="BG18" i="66"/>
  <c r="BF18" i="66"/>
  <c r="BE18" i="66"/>
  <c r="AY18" i="66"/>
  <c r="AS18" i="66"/>
  <c r="AH18" i="66"/>
  <c r="AG18" i="66"/>
  <c r="R18" i="66"/>
  <c r="L18" i="66"/>
  <c r="BI17" i="66"/>
  <c r="BC17" i="66"/>
  <c r="AV17" i="66"/>
  <c r="T17" i="66"/>
  <c r="N17" i="66"/>
  <c r="G17" i="66"/>
  <c r="BI16" i="66"/>
  <c r="BC16" i="66"/>
  <c r="AV16" i="66"/>
  <c r="T16" i="66"/>
  <c r="G16" i="66"/>
  <c r="BI15" i="66"/>
  <c r="BC15" i="66"/>
  <c r="BC13" i="66" s="1"/>
  <c r="BC11" i="66" s="1"/>
  <c r="AV15" i="66"/>
  <c r="T15" i="66"/>
  <c r="G15" i="66"/>
  <c r="BI14" i="66"/>
  <c r="BI13" i="66" s="1"/>
  <c r="BC14" i="66"/>
  <c r="AV14" i="66"/>
  <c r="T14" i="66"/>
  <c r="T13" i="66" s="1"/>
  <c r="G14" i="66"/>
  <c r="G13" i="66" s="1"/>
  <c r="BX13" i="66"/>
  <c r="BX11" i="66" s="1"/>
  <c r="BX9" i="66" s="1"/>
  <c r="BW13" i="66"/>
  <c r="BV13" i="66"/>
  <c r="BV11" i="66" s="1"/>
  <c r="BU13" i="66"/>
  <c r="BU11" i="66" s="1"/>
  <c r="BU9" i="66" s="1"/>
  <c r="BT13" i="66"/>
  <c r="BT11" i="66" s="1"/>
  <c r="BS13" i="66"/>
  <c r="BQ13" i="66"/>
  <c r="BP13" i="66"/>
  <c r="BP11" i="66" s="1"/>
  <c r="BO13" i="66"/>
  <c r="BO11" i="66" s="1"/>
  <c r="BO9" i="66" s="1"/>
  <c r="BN13" i="66"/>
  <c r="BN11" i="66" s="1"/>
  <c r="BM13" i="66"/>
  <c r="BL13" i="66"/>
  <c r="BK13" i="66"/>
  <c r="BJ13" i="66"/>
  <c r="BJ11" i="66" s="1"/>
  <c r="BJ9" i="66" s="1"/>
  <c r="BH13" i="66"/>
  <c r="BH11" i="66" s="1"/>
  <c r="BG13" i="66"/>
  <c r="BG11" i="66" s="1"/>
  <c r="BF13" i="66"/>
  <c r="BF11" i="66" s="1"/>
  <c r="BE13" i="66"/>
  <c r="BD13" i="66"/>
  <c r="BD11" i="66" s="1"/>
  <c r="BB13" i="66"/>
  <c r="BB11" i="66" s="1"/>
  <c r="BA13" i="66"/>
  <c r="AZ13" i="66"/>
  <c r="AY13" i="66"/>
  <c r="AX13" i="66"/>
  <c r="AX11" i="66" s="1"/>
  <c r="AW13" i="66"/>
  <c r="AU13" i="66"/>
  <c r="AU11" i="66" s="1"/>
  <c r="AT13" i="66"/>
  <c r="AT11" i="66" s="1"/>
  <c r="AS13" i="66"/>
  <c r="AR13" i="66"/>
  <c r="AI13" i="66"/>
  <c r="AH13" i="66"/>
  <c r="AH11" i="66" s="1"/>
  <c r="AG13" i="66"/>
  <c r="AF13" i="66"/>
  <c r="AE13" i="66"/>
  <c r="AE11" i="66" s="1"/>
  <c r="AE9" i="66" s="1"/>
  <c r="AD13" i="66"/>
  <c r="AD11" i="66" s="1"/>
  <c r="AC13" i="66"/>
  <c r="AB13" i="66"/>
  <c r="AA13" i="66"/>
  <c r="AA11" i="66" s="1"/>
  <c r="Z13" i="66"/>
  <c r="Z11" i="66" s="1"/>
  <c r="Y13" i="66"/>
  <c r="X13" i="66"/>
  <c r="W13" i="66"/>
  <c r="W11" i="66" s="1"/>
  <c r="V13" i="66"/>
  <c r="V11" i="66" s="1"/>
  <c r="U13" i="66"/>
  <c r="S13" i="66"/>
  <c r="R13" i="66"/>
  <c r="R11" i="66" s="1"/>
  <c r="Q13" i="66"/>
  <c r="P13" i="66"/>
  <c r="M13" i="66"/>
  <c r="L13" i="66"/>
  <c r="L11" i="66" s="1"/>
  <c r="L9" i="66" s="1"/>
  <c r="K13" i="66"/>
  <c r="J13" i="66"/>
  <c r="I13" i="66"/>
  <c r="H13" i="66"/>
  <c r="H11" i="66" s="1"/>
  <c r="F13" i="66"/>
  <c r="E13" i="66"/>
  <c r="D13" i="66"/>
  <c r="D11" i="66" s="1"/>
  <c r="C13" i="66"/>
  <c r="C11" i="66" s="1"/>
  <c r="BI12" i="66"/>
  <c r="BC12" i="66"/>
  <c r="AV12" i="66"/>
  <c r="T12" i="66"/>
  <c r="G12" i="66"/>
  <c r="BW11" i="66"/>
  <c r="BS11" i="66"/>
  <c r="BQ11" i="66"/>
  <c r="BQ9" i="66" s="1"/>
  <c r="BM11" i="66"/>
  <c r="BL11" i="66"/>
  <c r="BK11" i="66"/>
  <c r="BK9" i="66" s="1"/>
  <c r="BE11" i="66"/>
  <c r="BE9" i="66" s="1"/>
  <c r="BA11" i="66"/>
  <c r="AZ11" i="66"/>
  <c r="AY11" i="66"/>
  <c r="AW11" i="66"/>
  <c r="AS11" i="66"/>
  <c r="AS9" i="66" s="1"/>
  <c r="AR11" i="66"/>
  <c r="AG11" i="66"/>
  <c r="AF11" i="66"/>
  <c r="AC11" i="66"/>
  <c r="AB11" i="66"/>
  <c r="Y11" i="66"/>
  <c r="X11" i="66"/>
  <c r="U11" i="66"/>
  <c r="S11" i="66"/>
  <c r="M11" i="66"/>
  <c r="K11" i="66"/>
  <c r="J11" i="66"/>
  <c r="I11" i="66"/>
  <c r="F11" i="66"/>
  <c r="E11" i="66"/>
  <c r="BI10" i="66"/>
  <c r="BC10" i="66"/>
  <c r="T10" i="66"/>
  <c r="N10" i="66"/>
  <c r="G10" i="66"/>
  <c r="BM9" i="66"/>
  <c r="AG9" i="66"/>
  <c r="BV5" i="66" s="1"/>
  <c r="BI8" i="66"/>
  <c r="AV8" i="66"/>
  <c r="AP8" i="66"/>
  <c r="AJ8" i="66"/>
  <c r="BC7" i="66"/>
  <c r="AV7" i="66"/>
  <c r="BC5" i="66"/>
  <c r="BB5" i="66"/>
  <c r="BA5" i="66"/>
  <c r="AZ5" i="66"/>
  <c r="AY5" i="66"/>
  <c r="AX5" i="66"/>
  <c r="AW5" i="66"/>
  <c r="AV5" i="66" s="1"/>
  <c r="AP5" i="66"/>
  <c r="AJ5" i="66"/>
  <c r="BI4" i="66"/>
  <c r="BC4" i="66"/>
  <c r="AV4" i="66"/>
  <c r="AQ4" i="66"/>
  <c r="BY4" i="66" s="1"/>
  <c r="F13" i="32"/>
  <c r="BT57" i="65"/>
  <c r="BT41" i="65"/>
  <c r="BT37" i="65"/>
  <c r="BT27" i="65"/>
  <c r="BT19" i="65"/>
  <c r="BT65" i="65"/>
  <c r="AJ65" i="65" s="1"/>
  <c r="AY65" i="65"/>
  <c r="AV65" i="65"/>
  <c r="AZ65" i="65" s="1"/>
  <c r="D65" i="65"/>
  <c r="BZ117" i="65"/>
  <c r="BZ112" i="65"/>
  <c r="BZ101" i="65"/>
  <c r="BZ90" i="65"/>
  <c r="BZ89" i="65" s="1"/>
  <c r="BI88" i="65"/>
  <c r="BC88" i="65"/>
  <c r="AV88" i="65"/>
  <c r="BI87" i="65"/>
  <c r="BC87" i="65"/>
  <c r="AV87" i="65"/>
  <c r="BI86" i="65"/>
  <c r="BC86" i="65"/>
  <c r="AV86" i="65"/>
  <c r="BI85" i="65"/>
  <c r="BC85" i="65"/>
  <c r="AV85" i="65"/>
  <c r="AV84" i="65" s="1"/>
  <c r="BX84" i="65"/>
  <c r="BV84" i="65"/>
  <c r="BU84" i="65"/>
  <c r="BS84" i="65"/>
  <c r="BR84" i="65"/>
  <c r="BQ84" i="65"/>
  <c r="BP84" i="65"/>
  <c r="BO84" i="65"/>
  <c r="BN84" i="65"/>
  <c r="BM84" i="65"/>
  <c r="BL84" i="65"/>
  <c r="BK84" i="65"/>
  <c r="BJ84" i="65"/>
  <c r="BH84" i="65"/>
  <c r="BG84" i="65"/>
  <c r="BF84" i="65"/>
  <c r="BE84" i="65"/>
  <c r="BD84" i="65"/>
  <c r="BB84" i="65"/>
  <c r="BA84" i="65"/>
  <c r="AZ84" i="65"/>
  <c r="AY84" i="65"/>
  <c r="AX84" i="65"/>
  <c r="AX68" i="65" s="1"/>
  <c r="AW84" i="65"/>
  <c r="AU84" i="65"/>
  <c r="AT84" i="65"/>
  <c r="AS84" i="65"/>
  <c r="AR84" i="65"/>
  <c r="AI84" i="65"/>
  <c r="AG84" i="65"/>
  <c r="AF84" i="65"/>
  <c r="AE84" i="65"/>
  <c r="AA84" i="65"/>
  <c r="Z84" i="65"/>
  <c r="R84" i="65"/>
  <c r="P84" i="65"/>
  <c r="O84" i="65"/>
  <c r="L84" i="65"/>
  <c r="D84" i="65"/>
  <c r="C84" i="65"/>
  <c r="BI83" i="65"/>
  <c r="BC83" i="65"/>
  <c r="AV83" i="65"/>
  <c r="BI82" i="65"/>
  <c r="BC82" i="65"/>
  <c r="AV82" i="65"/>
  <c r="BI81" i="65"/>
  <c r="BC81" i="65"/>
  <c r="AV81" i="65"/>
  <c r="BI80" i="65"/>
  <c r="BC80" i="65"/>
  <c r="AV80" i="65"/>
  <c r="AH80" i="65"/>
  <c r="AG80" i="65"/>
  <c r="AF80" i="65"/>
  <c r="AE80" i="65"/>
  <c r="AB80" i="65"/>
  <c r="AA80" i="65"/>
  <c r="Z80" i="65"/>
  <c r="V80" i="65"/>
  <c r="U80" i="65"/>
  <c r="R80" i="65"/>
  <c r="R68" i="65" s="1"/>
  <c r="BG67" i="65" s="1"/>
  <c r="P80" i="65"/>
  <c r="O80" i="65"/>
  <c r="M80" i="65"/>
  <c r="L80" i="65"/>
  <c r="K80" i="65"/>
  <c r="I80" i="65"/>
  <c r="F80" i="65"/>
  <c r="C80" i="65"/>
  <c r="C68" i="65" s="1"/>
  <c r="BI79" i="65"/>
  <c r="BC79" i="65"/>
  <c r="AV79" i="65"/>
  <c r="BI78" i="65"/>
  <c r="BC78" i="65"/>
  <c r="AV78" i="65"/>
  <c r="N78" i="65"/>
  <c r="BI77" i="65"/>
  <c r="BC77" i="65"/>
  <c r="AV77" i="65"/>
  <c r="N77" i="65"/>
  <c r="BI76" i="65"/>
  <c r="BC76" i="65"/>
  <c r="AV76" i="65"/>
  <c r="N76" i="65"/>
  <c r="BI75" i="65"/>
  <c r="BC75" i="65"/>
  <c r="AV75" i="65"/>
  <c r="N75" i="65"/>
  <c r="BI74" i="65"/>
  <c r="BC74" i="65"/>
  <c r="AV74" i="65"/>
  <c r="N74" i="65"/>
  <c r="BI73" i="65"/>
  <c r="BC73" i="65"/>
  <c r="AV73" i="65"/>
  <c r="N73" i="65"/>
  <c r="BI72" i="65"/>
  <c r="BC72" i="65"/>
  <c r="AV72" i="65"/>
  <c r="T72" i="65"/>
  <c r="N72" i="65"/>
  <c r="BI71" i="65"/>
  <c r="BI70" i="65" s="1"/>
  <c r="BC71" i="65"/>
  <c r="AV71" i="65"/>
  <c r="AV70" i="65" s="1"/>
  <c r="N71" i="65"/>
  <c r="BX70" i="65"/>
  <c r="BX68" i="65" s="1"/>
  <c r="BV70" i="65"/>
  <c r="BU70" i="65"/>
  <c r="BT70" i="65"/>
  <c r="BT68" i="65" s="1"/>
  <c r="BS70" i="65"/>
  <c r="BS68" i="65" s="1"/>
  <c r="BR70" i="65"/>
  <c r="BQ70" i="65"/>
  <c r="BQ68" i="65" s="1"/>
  <c r="BP70" i="65"/>
  <c r="BO70" i="65"/>
  <c r="BN70" i="65"/>
  <c r="BM70" i="65"/>
  <c r="BM68" i="65" s="1"/>
  <c r="BL70" i="65"/>
  <c r="BL68" i="65" s="1"/>
  <c r="BK70" i="65"/>
  <c r="BJ70" i="65"/>
  <c r="BH70" i="65"/>
  <c r="BH68" i="65" s="1"/>
  <c r="BG70" i="65"/>
  <c r="BG68" i="65" s="1"/>
  <c r="BF70" i="65"/>
  <c r="BE70" i="65"/>
  <c r="BE68" i="65" s="1"/>
  <c r="BD70" i="65"/>
  <c r="BD68" i="65" s="1"/>
  <c r="BB70" i="65"/>
  <c r="BB68" i="65" s="1"/>
  <c r="BA70" i="65"/>
  <c r="AZ70" i="65"/>
  <c r="AY70" i="65"/>
  <c r="AX70" i="65"/>
  <c r="AW70" i="65"/>
  <c r="AU70" i="65"/>
  <c r="AT70" i="65"/>
  <c r="AT68" i="65" s="1"/>
  <c r="AS70" i="65"/>
  <c r="AS68" i="65" s="1"/>
  <c r="AR70" i="65"/>
  <c r="AI70" i="65"/>
  <c r="AH70" i="65"/>
  <c r="AG70" i="65"/>
  <c r="AF70" i="65"/>
  <c r="AD70" i="65"/>
  <c r="AA70" i="65"/>
  <c r="AA68" i="65" s="1"/>
  <c r="Z70" i="65"/>
  <c r="Y70" i="65"/>
  <c r="X70" i="65"/>
  <c r="W70" i="65"/>
  <c r="S70" i="65"/>
  <c r="R70" i="65"/>
  <c r="Q70" i="65"/>
  <c r="P70" i="65"/>
  <c r="P68" i="65" s="1"/>
  <c r="BE67" i="65" s="1"/>
  <c r="O70" i="65"/>
  <c r="O68" i="65" s="1"/>
  <c r="BD67" i="65" s="1"/>
  <c r="J70" i="65"/>
  <c r="F70" i="65"/>
  <c r="D70" i="65"/>
  <c r="C70" i="65"/>
  <c r="BI69" i="65"/>
  <c r="BC69" i="65"/>
  <c r="AV69" i="65"/>
  <c r="T69" i="65"/>
  <c r="N69" i="65"/>
  <c r="BV68" i="65"/>
  <c r="BR68" i="65"/>
  <c r="BP68" i="65"/>
  <c r="BO68" i="65"/>
  <c r="BN68" i="65"/>
  <c r="BK68" i="65"/>
  <c r="BJ68" i="65"/>
  <c r="BF68" i="65"/>
  <c r="AZ68" i="65"/>
  <c r="AY68" i="65"/>
  <c r="AU68" i="65"/>
  <c r="AR68" i="65"/>
  <c r="AI68" i="65"/>
  <c r="AF68" i="65"/>
  <c r="Z68" i="65"/>
  <c r="D68" i="65"/>
  <c r="BI67" i="65"/>
  <c r="AV67" i="65"/>
  <c r="AJ67" i="65"/>
  <c r="AP67" i="65" s="1"/>
  <c r="BI66" i="65"/>
  <c r="BC66" i="65"/>
  <c r="T66" i="65"/>
  <c r="N66" i="65"/>
  <c r="CB65" i="65"/>
  <c r="BI64" i="65"/>
  <c r="BC64" i="65"/>
  <c r="AV64" i="65"/>
  <c r="BI63" i="65"/>
  <c r="BC63" i="65"/>
  <c r="AV63" i="65"/>
  <c r="T63" i="65"/>
  <c r="N63" i="65"/>
  <c r="G63" i="65"/>
  <c r="BI62" i="65"/>
  <c r="BC62" i="65"/>
  <c r="AV62" i="65"/>
  <c r="T62" i="65"/>
  <c r="G62" i="65"/>
  <c r="BI61" i="65"/>
  <c r="BC61" i="65"/>
  <c r="AV61" i="65"/>
  <c r="T61" i="65"/>
  <c r="G61" i="65"/>
  <c r="BI60" i="65"/>
  <c r="BC60" i="65"/>
  <c r="AV60" i="65"/>
  <c r="T60" i="65"/>
  <c r="N60" i="65"/>
  <c r="G60" i="65"/>
  <c r="BI59" i="65"/>
  <c r="BC59" i="65"/>
  <c r="AV59" i="65"/>
  <c r="T59" i="65"/>
  <c r="G59" i="65"/>
  <c r="BI58" i="65"/>
  <c r="BC58" i="65"/>
  <c r="AV58" i="65"/>
  <c r="AV57" i="65" s="1"/>
  <c r="N58" i="65"/>
  <c r="BX57" i="65"/>
  <c r="BW57" i="65"/>
  <c r="BV57" i="65"/>
  <c r="BU57" i="65"/>
  <c r="BQ57" i="65"/>
  <c r="BP57" i="65"/>
  <c r="BO57" i="65"/>
  <c r="BN57" i="65"/>
  <c r="BM57" i="65"/>
  <c r="BL57" i="65"/>
  <c r="BK57" i="65"/>
  <c r="BJ57" i="65"/>
  <c r="BH57" i="65"/>
  <c r="BG57" i="65"/>
  <c r="BF57" i="65"/>
  <c r="BE57" i="65"/>
  <c r="BD57" i="65"/>
  <c r="BB57" i="65"/>
  <c r="BA57" i="65"/>
  <c r="AZ57" i="65"/>
  <c r="AY57" i="65"/>
  <c r="AX57" i="65"/>
  <c r="AW57" i="65"/>
  <c r="AU57" i="65"/>
  <c r="AT57" i="65"/>
  <c r="AS57" i="65"/>
  <c r="AR57" i="65"/>
  <c r="AH57" i="65"/>
  <c r="AG57" i="65"/>
  <c r="AF57" i="65"/>
  <c r="AE57" i="65"/>
  <c r="AD57" i="65"/>
  <c r="P57" i="65"/>
  <c r="O57" i="65"/>
  <c r="L57" i="65"/>
  <c r="D57" i="65"/>
  <c r="AO56" i="65"/>
  <c r="BI55" i="65"/>
  <c r="BC55" i="65"/>
  <c r="AO55" i="65" s="1"/>
  <c r="AJ55" i="65" s="1"/>
  <c r="AV55" i="65"/>
  <c r="T55" i="65"/>
  <c r="N55" i="65"/>
  <c r="G55" i="65"/>
  <c r="BI54" i="65"/>
  <c r="BC54" i="65"/>
  <c r="AV54" i="65"/>
  <c r="T54" i="65"/>
  <c r="N54" i="65"/>
  <c r="G54" i="65"/>
  <c r="BI53" i="65"/>
  <c r="BC53" i="65"/>
  <c r="AV53" i="65"/>
  <c r="T53" i="65"/>
  <c r="N53" i="65"/>
  <c r="G53" i="65"/>
  <c r="BI52" i="65"/>
  <c r="BC52" i="65"/>
  <c r="AV52" i="65"/>
  <c r="T52" i="65"/>
  <c r="N52" i="65"/>
  <c r="G52" i="65"/>
  <c r="BI51" i="65"/>
  <c r="BC51" i="65"/>
  <c r="AV51" i="65"/>
  <c r="N51" i="65"/>
  <c r="BI50" i="65"/>
  <c r="BC50" i="65"/>
  <c r="AV50" i="65"/>
  <c r="N50" i="65"/>
  <c r="BI49" i="65"/>
  <c r="BC49" i="65"/>
  <c r="AV49" i="65"/>
  <c r="N49" i="65"/>
  <c r="N46" i="65" s="1"/>
  <c r="G49" i="65"/>
  <c r="BI48" i="65"/>
  <c r="BC48" i="65"/>
  <c r="AV48" i="65"/>
  <c r="N48" i="65"/>
  <c r="BI47" i="65"/>
  <c r="BC47" i="65"/>
  <c r="AV47" i="65"/>
  <c r="N47" i="65"/>
  <c r="BV46" i="65"/>
  <c r="BU46" i="65"/>
  <c r="BT46" i="65"/>
  <c r="BQ46" i="65"/>
  <c r="BP46" i="65"/>
  <c r="BO46" i="65"/>
  <c r="BN46" i="65"/>
  <c r="BM46" i="65"/>
  <c r="BL46" i="65"/>
  <c r="BK46" i="65"/>
  <c r="BJ46" i="65"/>
  <c r="BH46" i="65"/>
  <c r="BG46" i="65"/>
  <c r="BF46" i="65"/>
  <c r="BE46" i="65"/>
  <c r="BD46" i="65"/>
  <c r="BB46" i="65"/>
  <c r="BA46" i="65"/>
  <c r="AZ46" i="65"/>
  <c r="AY46" i="65"/>
  <c r="AX46" i="65"/>
  <c r="AW46" i="65"/>
  <c r="AU46" i="65"/>
  <c r="AT46" i="65"/>
  <c r="AR46" i="65"/>
  <c r="AH46" i="65"/>
  <c r="AG46" i="65"/>
  <c r="AE46" i="65"/>
  <c r="AA46" i="65"/>
  <c r="Z46" i="65"/>
  <c r="S46" i="65"/>
  <c r="R46" i="65"/>
  <c r="Q46" i="65"/>
  <c r="P46" i="65"/>
  <c r="O46" i="65"/>
  <c r="L46" i="65"/>
  <c r="H46" i="65"/>
  <c r="F46" i="65"/>
  <c r="BI45" i="65"/>
  <c r="BC45" i="65"/>
  <c r="AV45" i="65"/>
  <c r="T45" i="65"/>
  <c r="AJ45" i="65" s="1"/>
  <c r="AP45" i="65" s="1"/>
  <c r="N45" i="65"/>
  <c r="G45" i="65"/>
  <c r="BI44" i="65"/>
  <c r="BC44" i="65"/>
  <c r="AV44" i="65"/>
  <c r="N44" i="65"/>
  <c r="G44" i="65"/>
  <c r="BI43" i="65"/>
  <c r="BC43" i="65"/>
  <c r="AV43" i="65"/>
  <c r="N43" i="65"/>
  <c r="G43" i="65"/>
  <c r="BI42" i="65"/>
  <c r="BC42" i="65"/>
  <c r="AV42" i="65"/>
  <c r="N42" i="65"/>
  <c r="G42" i="65"/>
  <c r="BW41" i="65"/>
  <c r="BV41" i="65"/>
  <c r="BU41" i="65"/>
  <c r="BQ41" i="65"/>
  <c r="BP41" i="65"/>
  <c r="BO41" i="65"/>
  <c r="BN41" i="65"/>
  <c r="BM41" i="65"/>
  <c r="BL41" i="65"/>
  <c r="BK41" i="65"/>
  <c r="BJ41" i="65"/>
  <c r="BI41" i="65" s="1"/>
  <c r="BH41" i="65"/>
  <c r="BG41" i="65"/>
  <c r="BF41" i="65"/>
  <c r="BE41" i="65"/>
  <c r="BD41" i="65"/>
  <c r="BB41" i="65"/>
  <c r="BA41" i="65"/>
  <c r="AZ41" i="65"/>
  <c r="AY41" i="65"/>
  <c r="AX41" i="65"/>
  <c r="AW41" i="65"/>
  <c r="AV41" i="65" s="1"/>
  <c r="AU41" i="65"/>
  <c r="AT41" i="65"/>
  <c r="AR41" i="65"/>
  <c r="AH41" i="65"/>
  <c r="AG41" i="65"/>
  <c r="AF41" i="65"/>
  <c r="AE41" i="65"/>
  <c r="AD41" i="65"/>
  <c r="AC41" i="65"/>
  <c r="AB41" i="65"/>
  <c r="Y41" i="65"/>
  <c r="X41" i="65"/>
  <c r="W41" i="65"/>
  <c r="V41" i="65"/>
  <c r="U41" i="65"/>
  <c r="S41" i="65"/>
  <c r="R41" i="65"/>
  <c r="Q41" i="65"/>
  <c r="P41" i="65"/>
  <c r="O41" i="65"/>
  <c r="M41" i="65"/>
  <c r="L41" i="65"/>
  <c r="K41" i="65"/>
  <c r="J41" i="65"/>
  <c r="I41" i="65"/>
  <c r="H41" i="65"/>
  <c r="E41" i="65"/>
  <c r="C41" i="65"/>
  <c r="BI40" i="65"/>
  <c r="BC40" i="65"/>
  <c r="AV40" i="65"/>
  <c r="T40" i="65"/>
  <c r="N40" i="65"/>
  <c r="G40" i="65"/>
  <c r="BI39" i="65"/>
  <c r="BC39" i="65"/>
  <c r="AV39" i="65"/>
  <c r="N39" i="65"/>
  <c r="BI38" i="65"/>
  <c r="BC38" i="65"/>
  <c r="AV38" i="65"/>
  <c r="N38" i="65"/>
  <c r="BW37" i="65"/>
  <c r="BV37" i="65"/>
  <c r="BU37" i="65"/>
  <c r="BQ37" i="65"/>
  <c r="BP37" i="65"/>
  <c r="BO37" i="65"/>
  <c r="BN37" i="65"/>
  <c r="BM37" i="65"/>
  <c r="BL37" i="65"/>
  <c r="BK37" i="65"/>
  <c r="BI37" i="65" s="1"/>
  <c r="BJ37" i="65"/>
  <c r="BH37" i="65"/>
  <c r="BG37" i="65"/>
  <c r="BF37" i="65"/>
  <c r="BE37" i="65"/>
  <c r="BD37" i="65"/>
  <c r="BC37" i="65" s="1"/>
  <c r="BB37" i="65"/>
  <c r="BA37" i="65"/>
  <c r="AZ37" i="65"/>
  <c r="AY37" i="65"/>
  <c r="AX37" i="65"/>
  <c r="AW37" i="65"/>
  <c r="AU37" i="65"/>
  <c r="AT37" i="65"/>
  <c r="AR37" i="65"/>
  <c r="AH37" i="65"/>
  <c r="AG37" i="65"/>
  <c r="AF37" i="65"/>
  <c r="AE37" i="65"/>
  <c r="AD37" i="65"/>
  <c r="AC37" i="65"/>
  <c r="AA37" i="65"/>
  <c r="Z37" i="65"/>
  <c r="S37" i="65"/>
  <c r="R37" i="65"/>
  <c r="Q37" i="65"/>
  <c r="P37" i="65"/>
  <c r="O37" i="65"/>
  <c r="L37" i="65"/>
  <c r="H37" i="65"/>
  <c r="F37" i="65"/>
  <c r="BI36" i="65"/>
  <c r="BC36" i="65"/>
  <c r="AV36" i="65"/>
  <c r="AO36" i="65"/>
  <c r="T36" i="65"/>
  <c r="N36" i="65"/>
  <c r="G36" i="65"/>
  <c r="BI35" i="65"/>
  <c r="BC35" i="65"/>
  <c r="AV35" i="65"/>
  <c r="N35" i="65"/>
  <c r="BI34" i="65"/>
  <c r="BC34" i="65"/>
  <c r="AV34" i="65"/>
  <c r="T34" i="65"/>
  <c r="G34" i="65"/>
  <c r="BI33" i="65"/>
  <c r="BC33" i="65"/>
  <c r="AV33" i="65"/>
  <c r="T33" i="65"/>
  <c r="N33" i="65"/>
  <c r="G33" i="65"/>
  <c r="BI32" i="65"/>
  <c r="BC32" i="65"/>
  <c r="AV32" i="65"/>
  <c r="T32" i="65"/>
  <c r="G32" i="65"/>
  <c r="BI31" i="65"/>
  <c r="BC31" i="65"/>
  <c r="AV31" i="65"/>
  <c r="N31" i="65"/>
  <c r="BI30" i="65"/>
  <c r="BC30" i="65"/>
  <c r="AV30" i="65"/>
  <c r="N30" i="65"/>
  <c r="G30" i="65"/>
  <c r="BI29" i="65"/>
  <c r="BC29" i="65"/>
  <c r="AV29" i="65"/>
  <c r="N29" i="65"/>
  <c r="BI28" i="65"/>
  <c r="BC28" i="65"/>
  <c r="AV28" i="65"/>
  <c r="N28" i="65"/>
  <c r="BW27" i="65"/>
  <c r="BV27" i="65"/>
  <c r="BU27" i="65"/>
  <c r="BQ27" i="65"/>
  <c r="BP27" i="65"/>
  <c r="BO27" i="65"/>
  <c r="BN27" i="65"/>
  <c r="BM27" i="65"/>
  <c r="BL27" i="65"/>
  <c r="BK27" i="65"/>
  <c r="BJ27" i="65"/>
  <c r="BH27" i="65"/>
  <c r="BH18" i="65" s="1"/>
  <c r="BG27" i="65"/>
  <c r="BF27" i="65"/>
  <c r="BE27" i="65"/>
  <c r="BD27" i="65"/>
  <c r="BB27" i="65"/>
  <c r="BA27" i="65"/>
  <c r="AZ27" i="65"/>
  <c r="AY27" i="65"/>
  <c r="AX27" i="65"/>
  <c r="AV27" i="65" s="1"/>
  <c r="AW27" i="65"/>
  <c r="AU27" i="65"/>
  <c r="AU18" i="65" s="1"/>
  <c r="AT27" i="65"/>
  <c r="AR27" i="65"/>
  <c r="AH27" i="65"/>
  <c r="AG27" i="65"/>
  <c r="AF27" i="65"/>
  <c r="AE27" i="65"/>
  <c r="AD27" i="65"/>
  <c r="AA27" i="65"/>
  <c r="Z27" i="65"/>
  <c r="R27" i="65"/>
  <c r="P27" i="65"/>
  <c r="O27" i="65"/>
  <c r="L27" i="65"/>
  <c r="H27" i="65"/>
  <c r="F27" i="65"/>
  <c r="BI26" i="65"/>
  <c r="BC26" i="65"/>
  <c r="AV26" i="65"/>
  <c r="T26" i="65"/>
  <c r="N26" i="65"/>
  <c r="G26" i="65"/>
  <c r="BI25" i="65"/>
  <c r="BC25" i="65"/>
  <c r="AV25" i="65"/>
  <c r="T25" i="65"/>
  <c r="N25" i="65"/>
  <c r="G25" i="65"/>
  <c r="BI24" i="65"/>
  <c r="BC24" i="65"/>
  <c r="AV24" i="65"/>
  <c r="T24" i="65"/>
  <c r="G24" i="65"/>
  <c r="BI23" i="65"/>
  <c r="BC23" i="65"/>
  <c r="AV23" i="65"/>
  <c r="N23" i="65"/>
  <c r="BI22" i="65"/>
  <c r="BI19" i="65" s="1"/>
  <c r="BC22" i="65"/>
  <c r="AV22" i="65"/>
  <c r="N22" i="65"/>
  <c r="G22" i="65"/>
  <c r="BI21" i="65"/>
  <c r="BC21" i="65"/>
  <c r="AV21" i="65"/>
  <c r="N21" i="65"/>
  <c r="BI20" i="65"/>
  <c r="BC20" i="65"/>
  <c r="AV20" i="65"/>
  <c r="N20" i="65"/>
  <c r="BX19" i="65"/>
  <c r="BW19" i="65"/>
  <c r="BV19" i="65"/>
  <c r="BU19" i="65"/>
  <c r="BQ19" i="65"/>
  <c r="BP19" i="65"/>
  <c r="BO19" i="65"/>
  <c r="BO18" i="65" s="1"/>
  <c r="BN19" i="65"/>
  <c r="BM19" i="65"/>
  <c r="BL19" i="65"/>
  <c r="BK19" i="65"/>
  <c r="BK18" i="65" s="1"/>
  <c r="BK9" i="65" s="1"/>
  <c r="BJ19" i="65"/>
  <c r="BH19" i="65"/>
  <c r="BG19" i="65"/>
  <c r="BG18" i="65" s="1"/>
  <c r="BF19" i="65"/>
  <c r="BE19" i="65"/>
  <c r="BD19" i="65"/>
  <c r="BC19" i="65"/>
  <c r="BB19" i="65"/>
  <c r="BA19" i="65"/>
  <c r="AZ19" i="65"/>
  <c r="AY19" i="65"/>
  <c r="AY18" i="65" s="1"/>
  <c r="AX19" i="65"/>
  <c r="AW19" i="65"/>
  <c r="AU19" i="65"/>
  <c r="AT19" i="65"/>
  <c r="AS19" i="65"/>
  <c r="AS18" i="65" s="1"/>
  <c r="AR19" i="65"/>
  <c r="AI19" i="65"/>
  <c r="AI18" i="65" s="1"/>
  <c r="AH19" i="65"/>
  <c r="AH18" i="65" s="1"/>
  <c r="AH9" i="65" s="1"/>
  <c r="AG19" i="65"/>
  <c r="AF19" i="65"/>
  <c r="AE19" i="65"/>
  <c r="AD19" i="65"/>
  <c r="AA19" i="65"/>
  <c r="Z19" i="65"/>
  <c r="R19" i="65"/>
  <c r="Q19" i="65"/>
  <c r="P19" i="65"/>
  <c r="P18" i="65" s="1"/>
  <c r="O19" i="65"/>
  <c r="L19" i="65"/>
  <c r="H19" i="65"/>
  <c r="H18" i="65" s="1"/>
  <c r="F19" i="65"/>
  <c r="D19" i="65"/>
  <c r="BX18" i="65"/>
  <c r="BU18" i="65"/>
  <c r="AR18" i="65"/>
  <c r="R18" i="65"/>
  <c r="L18" i="65"/>
  <c r="D18" i="65"/>
  <c r="BI17" i="65"/>
  <c r="BC17" i="65"/>
  <c r="AV17" i="65"/>
  <c r="T17" i="65"/>
  <c r="N17" i="65"/>
  <c r="G17" i="65"/>
  <c r="BI16" i="65"/>
  <c r="BC16" i="65"/>
  <c r="AV16" i="65"/>
  <c r="T16" i="65"/>
  <c r="G16" i="65"/>
  <c r="BI15" i="65"/>
  <c r="BC15" i="65"/>
  <c r="AV15" i="65"/>
  <c r="T15" i="65"/>
  <c r="G15" i="65"/>
  <c r="BI14" i="65"/>
  <c r="BI13" i="65" s="1"/>
  <c r="BC14" i="65"/>
  <c r="BC13" i="65" s="1"/>
  <c r="BC11" i="65" s="1"/>
  <c r="AV14" i="65"/>
  <c r="T14" i="65"/>
  <c r="G14" i="65"/>
  <c r="BX13" i="65"/>
  <c r="BX11" i="65" s="1"/>
  <c r="BX9" i="65" s="1"/>
  <c r="BW13" i="65"/>
  <c r="BV13" i="65"/>
  <c r="BU13" i="65"/>
  <c r="BT13" i="65"/>
  <c r="BT11" i="65" s="1"/>
  <c r="BS13" i="65"/>
  <c r="BQ13" i="65"/>
  <c r="BP13" i="65"/>
  <c r="BO13" i="65"/>
  <c r="BO11" i="65" s="1"/>
  <c r="BN13" i="65"/>
  <c r="BM13" i="65"/>
  <c r="BL13" i="65"/>
  <c r="BK13" i="65"/>
  <c r="BK11" i="65" s="1"/>
  <c r="BJ13" i="65"/>
  <c r="BH13" i="65"/>
  <c r="BG13" i="65"/>
  <c r="BG11" i="65" s="1"/>
  <c r="BF13" i="65"/>
  <c r="BE13" i="65"/>
  <c r="BD13" i="65"/>
  <c r="BB13" i="65"/>
  <c r="BB11" i="65" s="1"/>
  <c r="BA13" i="65"/>
  <c r="AZ13" i="65"/>
  <c r="AY13" i="65"/>
  <c r="AY11" i="65" s="1"/>
  <c r="AX13" i="65"/>
  <c r="AX11" i="65" s="1"/>
  <c r="AW13" i="65"/>
  <c r="AU13" i="65"/>
  <c r="AT13" i="65"/>
  <c r="AS13" i="65"/>
  <c r="AS11" i="65" s="1"/>
  <c r="AS9" i="65" s="1"/>
  <c r="AR13" i="65"/>
  <c r="AI13" i="65"/>
  <c r="AH13" i="65"/>
  <c r="AG13" i="65"/>
  <c r="AF13" i="65"/>
  <c r="AE13" i="65"/>
  <c r="AD13" i="65"/>
  <c r="AC13" i="65"/>
  <c r="AB13" i="65"/>
  <c r="AA13" i="65"/>
  <c r="Z13" i="65"/>
  <c r="Y13" i="65"/>
  <c r="X13" i="65"/>
  <c r="W13" i="65"/>
  <c r="V13" i="65"/>
  <c r="U13" i="65"/>
  <c r="S13" i="65"/>
  <c r="R13" i="65"/>
  <c r="Q13" i="65"/>
  <c r="P13" i="65"/>
  <c r="M13" i="65"/>
  <c r="L13" i="65"/>
  <c r="K13" i="65"/>
  <c r="J13" i="65"/>
  <c r="J11" i="65" s="1"/>
  <c r="I13" i="65"/>
  <c r="H13" i="65"/>
  <c r="G13" i="65"/>
  <c r="F13" i="65"/>
  <c r="F11" i="65" s="1"/>
  <c r="E13" i="65"/>
  <c r="D13" i="65"/>
  <c r="C13" i="65"/>
  <c r="BI12" i="65"/>
  <c r="BI11" i="65" s="1"/>
  <c r="BC12" i="65"/>
  <c r="AV12" i="65"/>
  <c r="T12" i="65"/>
  <c r="G12" i="65"/>
  <c r="G11" i="65" s="1"/>
  <c r="BW11" i="65"/>
  <c r="BV11" i="65"/>
  <c r="BU11" i="65"/>
  <c r="BU9" i="65" s="1"/>
  <c r="BS11" i="65"/>
  <c r="BQ11" i="65"/>
  <c r="BP11" i="65"/>
  <c r="BN11" i="65"/>
  <c r="BM11" i="65"/>
  <c r="BL11" i="65"/>
  <c r="BJ11" i="65"/>
  <c r="BH11" i="65"/>
  <c r="BF11" i="65"/>
  <c r="BE11" i="65"/>
  <c r="BD11" i="65"/>
  <c r="BA11" i="65"/>
  <c r="AZ11" i="65"/>
  <c r="AW11" i="65"/>
  <c r="AT11" i="65"/>
  <c r="AR11" i="65"/>
  <c r="AH11" i="65"/>
  <c r="AG11" i="65"/>
  <c r="AF11" i="65"/>
  <c r="AE11" i="65"/>
  <c r="AD11" i="65"/>
  <c r="AC11" i="65"/>
  <c r="AB11" i="65"/>
  <c r="AA11" i="65"/>
  <c r="Z11" i="65"/>
  <c r="Y11" i="65"/>
  <c r="X11" i="65"/>
  <c r="W11" i="65"/>
  <c r="V11" i="65"/>
  <c r="U11" i="65"/>
  <c r="S11" i="65"/>
  <c r="R11" i="65"/>
  <c r="M11" i="65"/>
  <c r="L11" i="65"/>
  <c r="L9" i="65" s="1"/>
  <c r="K11" i="65"/>
  <c r="I11" i="65"/>
  <c r="H11" i="65"/>
  <c r="E11" i="65"/>
  <c r="D11" i="65"/>
  <c r="C11" i="65"/>
  <c r="BI10" i="65"/>
  <c r="BC10" i="65"/>
  <c r="T10" i="65"/>
  <c r="N10" i="65"/>
  <c r="G10" i="65"/>
  <c r="BI8" i="65"/>
  <c r="AV8" i="65"/>
  <c r="AP8" i="65"/>
  <c r="AJ8" i="65"/>
  <c r="BC7" i="65"/>
  <c r="AV7" i="65"/>
  <c r="BC5" i="65"/>
  <c r="BB5" i="65"/>
  <c r="BA5" i="65"/>
  <c r="AZ5" i="65"/>
  <c r="AV5" i="65" s="1"/>
  <c r="AY5" i="65"/>
  <c r="AX5" i="65"/>
  <c r="AW5" i="65"/>
  <c r="AJ5" i="65"/>
  <c r="AP5" i="65" s="1"/>
  <c r="BI4" i="65"/>
  <c r="BC4" i="65"/>
  <c r="AV4" i="65"/>
  <c r="AQ4" i="65"/>
  <c r="BY4" i="65" s="1"/>
  <c r="BP9" i="66" l="1"/>
  <c r="BA18" i="66"/>
  <c r="BC41" i="66"/>
  <c r="U65" i="66"/>
  <c r="Z65" i="66"/>
  <c r="BO9" i="65"/>
  <c r="AV68" i="65"/>
  <c r="BH9" i="65"/>
  <c r="BG9" i="65"/>
  <c r="AE18" i="65"/>
  <c r="AZ18" i="65"/>
  <c r="BI27" i="65"/>
  <c r="BN18" i="65"/>
  <c r="BN9" i="65" s="1"/>
  <c r="AJ36" i="65"/>
  <c r="AO40" i="65"/>
  <c r="AJ63" i="65"/>
  <c r="BU68" i="65"/>
  <c r="BI84" i="65"/>
  <c r="BI68" i="65" s="1"/>
  <c r="BT18" i="65"/>
  <c r="BV9" i="66"/>
  <c r="T11" i="66"/>
  <c r="BD9" i="66"/>
  <c r="BH9" i="66"/>
  <c r="AV37" i="66"/>
  <c r="BC57" i="66"/>
  <c r="V65" i="66"/>
  <c r="AA65" i="66"/>
  <c r="AJ10" i="65"/>
  <c r="AP10" i="65" s="1"/>
  <c r="AE9" i="65"/>
  <c r="T13" i="65"/>
  <c r="T11" i="65" s="1"/>
  <c r="O18" i="65"/>
  <c r="AW18" i="65"/>
  <c r="BA18" i="65"/>
  <c r="BE18" i="65"/>
  <c r="BE9" i="65" s="1"/>
  <c r="BM18" i="65"/>
  <c r="BM9" i="65" s="1"/>
  <c r="BQ18" i="65"/>
  <c r="BQ9" i="65" s="1"/>
  <c r="AO26" i="65"/>
  <c r="BF18" i="65"/>
  <c r="BF9" i="65" s="1"/>
  <c r="BV18" i="65"/>
  <c r="BV9" i="65" s="1"/>
  <c r="N37" i="65"/>
  <c r="AJ40" i="65"/>
  <c r="AO45" i="65"/>
  <c r="AV46" i="65"/>
  <c r="BI57" i="65"/>
  <c r="AW68" i="65"/>
  <c r="BA68" i="65"/>
  <c r="AX65" i="65"/>
  <c r="G11" i="66"/>
  <c r="BI11" i="66"/>
  <c r="BF9" i="66"/>
  <c r="BN9" i="66"/>
  <c r="BP18" i="66"/>
  <c r="Z68" i="66"/>
  <c r="AF68" i="66"/>
  <c r="BT18" i="66"/>
  <c r="AV13" i="65"/>
  <c r="AV11" i="65" s="1"/>
  <c r="AG18" i="65"/>
  <c r="AG9" i="65" s="1"/>
  <c r="BV5" i="65" s="1"/>
  <c r="AT18" i="65"/>
  <c r="AT9" i="65" s="1"/>
  <c r="AX18" i="65"/>
  <c r="BB18" i="65"/>
  <c r="BL18" i="65"/>
  <c r="BL9" i="65" s="1"/>
  <c r="BP18" i="65"/>
  <c r="BP9" i="65" s="1"/>
  <c r="AV37" i="65"/>
  <c r="G41" i="65"/>
  <c r="BC41" i="65"/>
  <c r="N41" i="65"/>
  <c r="N70" i="65"/>
  <c r="AG68" i="65"/>
  <c r="BC70" i="65"/>
  <c r="AT9" i="66"/>
  <c r="AO36" i="66"/>
  <c r="BC46" i="66"/>
  <c r="BI84" i="66"/>
  <c r="Y65" i="66"/>
  <c r="X65" i="65"/>
  <c r="AB65" i="65"/>
  <c r="Y65" i="65"/>
  <c r="BY45" i="65"/>
  <c r="BA65" i="65"/>
  <c r="V65" i="65"/>
  <c r="Z65" i="65"/>
  <c r="AJ45" i="66"/>
  <c r="AP45" i="66" s="1"/>
  <c r="BA65" i="66"/>
  <c r="AC65" i="65"/>
  <c r="U65" i="65"/>
  <c r="T65" i="65" s="1"/>
  <c r="AW65" i="66"/>
  <c r="AW65" i="65"/>
  <c r="BB65" i="65"/>
  <c r="W65" i="65"/>
  <c r="AA65" i="65"/>
  <c r="D65" i="66"/>
  <c r="D9" i="66" s="1"/>
  <c r="AS7" i="66" s="1"/>
  <c r="D7" i="66" s="1"/>
  <c r="AS5" i="66" s="1"/>
  <c r="X65" i="66"/>
  <c r="AB65" i="66"/>
  <c r="AX65" i="66"/>
  <c r="BB65" i="66"/>
  <c r="AJ65" i="66"/>
  <c r="AY65" i="66"/>
  <c r="BC70" i="66"/>
  <c r="BG9" i="66"/>
  <c r="AU18" i="66"/>
  <c r="AU9" i="66" s="1"/>
  <c r="AR18" i="66"/>
  <c r="AV57" i="66"/>
  <c r="BI70" i="66"/>
  <c r="AJ10" i="66"/>
  <c r="AP10" i="66" s="1"/>
  <c r="AV13" i="66"/>
  <c r="AV27" i="66"/>
  <c r="AV18" i="66" s="1"/>
  <c r="AW18" i="66"/>
  <c r="AH9" i="66"/>
  <c r="BC19" i="66"/>
  <c r="BY40" i="66"/>
  <c r="AP40" i="66"/>
  <c r="BI46" i="66"/>
  <c r="BL18" i="66"/>
  <c r="BL9" i="66" s="1"/>
  <c r="BY55" i="66"/>
  <c r="AP55" i="66"/>
  <c r="BI19" i="66"/>
  <c r="BC27" i="66"/>
  <c r="BY45" i="66"/>
  <c r="AP63" i="66"/>
  <c r="AO69" i="66"/>
  <c r="G41" i="66"/>
  <c r="AO65" i="66"/>
  <c r="BY65" i="66" s="1"/>
  <c r="BC84" i="66"/>
  <c r="AV84" i="66"/>
  <c r="AJ36" i="66"/>
  <c r="BI41" i="66"/>
  <c r="AV70" i="66"/>
  <c r="AV68" i="66" s="1"/>
  <c r="BX68" i="66"/>
  <c r="N70" i="66"/>
  <c r="BD9" i="65"/>
  <c r="BD18" i="65"/>
  <c r="BC27" i="65"/>
  <c r="BY36" i="65"/>
  <c r="AP36" i="65"/>
  <c r="AR9" i="65"/>
  <c r="AU11" i="65"/>
  <c r="AU9" i="65" s="1"/>
  <c r="AV19" i="65"/>
  <c r="BJ18" i="65"/>
  <c r="BJ9" i="65" s="1"/>
  <c r="BI46" i="65"/>
  <c r="BY40" i="65"/>
  <c r="AP40" i="65"/>
  <c r="BY55" i="65"/>
  <c r="AP55" i="65"/>
  <c r="BC46" i="65"/>
  <c r="AP63" i="65"/>
  <c r="BC57" i="65"/>
  <c r="AO69" i="65"/>
  <c r="AO65" i="65"/>
  <c r="BY65" i="65" s="1"/>
  <c r="D9" i="65"/>
  <c r="AS7" i="65" s="1"/>
  <c r="D7" i="65" s="1"/>
  <c r="AS5" i="65" s="1"/>
  <c r="BC84" i="65"/>
  <c r="H13" i="32"/>
  <c r="BT57" i="64"/>
  <c r="BT41" i="64"/>
  <c r="BT37" i="64"/>
  <c r="BT27" i="64"/>
  <c r="BT19" i="64"/>
  <c r="AB65" i="64"/>
  <c r="W65" i="64"/>
  <c r="BT65" i="64"/>
  <c r="BA65" i="64"/>
  <c r="AV65" i="64"/>
  <c r="AZ65" i="64" s="1"/>
  <c r="BZ117" i="64"/>
  <c r="BZ112" i="64"/>
  <c r="BZ101" i="64"/>
  <c r="BZ90" i="64"/>
  <c r="BZ89" i="64" s="1"/>
  <c r="BI88" i="64"/>
  <c r="BC88" i="64"/>
  <c r="AV88" i="64"/>
  <c r="BI87" i="64"/>
  <c r="BC87" i="64"/>
  <c r="BC84" i="64" s="1"/>
  <c r="AV87" i="64"/>
  <c r="BI86" i="64"/>
  <c r="BC86" i="64"/>
  <c r="AV86" i="64"/>
  <c r="BI85" i="64"/>
  <c r="BC85" i="64"/>
  <c r="AV85" i="64"/>
  <c r="BX84" i="64"/>
  <c r="BX68" i="64" s="1"/>
  <c r="BV84" i="64"/>
  <c r="BU84" i="64"/>
  <c r="BS84" i="64"/>
  <c r="BR84" i="64"/>
  <c r="BQ84" i="64"/>
  <c r="BP84" i="64"/>
  <c r="BO84" i="64"/>
  <c r="BN84" i="64"/>
  <c r="BM84" i="64"/>
  <c r="BL84" i="64"/>
  <c r="BK84" i="64"/>
  <c r="BJ84" i="64"/>
  <c r="BH84" i="64"/>
  <c r="BG84" i="64"/>
  <c r="BF84" i="64"/>
  <c r="BE84" i="64"/>
  <c r="BD84" i="64"/>
  <c r="BB84" i="64"/>
  <c r="BA84" i="64"/>
  <c r="AZ84" i="64"/>
  <c r="AY84" i="64"/>
  <c r="AX84" i="64"/>
  <c r="AW84" i="64"/>
  <c r="AU84" i="64"/>
  <c r="AT84" i="64"/>
  <c r="AS84" i="64"/>
  <c r="AR84" i="64"/>
  <c r="AR68" i="64" s="1"/>
  <c r="AI84" i="64"/>
  <c r="AG84" i="64"/>
  <c r="AF84" i="64"/>
  <c r="AE84" i="64"/>
  <c r="AA84" i="64"/>
  <c r="Z84" i="64"/>
  <c r="R84" i="64"/>
  <c r="P84" i="64"/>
  <c r="P68" i="64" s="1"/>
  <c r="BE67" i="64" s="1"/>
  <c r="O84" i="64"/>
  <c r="L84" i="64"/>
  <c r="D84" i="64"/>
  <c r="C84" i="64"/>
  <c r="BI83" i="64"/>
  <c r="BC83" i="64"/>
  <c r="AV83" i="64"/>
  <c r="BI82" i="64"/>
  <c r="BC82" i="64"/>
  <c r="AV82" i="64"/>
  <c r="BI81" i="64"/>
  <c r="BC81" i="64"/>
  <c r="AV81" i="64"/>
  <c r="BI80" i="64"/>
  <c r="BC80" i="64"/>
  <c r="AV80" i="64"/>
  <c r="AH80" i="64"/>
  <c r="AG80" i="64"/>
  <c r="AF80" i="64"/>
  <c r="AE80" i="64"/>
  <c r="AB80" i="64"/>
  <c r="AA80" i="64"/>
  <c r="Z80" i="64"/>
  <c r="V80" i="64"/>
  <c r="U80" i="64"/>
  <c r="R80" i="64"/>
  <c r="P80" i="64"/>
  <c r="O80" i="64"/>
  <c r="M80" i="64"/>
  <c r="L80" i="64"/>
  <c r="K80" i="64"/>
  <c r="I80" i="64"/>
  <c r="F80" i="64"/>
  <c r="C80" i="64"/>
  <c r="BI79" i="64"/>
  <c r="BC79" i="64"/>
  <c r="AV79" i="64"/>
  <c r="BI78" i="64"/>
  <c r="BC78" i="64"/>
  <c r="AV78" i="64"/>
  <c r="N78" i="64"/>
  <c r="BI77" i="64"/>
  <c r="BC77" i="64"/>
  <c r="AV77" i="64"/>
  <c r="N77" i="64"/>
  <c r="BI76" i="64"/>
  <c r="BC76" i="64"/>
  <c r="AV76" i="64"/>
  <c r="N76" i="64"/>
  <c r="BI75" i="64"/>
  <c r="BC75" i="64"/>
  <c r="AV75" i="64"/>
  <c r="N75" i="64"/>
  <c r="BI74" i="64"/>
  <c r="BC74" i="64"/>
  <c r="AV74" i="64"/>
  <c r="N74" i="64"/>
  <c r="BI73" i="64"/>
  <c r="BC73" i="64"/>
  <c r="AV73" i="64"/>
  <c r="N73" i="64"/>
  <c r="BI72" i="64"/>
  <c r="BC72" i="64"/>
  <c r="AV72" i="64"/>
  <c r="T72" i="64"/>
  <c r="N72" i="64"/>
  <c r="BI71" i="64"/>
  <c r="BC71" i="64"/>
  <c r="BC70" i="64" s="1"/>
  <c r="BC68" i="64" s="1"/>
  <c r="AV71" i="64"/>
  <c r="N71" i="64"/>
  <c r="BX70" i="64"/>
  <c r="BV70" i="64"/>
  <c r="BV68" i="64" s="1"/>
  <c r="BU70" i="64"/>
  <c r="BU68" i="64" s="1"/>
  <c r="BT70" i="64"/>
  <c r="BS70" i="64"/>
  <c r="BR70" i="64"/>
  <c r="BR68" i="64" s="1"/>
  <c r="BQ70" i="64"/>
  <c r="BQ68" i="64" s="1"/>
  <c r="BP70" i="64"/>
  <c r="BO70" i="64"/>
  <c r="BN70" i="64"/>
  <c r="BN68" i="64" s="1"/>
  <c r="BM70" i="64"/>
  <c r="BM68" i="64" s="1"/>
  <c r="BL70" i="64"/>
  <c r="BK70" i="64"/>
  <c r="BJ70" i="64"/>
  <c r="BI70" i="64"/>
  <c r="BH70" i="64"/>
  <c r="BG70" i="64"/>
  <c r="BF70" i="64"/>
  <c r="BF68" i="64" s="1"/>
  <c r="BE70" i="64"/>
  <c r="BD70" i="64"/>
  <c r="BB70" i="64"/>
  <c r="BB68" i="64" s="1"/>
  <c r="BA70" i="64"/>
  <c r="AZ70" i="64"/>
  <c r="AY70" i="64"/>
  <c r="AX70" i="64"/>
  <c r="AX68" i="64" s="1"/>
  <c r="AW70" i="64"/>
  <c r="AU70" i="64"/>
  <c r="AT70" i="64"/>
  <c r="AS70" i="64"/>
  <c r="AR70" i="64"/>
  <c r="AI70" i="64"/>
  <c r="AH70" i="64"/>
  <c r="AG70" i="64"/>
  <c r="AG68" i="64" s="1"/>
  <c r="AF70" i="64"/>
  <c r="AD70" i="64"/>
  <c r="AA70" i="64"/>
  <c r="Z70" i="64"/>
  <c r="Z68" i="64" s="1"/>
  <c r="Y70" i="64"/>
  <c r="X70" i="64"/>
  <c r="W70" i="64"/>
  <c r="S70" i="64"/>
  <c r="R70" i="64"/>
  <c r="Q70" i="64"/>
  <c r="P70" i="64"/>
  <c r="O70" i="64"/>
  <c r="J70" i="64"/>
  <c r="F70" i="64"/>
  <c r="D70" i="64"/>
  <c r="C70" i="64"/>
  <c r="BI69" i="64"/>
  <c r="BC69" i="64"/>
  <c r="AV69" i="64"/>
  <c r="T69" i="64"/>
  <c r="N69" i="64"/>
  <c r="BT68" i="64"/>
  <c r="BS68" i="64"/>
  <c r="BP68" i="64"/>
  <c r="BO68" i="64"/>
  <c r="BL68" i="64"/>
  <c r="BK68" i="64"/>
  <c r="BJ68" i="64"/>
  <c r="BH68" i="64"/>
  <c r="BG68" i="64"/>
  <c r="BD68" i="64"/>
  <c r="AZ68" i="64"/>
  <c r="AY68" i="64"/>
  <c r="AU68" i="64"/>
  <c r="AT68" i="64"/>
  <c r="AS68" i="64"/>
  <c r="AI68" i="64"/>
  <c r="AF68" i="64"/>
  <c r="D68" i="64"/>
  <c r="C68" i="64"/>
  <c r="BI67" i="64"/>
  <c r="AV67" i="64"/>
  <c r="AP67" i="64"/>
  <c r="AJ67" i="64"/>
  <c r="BI66" i="64"/>
  <c r="BC66" i="64"/>
  <c r="T66" i="64"/>
  <c r="N66" i="64"/>
  <c r="CB65" i="64"/>
  <c r="AO65" i="64"/>
  <c r="BI64" i="64"/>
  <c r="BC64" i="64"/>
  <c r="AV64" i="64"/>
  <c r="BI63" i="64"/>
  <c r="BC63" i="64"/>
  <c r="AV63" i="64"/>
  <c r="T63" i="64"/>
  <c r="N63" i="64"/>
  <c r="AJ63" i="64" s="1"/>
  <c r="G63" i="64"/>
  <c r="BI62" i="64"/>
  <c r="BC62" i="64"/>
  <c r="AV62" i="64"/>
  <c r="T62" i="64"/>
  <c r="G62" i="64"/>
  <c r="BI61" i="64"/>
  <c r="BC61" i="64"/>
  <c r="AV61" i="64"/>
  <c r="T61" i="64"/>
  <c r="G61" i="64"/>
  <c r="BI60" i="64"/>
  <c r="BC60" i="64"/>
  <c r="AV60" i="64"/>
  <c r="T60" i="64"/>
  <c r="N60" i="64"/>
  <c r="G60" i="64"/>
  <c r="BI59" i="64"/>
  <c r="BC59" i="64"/>
  <c r="AV59" i="64"/>
  <c r="T59" i="64"/>
  <c r="G59" i="64"/>
  <c r="BI58" i="64"/>
  <c r="BC58" i="64"/>
  <c r="AV58" i="64"/>
  <c r="N58" i="64"/>
  <c r="BX57" i="64"/>
  <c r="BW57" i="64"/>
  <c r="BV57" i="64"/>
  <c r="BU57" i="64"/>
  <c r="BQ57" i="64"/>
  <c r="BP57" i="64"/>
  <c r="BO57" i="64"/>
  <c r="BN57" i="64"/>
  <c r="BM57" i="64"/>
  <c r="BL57" i="64"/>
  <c r="BK57" i="64"/>
  <c r="BJ57" i="64"/>
  <c r="BH57" i="64"/>
  <c r="BG57" i="64"/>
  <c r="BF57" i="64"/>
  <c r="BE57" i="64"/>
  <c r="BD57" i="64"/>
  <c r="BB57" i="64"/>
  <c r="BA57" i="64"/>
  <c r="AZ57" i="64"/>
  <c r="AY57" i="64"/>
  <c r="AX57" i="64"/>
  <c r="AW57" i="64"/>
  <c r="AU57" i="64"/>
  <c r="AT57" i="64"/>
  <c r="AS57" i="64"/>
  <c r="AR57" i="64"/>
  <c r="AH57" i="64"/>
  <c r="AG57" i="64"/>
  <c r="AF57" i="64"/>
  <c r="AE57" i="64"/>
  <c r="AD57" i="64"/>
  <c r="P57" i="64"/>
  <c r="O57" i="64"/>
  <c r="L57" i="64"/>
  <c r="D57" i="64"/>
  <c r="AO56" i="64"/>
  <c r="BI55" i="64"/>
  <c r="AO55" i="64" s="1"/>
  <c r="AJ55" i="64" s="1"/>
  <c r="BC55" i="64"/>
  <c r="AV55" i="64"/>
  <c r="T55" i="64"/>
  <c r="N55" i="64"/>
  <c r="G55" i="64"/>
  <c r="BI54" i="64"/>
  <c r="BC54" i="64"/>
  <c r="AV54" i="64"/>
  <c r="AJ54" i="64"/>
  <c r="T54" i="64"/>
  <c r="N54" i="64"/>
  <c r="G54" i="64"/>
  <c r="BI53" i="64"/>
  <c r="BC53" i="64"/>
  <c r="AV53" i="64"/>
  <c r="T53" i="64"/>
  <c r="N53" i="64"/>
  <c r="G53" i="64"/>
  <c r="BI52" i="64"/>
  <c r="BC52" i="64"/>
  <c r="AV52" i="64"/>
  <c r="T52" i="64"/>
  <c r="N52" i="64"/>
  <c r="G52" i="64"/>
  <c r="BI51" i="64"/>
  <c r="BC51" i="64"/>
  <c r="AV51" i="64"/>
  <c r="N51" i="64"/>
  <c r="BI50" i="64"/>
  <c r="BC50" i="64"/>
  <c r="AV50" i="64"/>
  <c r="N50" i="64"/>
  <c r="BI49" i="64"/>
  <c r="BC49" i="64"/>
  <c r="AV49" i="64"/>
  <c r="N49" i="64"/>
  <c r="G49" i="64"/>
  <c r="BI48" i="64"/>
  <c r="BC48" i="64"/>
  <c r="AV48" i="64"/>
  <c r="N48" i="64"/>
  <c r="BI47" i="64"/>
  <c r="BC47" i="64"/>
  <c r="AV47" i="64"/>
  <c r="N47" i="64"/>
  <c r="BV46" i="64"/>
  <c r="BU46" i="64"/>
  <c r="BT46" i="64"/>
  <c r="BQ46" i="64"/>
  <c r="BP46" i="64"/>
  <c r="BO46" i="64"/>
  <c r="BN46" i="64"/>
  <c r="BM46" i="64"/>
  <c r="BL46" i="64"/>
  <c r="BK46" i="64"/>
  <c r="BJ46" i="64"/>
  <c r="BH46" i="64"/>
  <c r="BG46" i="64"/>
  <c r="BF46" i="64"/>
  <c r="BF18" i="64" s="1"/>
  <c r="BF9" i="64" s="1"/>
  <c r="BE46" i="64"/>
  <c r="BD46" i="64"/>
  <c r="BB46" i="64"/>
  <c r="BA46" i="64"/>
  <c r="AZ46" i="64"/>
  <c r="AY46" i="64"/>
  <c r="AX46" i="64"/>
  <c r="AW46" i="64"/>
  <c r="AV46" i="64" s="1"/>
  <c r="AU46" i="64"/>
  <c r="AT46" i="64"/>
  <c r="AR46" i="64"/>
  <c r="AH46" i="64"/>
  <c r="AG46" i="64"/>
  <c r="AE46" i="64"/>
  <c r="AD46" i="64"/>
  <c r="AA46" i="64"/>
  <c r="Z46" i="64"/>
  <c r="S46" i="64"/>
  <c r="R46" i="64"/>
  <c r="Q46" i="64"/>
  <c r="P46" i="64"/>
  <c r="O46" i="64"/>
  <c r="N46" i="64"/>
  <c r="L46" i="64"/>
  <c r="H46" i="64"/>
  <c r="F46" i="64"/>
  <c r="BI45" i="64"/>
  <c r="BC45" i="64"/>
  <c r="AV45" i="64"/>
  <c r="T45" i="64"/>
  <c r="N45" i="64"/>
  <c r="G45" i="64"/>
  <c r="BI44" i="64"/>
  <c r="BC44" i="64"/>
  <c r="AV44" i="64"/>
  <c r="N44" i="64"/>
  <c r="G44" i="64"/>
  <c r="BI43" i="64"/>
  <c r="BC43" i="64"/>
  <c r="AV43" i="64"/>
  <c r="N43" i="64"/>
  <c r="G43" i="64"/>
  <c r="BI42" i="64"/>
  <c r="BC42" i="64"/>
  <c r="AV42" i="64"/>
  <c r="N42" i="64"/>
  <c r="G42" i="64"/>
  <c r="BW41" i="64"/>
  <c r="BV41" i="64"/>
  <c r="BU41" i="64"/>
  <c r="BQ41" i="64"/>
  <c r="BP41" i="64"/>
  <c r="BO41" i="64"/>
  <c r="BN41" i="64"/>
  <c r="BM41" i="64"/>
  <c r="BL41" i="64"/>
  <c r="BK41" i="64"/>
  <c r="BJ41" i="64"/>
  <c r="BH41" i="64"/>
  <c r="BG41" i="64"/>
  <c r="BF41" i="64"/>
  <c r="BE41" i="64"/>
  <c r="BD41" i="64"/>
  <c r="BC41" i="64" s="1"/>
  <c r="BB41" i="64"/>
  <c r="BA41" i="64"/>
  <c r="AZ41" i="64"/>
  <c r="AY41" i="64"/>
  <c r="AX41" i="64"/>
  <c r="AW41" i="64"/>
  <c r="AU41" i="64"/>
  <c r="AT41" i="64"/>
  <c r="AR41" i="64"/>
  <c r="AH41" i="64"/>
  <c r="AG41" i="64"/>
  <c r="AF41" i="64"/>
  <c r="AE41" i="64"/>
  <c r="AD41" i="64"/>
  <c r="AC41" i="64"/>
  <c r="AB41" i="64"/>
  <c r="Y41" i="64"/>
  <c r="X41" i="64"/>
  <c r="W41" i="64"/>
  <c r="V41" i="64"/>
  <c r="U41" i="64"/>
  <c r="S41" i="64"/>
  <c r="R41" i="64"/>
  <c r="Q41" i="64"/>
  <c r="P41" i="64"/>
  <c r="O41" i="64"/>
  <c r="M41" i="64"/>
  <c r="L41" i="64"/>
  <c r="K41" i="64"/>
  <c r="J41" i="64"/>
  <c r="I41" i="64"/>
  <c r="G41" i="64" s="1"/>
  <c r="H41" i="64"/>
  <c r="E41" i="64"/>
  <c r="C41" i="64"/>
  <c r="BI40" i="64"/>
  <c r="AO40" i="64" s="1"/>
  <c r="BC40" i="64"/>
  <c r="AV40" i="64"/>
  <c r="T40" i="64"/>
  <c r="N40" i="64"/>
  <c r="N37" i="64" s="1"/>
  <c r="G40" i="64"/>
  <c r="BI39" i="64"/>
  <c r="BC39" i="64"/>
  <c r="AV39" i="64"/>
  <c r="N39" i="64"/>
  <c r="BI38" i="64"/>
  <c r="BC38" i="64"/>
  <c r="AV38" i="64"/>
  <c r="N38" i="64"/>
  <c r="BW37" i="64"/>
  <c r="BV37" i="64"/>
  <c r="BU37" i="64"/>
  <c r="BQ37" i="64"/>
  <c r="BP37" i="64"/>
  <c r="BO37" i="64"/>
  <c r="BN37" i="64"/>
  <c r="BM37" i="64"/>
  <c r="BL37" i="64"/>
  <c r="BK37" i="64"/>
  <c r="BJ37" i="64"/>
  <c r="BH37" i="64"/>
  <c r="BG37" i="64"/>
  <c r="BF37" i="64"/>
  <c r="BE37" i="64"/>
  <c r="BD37" i="64"/>
  <c r="BB37" i="64"/>
  <c r="BA37" i="64"/>
  <c r="AZ37" i="64"/>
  <c r="AY37" i="64"/>
  <c r="AX37" i="64"/>
  <c r="AW37" i="64"/>
  <c r="AV37" i="64"/>
  <c r="AU37" i="64"/>
  <c r="AT37" i="64"/>
  <c r="AR37" i="64"/>
  <c r="AH37" i="64"/>
  <c r="AG37" i="64"/>
  <c r="AF37" i="64"/>
  <c r="AE37" i="64"/>
  <c r="AD37" i="64"/>
  <c r="AC37" i="64"/>
  <c r="AA37" i="64"/>
  <c r="Z37" i="64"/>
  <c r="S37" i="64"/>
  <c r="R37" i="64"/>
  <c r="Q37" i="64"/>
  <c r="P37" i="64"/>
  <c r="O37" i="64"/>
  <c r="L37" i="64"/>
  <c r="H37" i="64"/>
  <c r="F37" i="64"/>
  <c r="BI36" i="64"/>
  <c r="BC36" i="64"/>
  <c r="AV36" i="64"/>
  <c r="T36" i="64"/>
  <c r="N36" i="64"/>
  <c r="G36" i="64"/>
  <c r="BI35" i="64"/>
  <c r="BC35" i="64"/>
  <c r="AV35" i="64"/>
  <c r="N35" i="64"/>
  <c r="BI34" i="64"/>
  <c r="BC34" i="64"/>
  <c r="AV34" i="64"/>
  <c r="T34" i="64"/>
  <c r="G34" i="64"/>
  <c r="BI33" i="64"/>
  <c r="BC33" i="64"/>
  <c r="AV33" i="64"/>
  <c r="T33" i="64"/>
  <c r="N33" i="64"/>
  <c r="G33" i="64"/>
  <c r="BI32" i="64"/>
  <c r="BC32" i="64"/>
  <c r="AV32" i="64"/>
  <c r="T32" i="64"/>
  <c r="G32" i="64"/>
  <c r="BI31" i="64"/>
  <c r="BC31" i="64"/>
  <c r="AV31" i="64"/>
  <c r="N31" i="64"/>
  <c r="BI30" i="64"/>
  <c r="BC30" i="64"/>
  <c r="AV30" i="64"/>
  <c r="N30" i="64"/>
  <c r="G30" i="64"/>
  <c r="BI29" i="64"/>
  <c r="BC29" i="64"/>
  <c r="AV29" i="64"/>
  <c r="N29" i="64"/>
  <c r="BI28" i="64"/>
  <c r="BC28" i="64"/>
  <c r="AV28" i="64"/>
  <c r="N28" i="64"/>
  <c r="BW27" i="64"/>
  <c r="BV27" i="64"/>
  <c r="BU27" i="64"/>
  <c r="BQ27" i="64"/>
  <c r="BP27" i="64"/>
  <c r="BP18" i="64" s="1"/>
  <c r="BO27" i="64"/>
  <c r="BN27" i="64"/>
  <c r="BM27" i="64"/>
  <c r="BL27" i="64"/>
  <c r="BK27" i="64"/>
  <c r="BI27" i="64" s="1"/>
  <c r="BJ27" i="64"/>
  <c r="BH27" i="64"/>
  <c r="BG27" i="64"/>
  <c r="BF27" i="64"/>
  <c r="BE27" i="64"/>
  <c r="BD27" i="64"/>
  <c r="BB27" i="64"/>
  <c r="BB18" i="64" s="1"/>
  <c r="BA27" i="64"/>
  <c r="AZ27" i="64"/>
  <c r="AY27" i="64"/>
  <c r="AX27" i="64"/>
  <c r="AW27" i="64"/>
  <c r="AU27" i="64"/>
  <c r="AT27" i="64"/>
  <c r="AT18" i="64" s="1"/>
  <c r="AR27" i="64"/>
  <c r="AH27" i="64"/>
  <c r="AG27" i="64"/>
  <c r="AF27" i="64"/>
  <c r="AE27" i="64"/>
  <c r="AD27" i="64"/>
  <c r="AA27" i="64"/>
  <c r="Z27" i="64"/>
  <c r="R27" i="64"/>
  <c r="P27" i="64"/>
  <c r="O27" i="64"/>
  <c r="L27" i="64"/>
  <c r="H27" i="64"/>
  <c r="F27" i="64"/>
  <c r="BI26" i="64"/>
  <c r="BC26" i="64"/>
  <c r="AV26" i="64"/>
  <c r="T26" i="64"/>
  <c r="N26" i="64"/>
  <c r="G26" i="64"/>
  <c r="BI25" i="64"/>
  <c r="BC25" i="64"/>
  <c r="AV25" i="64"/>
  <c r="T25" i="64"/>
  <c r="N25" i="64"/>
  <c r="G25" i="64"/>
  <c r="BI24" i="64"/>
  <c r="BC24" i="64"/>
  <c r="AV24" i="64"/>
  <c r="T24" i="64"/>
  <c r="G24" i="64"/>
  <c r="BI23" i="64"/>
  <c r="BC23" i="64"/>
  <c r="AV23" i="64"/>
  <c r="N23" i="64"/>
  <c r="BI22" i="64"/>
  <c r="BC22" i="64"/>
  <c r="AV22" i="64"/>
  <c r="N22" i="64"/>
  <c r="G22" i="64"/>
  <c r="BI21" i="64"/>
  <c r="BC21" i="64"/>
  <c r="AV21" i="64"/>
  <c r="N21" i="64"/>
  <c r="BI20" i="64"/>
  <c r="BC20" i="64"/>
  <c r="AV20" i="64"/>
  <c r="N20" i="64"/>
  <c r="BX19" i="64"/>
  <c r="BX18" i="64" s="1"/>
  <c r="BW19" i="64"/>
  <c r="BV19" i="64"/>
  <c r="BU19" i="64"/>
  <c r="BQ19" i="64"/>
  <c r="BP19" i="64"/>
  <c r="BO19" i="64"/>
  <c r="BN19" i="64"/>
  <c r="BN18" i="64" s="1"/>
  <c r="BM19" i="64"/>
  <c r="BL19" i="64"/>
  <c r="BK19" i="64"/>
  <c r="BJ19" i="64"/>
  <c r="BJ18" i="64" s="1"/>
  <c r="BH19" i="64"/>
  <c r="BG19" i="64"/>
  <c r="BF19" i="64"/>
  <c r="BE19" i="64"/>
  <c r="BD19" i="64"/>
  <c r="BB19" i="64"/>
  <c r="BA19" i="64"/>
  <c r="AZ19" i="64"/>
  <c r="AZ18" i="64" s="1"/>
  <c r="AY19" i="64"/>
  <c r="AX19" i="64"/>
  <c r="AW19" i="64"/>
  <c r="AU19" i="64"/>
  <c r="AT19" i="64"/>
  <c r="AS19" i="64"/>
  <c r="AR19" i="64"/>
  <c r="AI19" i="64"/>
  <c r="AI18" i="64" s="1"/>
  <c r="AH19" i="64"/>
  <c r="AG19" i="64"/>
  <c r="AF19" i="64"/>
  <c r="AE19" i="64"/>
  <c r="AD19" i="64"/>
  <c r="AA19" i="64"/>
  <c r="Z19" i="64"/>
  <c r="R19" i="64"/>
  <c r="R18" i="64" s="1"/>
  <c r="Q19" i="64"/>
  <c r="P19" i="64"/>
  <c r="P18" i="64" s="1"/>
  <c r="O19" i="64"/>
  <c r="L19" i="64"/>
  <c r="L18" i="64" s="1"/>
  <c r="H19" i="64"/>
  <c r="H18" i="64" s="1"/>
  <c r="F19" i="64"/>
  <c r="D19" i="64"/>
  <c r="D18" i="64" s="1"/>
  <c r="BV18" i="64"/>
  <c r="BH18" i="64"/>
  <c r="AX18" i="64"/>
  <c r="AS18" i="64"/>
  <c r="AG18" i="64"/>
  <c r="BI17" i="64"/>
  <c r="BC17" i="64"/>
  <c r="AV17" i="64"/>
  <c r="T17" i="64"/>
  <c r="N17" i="64"/>
  <c r="G17" i="64"/>
  <c r="BI16" i="64"/>
  <c r="BC16" i="64"/>
  <c r="AV16" i="64"/>
  <c r="T16" i="64"/>
  <c r="G16" i="64"/>
  <c r="BI15" i="64"/>
  <c r="BC15" i="64"/>
  <c r="BC13" i="64" s="1"/>
  <c r="BC11" i="64" s="1"/>
  <c r="AV15" i="64"/>
  <c r="T15" i="64"/>
  <c r="G15" i="64"/>
  <c r="BI14" i="64"/>
  <c r="BC14" i="64"/>
  <c r="AV14" i="64"/>
  <c r="T14" i="64"/>
  <c r="G14" i="64"/>
  <c r="BX13" i="64"/>
  <c r="BW13" i="64"/>
  <c r="BW11" i="64" s="1"/>
  <c r="BV13" i="64"/>
  <c r="BU13" i="64"/>
  <c r="BT13" i="64"/>
  <c r="BS13" i="64"/>
  <c r="BS11" i="64" s="1"/>
  <c r="BQ13" i="64"/>
  <c r="BQ11" i="64" s="1"/>
  <c r="BP13" i="64"/>
  <c r="BP11" i="64" s="1"/>
  <c r="BO13" i="64"/>
  <c r="BO11" i="64" s="1"/>
  <c r="BN13" i="64"/>
  <c r="BM13" i="64"/>
  <c r="BM11" i="64" s="1"/>
  <c r="BL13" i="64"/>
  <c r="BL11" i="64" s="1"/>
  <c r="BK13" i="64"/>
  <c r="BK11" i="64" s="1"/>
  <c r="BJ13" i="64"/>
  <c r="BI13" i="64"/>
  <c r="BI11" i="64" s="1"/>
  <c r="BH13" i="64"/>
  <c r="BG13" i="64"/>
  <c r="BG11" i="64" s="1"/>
  <c r="BF13" i="64"/>
  <c r="BE13" i="64"/>
  <c r="BE11" i="64" s="1"/>
  <c r="BD13" i="64"/>
  <c r="BD11" i="64" s="1"/>
  <c r="BB13" i="64"/>
  <c r="BA13" i="64"/>
  <c r="BA11" i="64" s="1"/>
  <c r="AZ13" i="64"/>
  <c r="AY13" i="64"/>
  <c r="AX13" i="64"/>
  <c r="AW13" i="64"/>
  <c r="AW11" i="64" s="1"/>
  <c r="AU13" i="64"/>
  <c r="AT13" i="64"/>
  <c r="AS13" i="64"/>
  <c r="AS11" i="64" s="1"/>
  <c r="AS9" i="64" s="1"/>
  <c r="AR13" i="64"/>
  <c r="AR11" i="64" s="1"/>
  <c r="AI13" i="64"/>
  <c r="AH13" i="64"/>
  <c r="AG13" i="64"/>
  <c r="AF13" i="64"/>
  <c r="AF11" i="64" s="1"/>
  <c r="AE13" i="64"/>
  <c r="AE11" i="64" s="1"/>
  <c r="AD13" i="64"/>
  <c r="AC13" i="64"/>
  <c r="AB13" i="64"/>
  <c r="AB11" i="64" s="1"/>
  <c r="AA13" i="64"/>
  <c r="AA11" i="64" s="1"/>
  <c r="Z13" i="64"/>
  <c r="Y13" i="64"/>
  <c r="X13" i="64"/>
  <c r="X11" i="64" s="1"/>
  <c r="W13" i="64"/>
  <c r="W11" i="64" s="1"/>
  <c r="V13" i="64"/>
  <c r="U13" i="64"/>
  <c r="S13" i="64"/>
  <c r="S11" i="64" s="1"/>
  <c r="R13" i="64"/>
  <c r="R11" i="64" s="1"/>
  <c r="Q13" i="64"/>
  <c r="P13" i="64"/>
  <c r="M13" i="64"/>
  <c r="M11" i="64" s="1"/>
  <c r="L13" i="64"/>
  <c r="K13" i="64"/>
  <c r="J13" i="64"/>
  <c r="I13" i="64"/>
  <c r="I11" i="64" s="1"/>
  <c r="H13" i="64"/>
  <c r="H11" i="64" s="1"/>
  <c r="F13" i="64"/>
  <c r="E13" i="64"/>
  <c r="D13" i="64"/>
  <c r="D11" i="64" s="1"/>
  <c r="C13" i="64"/>
  <c r="C11" i="64" s="1"/>
  <c r="BI12" i="64"/>
  <c r="BC12" i="64"/>
  <c r="AV12" i="64"/>
  <c r="T12" i="64"/>
  <c r="G12" i="64"/>
  <c r="BX11" i="64"/>
  <c r="BV11" i="64"/>
  <c r="BU11" i="64"/>
  <c r="BT11" i="64"/>
  <c r="BN11" i="64"/>
  <c r="BJ11" i="64"/>
  <c r="BH11" i="64"/>
  <c r="BH9" i="64" s="1"/>
  <c r="BF11" i="64"/>
  <c r="BB11" i="64"/>
  <c r="AZ11" i="64"/>
  <c r="AY11" i="64"/>
  <c r="AX11" i="64"/>
  <c r="AU11" i="64"/>
  <c r="AT11" i="64"/>
  <c r="AH11" i="64"/>
  <c r="AG11" i="64"/>
  <c r="AG9" i="64" s="1"/>
  <c r="AD11" i="64"/>
  <c r="AC11" i="64"/>
  <c r="Z11" i="64"/>
  <c r="Y11" i="64"/>
  <c r="V11" i="64"/>
  <c r="U11" i="64"/>
  <c r="L11" i="64"/>
  <c r="L9" i="64" s="1"/>
  <c r="K11" i="64"/>
  <c r="J11" i="64"/>
  <c r="F11" i="64"/>
  <c r="E11" i="64"/>
  <c r="BI10" i="64"/>
  <c r="BC10" i="64"/>
  <c r="T10" i="64"/>
  <c r="N10" i="64"/>
  <c r="G10" i="64"/>
  <c r="BV9" i="64"/>
  <c r="BI8" i="64"/>
  <c r="AV8" i="64"/>
  <c r="AJ8" i="64"/>
  <c r="AP8" i="64" s="1"/>
  <c r="BC7" i="64"/>
  <c r="AV7" i="64"/>
  <c r="BC5" i="64"/>
  <c r="BB5" i="64"/>
  <c r="BA5" i="64"/>
  <c r="AZ5" i="64"/>
  <c r="AY5" i="64"/>
  <c r="AX5" i="64"/>
  <c r="AW5" i="64"/>
  <c r="AJ5" i="64"/>
  <c r="AP5" i="64" s="1"/>
  <c r="BI4" i="64"/>
  <c r="BC4" i="64"/>
  <c r="AV4" i="64"/>
  <c r="AQ4" i="64"/>
  <c r="BY4" i="64" s="1"/>
  <c r="J13" i="32"/>
  <c r="BT57" i="62"/>
  <c r="BT41" i="62"/>
  <c r="BT37" i="62"/>
  <c r="BT27" i="62"/>
  <c r="BT18" i="62" s="1"/>
  <c r="BT19" i="62"/>
  <c r="BT65" i="62"/>
  <c r="Z65" i="62" s="1"/>
  <c r="BA65" i="62"/>
  <c r="AV65" i="62"/>
  <c r="AZ65" i="62" s="1"/>
  <c r="BZ117" i="62"/>
  <c r="BZ112" i="62"/>
  <c r="BZ101" i="62"/>
  <c r="BZ90" i="62"/>
  <c r="BI88" i="62"/>
  <c r="BC88" i="62"/>
  <c r="AV88" i="62"/>
  <c r="BI87" i="62"/>
  <c r="BC87" i="62"/>
  <c r="AV87" i="62"/>
  <c r="BI86" i="62"/>
  <c r="BC86" i="62"/>
  <c r="AV86" i="62"/>
  <c r="BI85" i="62"/>
  <c r="BC85" i="62"/>
  <c r="AV85" i="62"/>
  <c r="BX84" i="62"/>
  <c r="BV84" i="62"/>
  <c r="BU84" i="62"/>
  <c r="BS84" i="62"/>
  <c r="BR84" i="62"/>
  <c r="BQ84" i="62"/>
  <c r="BP84" i="62"/>
  <c r="BO84" i="62"/>
  <c r="BN84" i="62"/>
  <c r="BM84" i="62"/>
  <c r="BL84" i="62"/>
  <c r="BK84" i="62"/>
  <c r="BJ84" i="62"/>
  <c r="BH84" i="62"/>
  <c r="BG84" i="62"/>
  <c r="BF84" i="62"/>
  <c r="BE84" i="62"/>
  <c r="BD84" i="62"/>
  <c r="BB84" i="62"/>
  <c r="BA84" i="62"/>
  <c r="AZ84" i="62"/>
  <c r="AY84" i="62"/>
  <c r="AX84" i="62"/>
  <c r="AW84" i="62"/>
  <c r="AU84" i="62"/>
  <c r="AT84" i="62"/>
  <c r="AS84" i="62"/>
  <c r="AR84" i="62"/>
  <c r="AI84" i="62"/>
  <c r="AG84" i="62"/>
  <c r="AF84" i="62"/>
  <c r="AE84" i="62"/>
  <c r="AA84" i="62"/>
  <c r="Z84" i="62"/>
  <c r="R84" i="62"/>
  <c r="P84" i="62"/>
  <c r="O84" i="62"/>
  <c r="L84" i="62"/>
  <c r="D84" i="62"/>
  <c r="C84" i="62"/>
  <c r="BI83" i="62"/>
  <c r="BC83" i="62"/>
  <c r="AV83" i="62"/>
  <c r="BI82" i="62"/>
  <c r="BC82" i="62"/>
  <c r="AV82" i="62"/>
  <c r="BI81" i="62"/>
  <c r="BC81" i="62"/>
  <c r="AV81" i="62"/>
  <c r="BI80" i="62"/>
  <c r="BC80" i="62"/>
  <c r="AV80" i="62"/>
  <c r="AH80" i="62"/>
  <c r="AG80" i="62"/>
  <c r="AF80" i="62"/>
  <c r="AE80" i="62"/>
  <c r="AB80" i="62"/>
  <c r="AA80" i="62"/>
  <c r="Z80" i="62"/>
  <c r="V80" i="62"/>
  <c r="U80" i="62"/>
  <c r="R80" i="62"/>
  <c r="P80" i="62"/>
  <c r="P68" i="62" s="1"/>
  <c r="BE67" i="62" s="1"/>
  <c r="O80" i="62"/>
  <c r="M80" i="62"/>
  <c r="L80" i="62"/>
  <c r="K80" i="62"/>
  <c r="I80" i="62"/>
  <c r="F80" i="62"/>
  <c r="C80" i="62"/>
  <c r="BI79" i="62"/>
  <c r="BC79" i="62"/>
  <c r="AV79" i="62"/>
  <c r="BI78" i="62"/>
  <c r="BC78" i="62"/>
  <c r="AV78" i="62"/>
  <c r="N78" i="62"/>
  <c r="BI77" i="62"/>
  <c r="BC77" i="62"/>
  <c r="AV77" i="62"/>
  <c r="N77" i="62"/>
  <c r="BI76" i="62"/>
  <c r="BC76" i="62"/>
  <c r="AV76" i="62"/>
  <c r="N76" i="62"/>
  <c r="BI75" i="62"/>
  <c r="BC75" i="62"/>
  <c r="AV75" i="62"/>
  <c r="N75" i="62"/>
  <c r="BI74" i="62"/>
  <c r="BC74" i="62"/>
  <c r="AV74" i="62"/>
  <c r="N74" i="62"/>
  <c r="BI73" i="62"/>
  <c r="BC73" i="62"/>
  <c r="AV73" i="62"/>
  <c r="N73" i="62"/>
  <c r="BI72" i="62"/>
  <c r="BC72" i="62"/>
  <c r="AV72" i="62"/>
  <c r="T72" i="62"/>
  <c r="N72" i="62"/>
  <c r="BI71" i="62"/>
  <c r="BC71" i="62"/>
  <c r="AV71" i="62"/>
  <c r="N71" i="62"/>
  <c r="BX70" i="62"/>
  <c r="BX68" i="62" s="1"/>
  <c r="BV70" i="62"/>
  <c r="BU70" i="62"/>
  <c r="BT70" i="62"/>
  <c r="BS70" i="62"/>
  <c r="BS68" i="62" s="1"/>
  <c r="BR70" i="62"/>
  <c r="BR68" i="62" s="1"/>
  <c r="BQ70" i="62"/>
  <c r="BP70" i="62"/>
  <c r="BP68" i="62" s="1"/>
  <c r="BO70" i="62"/>
  <c r="BO68" i="62" s="1"/>
  <c r="BN70" i="62"/>
  <c r="BN68" i="62" s="1"/>
  <c r="BM70" i="62"/>
  <c r="BL70" i="62"/>
  <c r="BL68" i="62" s="1"/>
  <c r="BK70" i="62"/>
  <c r="BK68" i="62" s="1"/>
  <c r="BJ70" i="62"/>
  <c r="BJ68" i="62" s="1"/>
  <c r="BH70" i="62"/>
  <c r="BG70" i="62"/>
  <c r="BG68" i="62" s="1"/>
  <c r="BF70" i="62"/>
  <c r="BF68" i="62" s="1"/>
  <c r="BE70" i="62"/>
  <c r="BE68" i="62" s="1"/>
  <c r="BD70" i="62"/>
  <c r="BB70" i="62"/>
  <c r="BB68" i="62" s="1"/>
  <c r="BA70" i="62"/>
  <c r="BA68" i="62" s="1"/>
  <c r="AZ70" i="62"/>
  <c r="AZ68" i="62" s="1"/>
  <c r="AY70" i="62"/>
  <c r="AX70" i="62"/>
  <c r="AX68" i="62" s="1"/>
  <c r="AW70" i="62"/>
  <c r="AW68" i="62" s="1"/>
  <c r="AU70" i="62"/>
  <c r="AU68" i="62" s="1"/>
  <c r="AT70" i="62"/>
  <c r="AS70" i="62"/>
  <c r="AR70" i="62"/>
  <c r="AI70" i="62"/>
  <c r="AH70" i="62"/>
  <c r="AG70" i="62"/>
  <c r="AG68" i="62" s="1"/>
  <c r="AF70" i="62"/>
  <c r="AF68" i="62" s="1"/>
  <c r="AD70" i="62"/>
  <c r="AA70" i="62"/>
  <c r="Z70" i="62"/>
  <c r="Z68" i="62" s="1"/>
  <c r="Y70" i="62"/>
  <c r="X70" i="62"/>
  <c r="W70" i="62"/>
  <c r="S70" i="62"/>
  <c r="R70" i="62"/>
  <c r="Q70" i="62"/>
  <c r="P70" i="62"/>
  <c r="O70" i="62"/>
  <c r="N70" i="62" s="1"/>
  <c r="J70" i="62"/>
  <c r="F70" i="62"/>
  <c r="D70" i="62"/>
  <c r="D68" i="62" s="1"/>
  <c r="C70" i="62"/>
  <c r="BI69" i="62"/>
  <c r="BC69" i="62"/>
  <c r="AV69" i="62"/>
  <c r="T69" i="62"/>
  <c r="N69" i="62"/>
  <c r="BT68" i="62"/>
  <c r="AS68" i="62"/>
  <c r="AR68" i="62"/>
  <c r="BI67" i="62"/>
  <c r="AV67" i="62"/>
  <c r="AJ67" i="62"/>
  <c r="AP67" i="62" s="1"/>
  <c r="BI66" i="62"/>
  <c r="BC66" i="62"/>
  <c r="T66" i="62"/>
  <c r="N66" i="62"/>
  <c r="CB65" i="62"/>
  <c r="BI64" i="62"/>
  <c r="BC64" i="62"/>
  <c r="AV64" i="62"/>
  <c r="BI63" i="62"/>
  <c r="BC63" i="62"/>
  <c r="AV63" i="62"/>
  <c r="T63" i="62"/>
  <c r="N63" i="62"/>
  <c r="G63" i="62"/>
  <c r="BI62" i="62"/>
  <c r="BC62" i="62"/>
  <c r="AV62" i="62"/>
  <c r="T62" i="62"/>
  <c r="G62" i="62"/>
  <c r="BI61" i="62"/>
  <c r="BC61" i="62"/>
  <c r="AV61" i="62"/>
  <c r="T61" i="62"/>
  <c r="G61" i="62"/>
  <c r="BI60" i="62"/>
  <c r="BC60" i="62"/>
  <c r="AV60" i="62"/>
  <c r="T60" i="62"/>
  <c r="N60" i="62"/>
  <c r="G60" i="62"/>
  <c r="BI59" i="62"/>
  <c r="BI57" i="62" s="1"/>
  <c r="BC59" i="62"/>
  <c r="AV59" i="62"/>
  <c r="T59" i="62"/>
  <c r="G59" i="62"/>
  <c r="BI58" i="62"/>
  <c r="BC58" i="62"/>
  <c r="AV58" i="62"/>
  <c r="N58" i="62"/>
  <c r="BX57" i="62"/>
  <c r="BW57" i="62"/>
  <c r="BV57" i="62"/>
  <c r="BU57" i="62"/>
  <c r="BQ57" i="62"/>
  <c r="BP57" i="62"/>
  <c r="BO57" i="62"/>
  <c r="BN57" i="62"/>
  <c r="BM57" i="62"/>
  <c r="BL57" i="62"/>
  <c r="BK57" i="62"/>
  <c r="BJ57" i="62"/>
  <c r="BH57" i="62"/>
  <c r="BG57" i="62"/>
  <c r="BF57" i="62"/>
  <c r="BE57" i="62"/>
  <c r="BD57" i="62"/>
  <c r="BB57" i="62"/>
  <c r="BA57" i="62"/>
  <c r="AZ57" i="62"/>
  <c r="AY57" i="62"/>
  <c r="AX57" i="62"/>
  <c r="AW57" i="62"/>
  <c r="AU57" i="62"/>
  <c r="AT57" i="62"/>
  <c r="AS57" i="62"/>
  <c r="AR57" i="62"/>
  <c r="AH57" i="62"/>
  <c r="AG57" i="62"/>
  <c r="AF57" i="62"/>
  <c r="AE57" i="62"/>
  <c r="AD57" i="62"/>
  <c r="P57" i="62"/>
  <c r="O57" i="62"/>
  <c r="L57" i="62"/>
  <c r="D57" i="62"/>
  <c r="AO56" i="62"/>
  <c r="BI55" i="62"/>
  <c r="BC55" i="62"/>
  <c r="AV55" i="62"/>
  <c r="T55" i="62"/>
  <c r="N55" i="62"/>
  <c r="G55" i="62"/>
  <c r="BI54" i="62"/>
  <c r="BC54" i="62"/>
  <c r="AV54" i="62"/>
  <c r="AJ54" i="62"/>
  <c r="T54" i="62"/>
  <c r="N54" i="62"/>
  <c r="G54" i="62"/>
  <c r="BI53" i="62"/>
  <c r="BC53" i="62"/>
  <c r="AV53" i="62"/>
  <c r="T53" i="62"/>
  <c r="N53" i="62"/>
  <c r="G53" i="62"/>
  <c r="BI52" i="62"/>
  <c r="BC52" i="62"/>
  <c r="AV52" i="62"/>
  <c r="T52" i="62"/>
  <c r="N52" i="62"/>
  <c r="G52" i="62"/>
  <c r="BI51" i="62"/>
  <c r="BC51" i="62"/>
  <c r="AV51" i="62"/>
  <c r="N51" i="62"/>
  <c r="BI50" i="62"/>
  <c r="BC50" i="62"/>
  <c r="AV50" i="62"/>
  <c r="N50" i="62"/>
  <c r="BI49" i="62"/>
  <c r="BC49" i="62"/>
  <c r="AV49" i="62"/>
  <c r="N49" i="62"/>
  <c r="G49" i="62"/>
  <c r="BI48" i="62"/>
  <c r="BC48" i="62"/>
  <c r="AV48" i="62"/>
  <c r="N48" i="62"/>
  <c r="BI47" i="62"/>
  <c r="BC47" i="62"/>
  <c r="AV47" i="62"/>
  <c r="N47" i="62"/>
  <c r="BV46" i="62"/>
  <c r="BU46" i="62"/>
  <c r="BT46" i="62"/>
  <c r="BQ46" i="62"/>
  <c r="BP46" i="62"/>
  <c r="BO46" i="62"/>
  <c r="BN46" i="62"/>
  <c r="BM46" i="62"/>
  <c r="BL46" i="62"/>
  <c r="BK46" i="62"/>
  <c r="BJ46" i="62"/>
  <c r="BH46" i="62"/>
  <c r="BG46" i="62"/>
  <c r="BG18" i="62" s="1"/>
  <c r="BF46" i="62"/>
  <c r="BE46" i="62"/>
  <c r="BD46" i="62"/>
  <c r="BB46" i="62"/>
  <c r="BB18" i="62" s="1"/>
  <c r="BA46" i="62"/>
  <c r="AZ46" i="62"/>
  <c r="AY46" i="62"/>
  <c r="AX46" i="62"/>
  <c r="AW46" i="62"/>
  <c r="AU46" i="62"/>
  <c r="AT46" i="62"/>
  <c r="AR46" i="62"/>
  <c r="AR18" i="62" s="1"/>
  <c r="AH46" i="62"/>
  <c r="AG46" i="62"/>
  <c r="AE46" i="62"/>
  <c r="AD46" i="62"/>
  <c r="AA46" i="62"/>
  <c r="Z46" i="62"/>
  <c r="S46" i="62"/>
  <c r="R46" i="62"/>
  <c r="Q46" i="62"/>
  <c r="P46" i="62"/>
  <c r="O46" i="62"/>
  <c r="N46" i="62"/>
  <c r="L46" i="62"/>
  <c r="H46" i="62"/>
  <c r="F46" i="62"/>
  <c r="BI45" i="62"/>
  <c r="AO45" i="62" s="1"/>
  <c r="BC45" i="62"/>
  <c r="AV45" i="62"/>
  <c r="T45" i="62"/>
  <c r="N45" i="62"/>
  <c r="G45" i="62"/>
  <c r="BI44" i="62"/>
  <c r="BC44" i="62"/>
  <c r="AV44" i="62"/>
  <c r="N44" i="62"/>
  <c r="G44" i="62"/>
  <c r="BI43" i="62"/>
  <c r="BC43" i="62"/>
  <c r="AV43" i="62"/>
  <c r="N43" i="62"/>
  <c r="G43" i="62"/>
  <c r="BI42" i="62"/>
  <c r="BC42" i="62"/>
  <c r="AV42" i="62"/>
  <c r="N42" i="62"/>
  <c r="G42" i="62"/>
  <c r="BW41" i="62"/>
  <c r="BV41" i="62"/>
  <c r="BU41" i="62"/>
  <c r="BQ41" i="62"/>
  <c r="BP41" i="62"/>
  <c r="BO41" i="62"/>
  <c r="BN41" i="62"/>
  <c r="BM41" i="62"/>
  <c r="BL41" i="62"/>
  <c r="BK41" i="62"/>
  <c r="BJ41" i="62"/>
  <c r="BH41" i="62"/>
  <c r="BG41" i="62"/>
  <c r="BF41" i="62"/>
  <c r="BE41" i="62"/>
  <c r="BD41" i="62"/>
  <c r="BC41" i="62" s="1"/>
  <c r="BB41" i="62"/>
  <c r="BA41" i="62"/>
  <c r="AZ41" i="62"/>
  <c r="AY41" i="62"/>
  <c r="AX41" i="62"/>
  <c r="AW41" i="62"/>
  <c r="AU41" i="62"/>
  <c r="AT41" i="62"/>
  <c r="AR41" i="62"/>
  <c r="AH41" i="62"/>
  <c r="AG41" i="62"/>
  <c r="AF41" i="62"/>
  <c r="AE41" i="62"/>
  <c r="AD41" i="62"/>
  <c r="AC41" i="62"/>
  <c r="AB41" i="62"/>
  <c r="Y41" i="62"/>
  <c r="X41" i="62"/>
  <c r="W41" i="62"/>
  <c r="V41" i="62"/>
  <c r="U41" i="62"/>
  <c r="S41" i="62"/>
  <c r="R41" i="62"/>
  <c r="Q41" i="62"/>
  <c r="P41" i="62"/>
  <c r="O41" i="62"/>
  <c r="M41" i="62"/>
  <c r="L41" i="62"/>
  <c r="K41" i="62"/>
  <c r="J41" i="62"/>
  <c r="I41" i="62"/>
  <c r="H41" i="62"/>
  <c r="E41" i="62"/>
  <c r="C41" i="62"/>
  <c r="BI40" i="62"/>
  <c r="BC40" i="62"/>
  <c r="AV40" i="62"/>
  <c r="T40" i="62"/>
  <c r="N40" i="62"/>
  <c r="G40" i="62"/>
  <c r="BI39" i="62"/>
  <c r="BC39" i="62"/>
  <c r="AV39" i="62"/>
  <c r="N39" i="62"/>
  <c r="BI38" i="62"/>
  <c r="BC38" i="62"/>
  <c r="AV38" i="62"/>
  <c r="N38" i="62"/>
  <c r="BW37" i="62"/>
  <c r="BV37" i="62"/>
  <c r="BU37" i="62"/>
  <c r="BQ37" i="62"/>
  <c r="BP37" i="62"/>
  <c r="BO37" i="62"/>
  <c r="BN37" i="62"/>
  <c r="BM37" i="62"/>
  <c r="BL37" i="62"/>
  <c r="BK37" i="62"/>
  <c r="BJ37" i="62"/>
  <c r="BH37" i="62"/>
  <c r="BG37" i="62"/>
  <c r="BF37" i="62"/>
  <c r="BE37" i="62"/>
  <c r="BD37" i="62"/>
  <c r="BC37" i="62" s="1"/>
  <c r="BB37" i="62"/>
  <c r="BA37" i="62"/>
  <c r="AZ37" i="62"/>
  <c r="AY37" i="62"/>
  <c r="AX37" i="62"/>
  <c r="AW37" i="62"/>
  <c r="AU37" i="62"/>
  <c r="AT37" i="62"/>
  <c r="AR37" i="62"/>
  <c r="AH37" i="62"/>
  <c r="AG37" i="62"/>
  <c r="AF37" i="62"/>
  <c r="AE37" i="62"/>
  <c r="AD37" i="62"/>
  <c r="AC37" i="62"/>
  <c r="AA37" i="62"/>
  <c r="Z37" i="62"/>
  <c r="S37" i="62"/>
  <c r="R37" i="62"/>
  <c r="Q37" i="62"/>
  <c r="P37" i="62"/>
  <c r="O37" i="62"/>
  <c r="L37" i="62"/>
  <c r="H37" i="62"/>
  <c r="F37" i="62"/>
  <c r="BI36" i="62"/>
  <c r="BC36" i="62"/>
  <c r="AV36" i="62"/>
  <c r="T36" i="62"/>
  <c r="N36" i="62"/>
  <c r="G36" i="62"/>
  <c r="BI35" i="62"/>
  <c r="BC35" i="62"/>
  <c r="AV35" i="62"/>
  <c r="N35" i="62"/>
  <c r="BI34" i="62"/>
  <c r="BC34" i="62"/>
  <c r="AV34" i="62"/>
  <c r="T34" i="62"/>
  <c r="G34" i="62"/>
  <c r="BI33" i="62"/>
  <c r="BC33" i="62"/>
  <c r="AV33" i="62"/>
  <c r="T33" i="62"/>
  <c r="N33" i="62"/>
  <c r="G33" i="62"/>
  <c r="BI32" i="62"/>
  <c r="BC32" i="62"/>
  <c r="AV32" i="62"/>
  <c r="T32" i="62"/>
  <c r="G32" i="62"/>
  <c r="BI31" i="62"/>
  <c r="BC31" i="62"/>
  <c r="AV31" i="62"/>
  <c r="N31" i="62"/>
  <c r="BI30" i="62"/>
  <c r="BC30" i="62"/>
  <c r="AV30" i="62"/>
  <c r="N30" i="62"/>
  <c r="G30" i="62"/>
  <c r="BI29" i="62"/>
  <c r="BC29" i="62"/>
  <c r="AV29" i="62"/>
  <c r="N29" i="62"/>
  <c r="BI28" i="62"/>
  <c r="BC28" i="62"/>
  <c r="AV28" i="62"/>
  <c r="N28" i="62"/>
  <c r="BW27" i="62"/>
  <c r="BV27" i="62"/>
  <c r="BU27" i="62"/>
  <c r="BQ27" i="62"/>
  <c r="BP27" i="62"/>
  <c r="BO27" i="62"/>
  <c r="BN27" i="62"/>
  <c r="BM27" i="62"/>
  <c r="BL27" i="62"/>
  <c r="BK27" i="62"/>
  <c r="BJ27" i="62"/>
  <c r="BH27" i="62"/>
  <c r="BG27" i="62"/>
  <c r="BF27" i="62"/>
  <c r="BF18" i="62" s="1"/>
  <c r="BE27" i="62"/>
  <c r="BD27" i="62"/>
  <c r="BB27" i="62"/>
  <c r="BA27" i="62"/>
  <c r="BA18" i="62" s="1"/>
  <c r="AZ27" i="62"/>
  <c r="AY27" i="62"/>
  <c r="AX27" i="62"/>
  <c r="AW27" i="62"/>
  <c r="AV27" i="62" s="1"/>
  <c r="AU27" i="62"/>
  <c r="AT27" i="62"/>
  <c r="AR27" i="62"/>
  <c r="AH27" i="62"/>
  <c r="AG27" i="62"/>
  <c r="AF27" i="62"/>
  <c r="AE27" i="62"/>
  <c r="AD27" i="62"/>
  <c r="AA27" i="62"/>
  <c r="Z27" i="62"/>
  <c r="R27" i="62"/>
  <c r="P27" i="62"/>
  <c r="O27" i="62"/>
  <c r="O18" i="62" s="1"/>
  <c r="L27" i="62"/>
  <c r="H27" i="62"/>
  <c r="F27" i="62"/>
  <c r="BI26" i="62"/>
  <c r="BC26" i="62"/>
  <c r="AV26" i="62"/>
  <c r="T26" i="62"/>
  <c r="N26" i="62"/>
  <c r="G26" i="62"/>
  <c r="BI25" i="62"/>
  <c r="BC25" i="62"/>
  <c r="AV25" i="62"/>
  <c r="T25" i="62"/>
  <c r="N25" i="62"/>
  <c r="G25" i="62"/>
  <c r="BI24" i="62"/>
  <c r="BC24" i="62"/>
  <c r="AV24" i="62"/>
  <c r="T24" i="62"/>
  <c r="G24" i="62"/>
  <c r="BI23" i="62"/>
  <c r="BC23" i="62"/>
  <c r="AV23" i="62"/>
  <c r="N23" i="62"/>
  <c r="BI22" i="62"/>
  <c r="BC22" i="62"/>
  <c r="AV22" i="62"/>
  <c r="N22" i="62"/>
  <c r="G22" i="62"/>
  <c r="BI21" i="62"/>
  <c r="BC21" i="62"/>
  <c r="AV21" i="62"/>
  <c r="N21" i="62"/>
  <c r="BI20" i="62"/>
  <c r="BC20" i="62"/>
  <c r="BC19" i="62" s="1"/>
  <c r="AV20" i="62"/>
  <c r="N20" i="62"/>
  <c r="BX19" i="62"/>
  <c r="BX18" i="62" s="1"/>
  <c r="BW19" i="62"/>
  <c r="BV19" i="62"/>
  <c r="BU19" i="62"/>
  <c r="BQ19" i="62"/>
  <c r="BP19" i="62"/>
  <c r="BO19" i="62"/>
  <c r="BN19" i="62"/>
  <c r="BM19" i="62"/>
  <c r="BL19" i="62"/>
  <c r="BK19" i="62"/>
  <c r="BJ19" i="62"/>
  <c r="BH19" i="62"/>
  <c r="BG19" i="62"/>
  <c r="BF19" i="62"/>
  <c r="BE19" i="62"/>
  <c r="BD19" i="62"/>
  <c r="BB19" i="62"/>
  <c r="BA19" i="62"/>
  <c r="AZ19" i="62"/>
  <c r="AY19" i="62"/>
  <c r="AY18" i="62" s="1"/>
  <c r="AX19" i="62"/>
  <c r="AW19" i="62"/>
  <c r="AU19" i="62"/>
  <c r="AT19" i="62"/>
  <c r="AT18" i="62" s="1"/>
  <c r="AS19" i="62"/>
  <c r="AR19" i="62"/>
  <c r="AI19" i="62"/>
  <c r="AI18" i="62" s="1"/>
  <c r="AH19" i="62"/>
  <c r="AH18" i="62" s="1"/>
  <c r="AG19" i="62"/>
  <c r="AF19" i="62"/>
  <c r="AE19" i="62"/>
  <c r="AE18" i="62" s="1"/>
  <c r="AD19" i="62"/>
  <c r="AA19" i="62"/>
  <c r="Z19" i="62"/>
  <c r="R19" i="62"/>
  <c r="R18" i="62" s="1"/>
  <c r="Q19" i="62"/>
  <c r="P19" i="62"/>
  <c r="O19" i="62"/>
  <c r="L19" i="62"/>
  <c r="L18" i="62" s="1"/>
  <c r="L9" i="62" s="1"/>
  <c r="H19" i="62"/>
  <c r="F19" i="62"/>
  <c r="D19" i="62"/>
  <c r="D18" i="62" s="1"/>
  <c r="BU18" i="62"/>
  <c r="AS18" i="62"/>
  <c r="BI17" i="62"/>
  <c r="BC17" i="62"/>
  <c r="AV17" i="62"/>
  <c r="T17" i="62"/>
  <c r="N17" i="62"/>
  <c r="G17" i="62"/>
  <c r="BI16" i="62"/>
  <c r="BC16" i="62"/>
  <c r="AV16" i="62"/>
  <c r="T16" i="62"/>
  <c r="G16" i="62"/>
  <c r="BI15" i="62"/>
  <c r="BC15" i="62"/>
  <c r="AV15" i="62"/>
  <c r="T15" i="62"/>
  <c r="G15" i="62"/>
  <c r="BI14" i="62"/>
  <c r="BI13" i="62" s="1"/>
  <c r="BC14" i="62"/>
  <c r="AV14" i="62"/>
  <c r="T14" i="62"/>
  <c r="G14" i="62"/>
  <c r="BX13" i="62"/>
  <c r="BX11" i="62" s="1"/>
  <c r="BW13" i="62"/>
  <c r="BW11" i="62" s="1"/>
  <c r="BV13" i="62"/>
  <c r="BV11" i="62" s="1"/>
  <c r="BU13" i="62"/>
  <c r="BU11" i="62" s="1"/>
  <c r="BT13" i="62"/>
  <c r="BT11" i="62" s="1"/>
  <c r="BS13" i="62"/>
  <c r="BS11" i="62" s="1"/>
  <c r="BQ13" i="62"/>
  <c r="BQ11" i="62" s="1"/>
  <c r="BP13" i="62"/>
  <c r="BO13" i="62"/>
  <c r="BO11" i="62" s="1"/>
  <c r="BN13" i="62"/>
  <c r="BN11" i="62" s="1"/>
  <c r="BM13" i="62"/>
  <c r="BM11" i="62" s="1"/>
  <c r="BL13" i="62"/>
  <c r="BL11" i="62" s="1"/>
  <c r="BK13" i="62"/>
  <c r="BK11" i="62" s="1"/>
  <c r="BJ13" i="62"/>
  <c r="BJ11" i="62" s="1"/>
  <c r="BH13" i="62"/>
  <c r="BH11" i="62" s="1"/>
  <c r="BG13" i="62"/>
  <c r="BG11" i="62" s="1"/>
  <c r="BF13" i="62"/>
  <c r="BF11" i="62" s="1"/>
  <c r="BE13" i="62"/>
  <c r="BE11" i="62" s="1"/>
  <c r="BD13" i="62"/>
  <c r="BD11" i="62" s="1"/>
  <c r="BB13" i="62"/>
  <c r="BB11" i="62" s="1"/>
  <c r="BA13" i="62"/>
  <c r="BA11" i="62" s="1"/>
  <c r="AZ13" i="62"/>
  <c r="AY13" i="62"/>
  <c r="AY11" i="62" s="1"/>
  <c r="AX13" i="62"/>
  <c r="AX11" i="62" s="1"/>
  <c r="AW13" i="62"/>
  <c r="AW11" i="62" s="1"/>
  <c r="AU13" i="62"/>
  <c r="AT13" i="62"/>
  <c r="AT11" i="62" s="1"/>
  <c r="AS13" i="62"/>
  <c r="AS11" i="62" s="1"/>
  <c r="AR13" i="62"/>
  <c r="AI13" i="62"/>
  <c r="AH13" i="62"/>
  <c r="AG13" i="62"/>
  <c r="AF13" i="62"/>
  <c r="AE13" i="62"/>
  <c r="AE11" i="62" s="1"/>
  <c r="AD13" i="62"/>
  <c r="AD11" i="62" s="1"/>
  <c r="AC13" i="62"/>
  <c r="AC11" i="62" s="1"/>
  <c r="AB13" i="62"/>
  <c r="AA13" i="62"/>
  <c r="AA11" i="62" s="1"/>
  <c r="Z13" i="62"/>
  <c r="Z11" i="62" s="1"/>
  <c r="Y13" i="62"/>
  <c r="X13" i="62"/>
  <c r="W13" i="62"/>
  <c r="W11" i="62" s="1"/>
  <c r="V13" i="62"/>
  <c r="V11" i="62" s="1"/>
  <c r="U13" i="62"/>
  <c r="U11" i="62" s="1"/>
  <c r="S13" i="62"/>
  <c r="R13" i="62"/>
  <c r="R11" i="62" s="1"/>
  <c r="Q13" i="62"/>
  <c r="P13" i="62"/>
  <c r="M13" i="62"/>
  <c r="L13" i="62"/>
  <c r="K13" i="62"/>
  <c r="K11" i="62" s="1"/>
  <c r="J13" i="62"/>
  <c r="J11" i="62" s="1"/>
  <c r="I13" i="62"/>
  <c r="H13" i="62"/>
  <c r="G13" i="62"/>
  <c r="G11" i="62" s="1"/>
  <c r="F13" i="62"/>
  <c r="F11" i="62" s="1"/>
  <c r="E13" i="62"/>
  <c r="D13" i="62"/>
  <c r="C13" i="62"/>
  <c r="C11" i="62" s="1"/>
  <c r="BI12" i="62"/>
  <c r="BC12" i="62"/>
  <c r="AV12" i="62"/>
  <c r="T12" i="62"/>
  <c r="G12" i="62"/>
  <c r="BP11" i="62"/>
  <c r="AZ11" i="62"/>
  <c r="AU11" i="62"/>
  <c r="AR11" i="62"/>
  <c r="AH11" i="62"/>
  <c r="AG11" i="62"/>
  <c r="AF11" i="62"/>
  <c r="AB11" i="62"/>
  <c r="Y11" i="62"/>
  <c r="X11" i="62"/>
  <c r="S11" i="62"/>
  <c r="M11" i="62"/>
  <c r="L11" i="62"/>
  <c r="I11" i="62"/>
  <c r="H11" i="62"/>
  <c r="E11" i="62"/>
  <c r="D11" i="62"/>
  <c r="BI10" i="62"/>
  <c r="BC10" i="62"/>
  <c r="T10" i="62"/>
  <c r="N10" i="62"/>
  <c r="G10" i="62"/>
  <c r="BI8" i="62"/>
  <c r="AV8" i="62"/>
  <c r="AJ8" i="62"/>
  <c r="AP8" i="62" s="1"/>
  <c r="BC7" i="62"/>
  <c r="AV7" i="62"/>
  <c r="BC5" i="62"/>
  <c r="BB5" i="62"/>
  <c r="BA5" i="62"/>
  <c r="AZ5" i="62"/>
  <c r="AY5" i="62"/>
  <c r="AX5" i="62"/>
  <c r="AW5" i="62"/>
  <c r="AJ5" i="62"/>
  <c r="AP5" i="62" s="1"/>
  <c r="BI4" i="62"/>
  <c r="BC4" i="62"/>
  <c r="AV4" i="62"/>
  <c r="AQ4" i="62"/>
  <c r="BY4" i="62" s="1"/>
  <c r="L13" i="32"/>
  <c r="BT57" i="61"/>
  <c r="BT41" i="61"/>
  <c r="BT37" i="61"/>
  <c r="BT27" i="61"/>
  <c r="BT19" i="61"/>
  <c r="BT65" i="61"/>
  <c r="AA65" i="61" s="1"/>
  <c r="AV65" i="61"/>
  <c r="BZ117" i="61"/>
  <c r="BZ112" i="61"/>
  <c r="BZ101" i="61"/>
  <c r="BZ89" i="61" s="1"/>
  <c r="BZ90" i="61"/>
  <c r="BI88" i="61"/>
  <c r="BC88" i="61"/>
  <c r="AV88" i="61"/>
  <c r="BI87" i="61"/>
  <c r="BC87" i="61"/>
  <c r="AV87" i="61"/>
  <c r="BI86" i="61"/>
  <c r="BC86" i="61"/>
  <c r="AV86" i="61"/>
  <c r="BI85" i="61"/>
  <c r="BC85" i="61"/>
  <c r="AV85" i="61"/>
  <c r="BX84" i="61"/>
  <c r="BV84" i="61"/>
  <c r="BU84" i="61"/>
  <c r="BU68" i="61" s="1"/>
  <c r="BS84" i="61"/>
  <c r="BR84" i="61"/>
  <c r="BQ84" i="61"/>
  <c r="BP84" i="61"/>
  <c r="BP68" i="61" s="1"/>
  <c r="BO84" i="61"/>
  <c r="BN84" i="61"/>
  <c r="BM84" i="61"/>
  <c r="BL84" i="61"/>
  <c r="BK84" i="61"/>
  <c r="BJ84" i="61"/>
  <c r="BH84" i="61"/>
  <c r="BG84" i="61"/>
  <c r="BF84" i="61"/>
  <c r="BE84" i="61"/>
  <c r="BD84" i="61"/>
  <c r="BB84" i="61"/>
  <c r="BA84" i="61"/>
  <c r="AZ84" i="61"/>
  <c r="AY84" i="61"/>
  <c r="AX84" i="61"/>
  <c r="AW84" i="61"/>
  <c r="AU84" i="61"/>
  <c r="AT84" i="61"/>
  <c r="AS84" i="61"/>
  <c r="AS68" i="61" s="1"/>
  <c r="AR84" i="61"/>
  <c r="AI84" i="61"/>
  <c r="AG84" i="61"/>
  <c r="AF84" i="61"/>
  <c r="AE84" i="61"/>
  <c r="AA84" i="61"/>
  <c r="Z84" i="61"/>
  <c r="R84" i="61"/>
  <c r="P84" i="61"/>
  <c r="O84" i="61"/>
  <c r="L84" i="61"/>
  <c r="D84" i="61"/>
  <c r="C84" i="61"/>
  <c r="BI83" i="61"/>
  <c r="BC83" i="61"/>
  <c r="AV83" i="61"/>
  <c r="BI82" i="61"/>
  <c r="BC82" i="61"/>
  <c r="AV82" i="61"/>
  <c r="BI81" i="61"/>
  <c r="BC81" i="61"/>
  <c r="AV81" i="61"/>
  <c r="BI80" i="61"/>
  <c r="BC80" i="61"/>
  <c r="AV80" i="61"/>
  <c r="AH80" i="61"/>
  <c r="AG80" i="61"/>
  <c r="AF80" i="61"/>
  <c r="AE80" i="61"/>
  <c r="AB80" i="61"/>
  <c r="AA80" i="61"/>
  <c r="Z80" i="61"/>
  <c r="V80" i="61"/>
  <c r="U80" i="61"/>
  <c r="R80" i="61"/>
  <c r="P80" i="61"/>
  <c r="O80" i="61"/>
  <c r="M80" i="61"/>
  <c r="L80" i="61"/>
  <c r="K80" i="61"/>
  <c r="I80" i="61"/>
  <c r="F80" i="61"/>
  <c r="C80" i="61"/>
  <c r="BI79" i="61"/>
  <c r="BC79" i="61"/>
  <c r="AV79" i="61"/>
  <c r="BI78" i="61"/>
  <c r="BC78" i="61"/>
  <c r="AV78" i="61"/>
  <c r="N78" i="61"/>
  <c r="BI77" i="61"/>
  <c r="BC77" i="61"/>
  <c r="AV77" i="61"/>
  <c r="N77" i="61"/>
  <c r="BI76" i="61"/>
  <c r="BC76" i="61"/>
  <c r="AV76" i="61"/>
  <c r="N76" i="61"/>
  <c r="BI75" i="61"/>
  <c r="BC75" i="61"/>
  <c r="AV75" i="61"/>
  <c r="N75" i="61"/>
  <c r="BI74" i="61"/>
  <c r="BC74" i="61"/>
  <c r="AV74" i="61"/>
  <c r="N74" i="61"/>
  <c r="BI73" i="61"/>
  <c r="BC73" i="61"/>
  <c r="AV73" i="61"/>
  <c r="N73" i="61"/>
  <c r="BI72" i="61"/>
  <c r="BC72" i="61"/>
  <c r="AV72" i="61"/>
  <c r="T72" i="61"/>
  <c r="N72" i="61"/>
  <c r="BI71" i="61"/>
  <c r="BC71" i="61"/>
  <c r="AV71" i="61"/>
  <c r="N71" i="61"/>
  <c r="BX70" i="61"/>
  <c r="BX68" i="61" s="1"/>
  <c r="BV70" i="61"/>
  <c r="BV68" i="61" s="1"/>
  <c r="BU70" i="61"/>
  <c r="BT70" i="61"/>
  <c r="BT68" i="61" s="1"/>
  <c r="BS70" i="61"/>
  <c r="BS68" i="61" s="1"/>
  <c r="BR70" i="61"/>
  <c r="BQ70" i="61"/>
  <c r="BP70" i="61"/>
  <c r="BO70" i="61"/>
  <c r="BO68" i="61" s="1"/>
  <c r="BN70" i="61"/>
  <c r="BM70" i="61"/>
  <c r="BL70" i="61"/>
  <c r="BK70" i="61"/>
  <c r="BK68" i="61" s="1"/>
  <c r="BJ70" i="61"/>
  <c r="BH70" i="61"/>
  <c r="BG70" i="61"/>
  <c r="BF70" i="61"/>
  <c r="BF68" i="61" s="1"/>
  <c r="BE70" i="61"/>
  <c r="BE68" i="61" s="1"/>
  <c r="BD70" i="61"/>
  <c r="BB70" i="61"/>
  <c r="BA70" i="61"/>
  <c r="BA68" i="61" s="1"/>
  <c r="AZ70" i="61"/>
  <c r="AZ68" i="61" s="1"/>
  <c r="AY70" i="61"/>
  <c r="AY68" i="61" s="1"/>
  <c r="AX70" i="61"/>
  <c r="AW70" i="61"/>
  <c r="AU70" i="61"/>
  <c r="AT70" i="61"/>
  <c r="AS70" i="61"/>
  <c r="AR70" i="61"/>
  <c r="AR68" i="61" s="1"/>
  <c r="AI70" i="61"/>
  <c r="AH70" i="61"/>
  <c r="AG70" i="61"/>
  <c r="AG68" i="61" s="1"/>
  <c r="AF70" i="61"/>
  <c r="AD70" i="61"/>
  <c r="AA70" i="61"/>
  <c r="Z70" i="61"/>
  <c r="Y70" i="61"/>
  <c r="X70" i="61"/>
  <c r="W70" i="61"/>
  <c r="S70" i="61"/>
  <c r="R70" i="61"/>
  <c r="Q70" i="61"/>
  <c r="P70" i="61"/>
  <c r="O70" i="61"/>
  <c r="J70" i="61"/>
  <c r="F70" i="61"/>
  <c r="D70" i="61"/>
  <c r="C70" i="61"/>
  <c r="BI69" i="61"/>
  <c r="BC69" i="61"/>
  <c r="AV69" i="61"/>
  <c r="T69" i="61"/>
  <c r="N69" i="61"/>
  <c r="BQ68" i="61"/>
  <c r="BM68" i="61"/>
  <c r="BH68" i="61"/>
  <c r="BD68" i="61"/>
  <c r="BI67" i="61"/>
  <c r="AV67" i="61"/>
  <c r="AJ67" i="61"/>
  <c r="AP67" i="61" s="1"/>
  <c r="BI66" i="61"/>
  <c r="BC66" i="61"/>
  <c r="T66" i="61"/>
  <c r="N66" i="61"/>
  <c r="CB65" i="61"/>
  <c r="BI64" i="61"/>
  <c r="BC64" i="61"/>
  <c r="AV64" i="61"/>
  <c r="BI63" i="61"/>
  <c r="BC63" i="61"/>
  <c r="AV63" i="61"/>
  <c r="T63" i="61"/>
  <c r="N63" i="61"/>
  <c r="G63" i="61"/>
  <c r="BI62" i="61"/>
  <c r="BC62" i="61"/>
  <c r="AV62" i="61"/>
  <c r="T62" i="61"/>
  <c r="G62" i="61"/>
  <c r="BI61" i="61"/>
  <c r="BC61" i="61"/>
  <c r="AV61" i="61"/>
  <c r="T61" i="61"/>
  <c r="G61" i="61"/>
  <c r="BI60" i="61"/>
  <c r="BC60" i="61"/>
  <c r="AV60" i="61"/>
  <c r="T60" i="61"/>
  <c r="N60" i="61"/>
  <c r="G60" i="61"/>
  <c r="BI59" i="61"/>
  <c r="BC59" i="61"/>
  <c r="AV59" i="61"/>
  <c r="T59" i="61"/>
  <c r="G59" i="61"/>
  <c r="BI58" i="61"/>
  <c r="BC58" i="61"/>
  <c r="AV58" i="61"/>
  <c r="N58" i="61"/>
  <c r="BX57" i="61"/>
  <c r="BW57" i="61"/>
  <c r="BV57" i="61"/>
  <c r="BU57" i="61"/>
  <c r="BQ57" i="61"/>
  <c r="BP57" i="61"/>
  <c r="BO57" i="61"/>
  <c r="BN57" i="61"/>
  <c r="BM57" i="61"/>
  <c r="BL57" i="61"/>
  <c r="BK57" i="61"/>
  <c r="BJ57" i="61"/>
  <c r="BH57" i="61"/>
  <c r="BG57" i="61"/>
  <c r="BF57" i="61"/>
  <c r="BE57" i="61"/>
  <c r="BD57" i="61"/>
  <c r="BB57" i="61"/>
  <c r="BA57" i="61"/>
  <c r="AZ57" i="61"/>
  <c r="AY57" i="61"/>
  <c r="AX57" i="61"/>
  <c r="AW57" i="61"/>
  <c r="AU57" i="61"/>
  <c r="AT57" i="61"/>
  <c r="AS57" i="61"/>
  <c r="AR57" i="61"/>
  <c r="AH57" i="61"/>
  <c r="AG57" i="61"/>
  <c r="AF57" i="61"/>
  <c r="AE57" i="61"/>
  <c r="AD57" i="61"/>
  <c r="P57" i="61"/>
  <c r="O57" i="61"/>
  <c r="L57" i="61"/>
  <c r="D57" i="61"/>
  <c r="AO56" i="61"/>
  <c r="BI55" i="61"/>
  <c r="BC55" i="61"/>
  <c r="AV55" i="61"/>
  <c r="T55" i="61"/>
  <c r="N55" i="61"/>
  <c r="G55" i="61"/>
  <c r="BI54" i="61"/>
  <c r="BC54" i="61"/>
  <c r="AV54" i="61"/>
  <c r="T54" i="61"/>
  <c r="N54" i="61"/>
  <c r="G54" i="61"/>
  <c r="BI53" i="61"/>
  <c r="BC53" i="61"/>
  <c r="AV53" i="61"/>
  <c r="T53" i="61"/>
  <c r="N53" i="61"/>
  <c r="G53" i="61"/>
  <c r="BI52" i="61"/>
  <c r="BC52" i="61"/>
  <c r="AV52" i="61"/>
  <c r="T52" i="61"/>
  <c r="N52" i="61"/>
  <c r="G52" i="61"/>
  <c r="BI51" i="61"/>
  <c r="BC51" i="61"/>
  <c r="AV51" i="61"/>
  <c r="N51" i="61"/>
  <c r="BI50" i="61"/>
  <c r="BC50" i="61"/>
  <c r="AV50" i="61"/>
  <c r="N50" i="61"/>
  <c r="BI49" i="61"/>
  <c r="BC49" i="61"/>
  <c r="AV49" i="61"/>
  <c r="N49" i="61"/>
  <c r="G49" i="61"/>
  <c r="BI48" i="61"/>
  <c r="BC48" i="61"/>
  <c r="AV48" i="61"/>
  <c r="N48" i="61"/>
  <c r="BI47" i="61"/>
  <c r="BC47" i="61"/>
  <c r="AV47" i="61"/>
  <c r="N47" i="61"/>
  <c r="BV46" i="61"/>
  <c r="BU46" i="61"/>
  <c r="BT46" i="61"/>
  <c r="BQ46" i="61"/>
  <c r="BP46" i="61"/>
  <c r="BO46" i="61"/>
  <c r="BN46" i="61"/>
  <c r="BM46" i="61"/>
  <c r="BL46" i="61"/>
  <c r="BK46" i="61"/>
  <c r="BJ46" i="61"/>
  <c r="BH46" i="61"/>
  <c r="BG46" i="61"/>
  <c r="BF46" i="61"/>
  <c r="BE46" i="61"/>
  <c r="BD46" i="61"/>
  <c r="BB46" i="61"/>
  <c r="BA46" i="61"/>
  <c r="AZ46" i="61"/>
  <c r="AY46" i="61"/>
  <c r="AX46" i="61"/>
  <c r="AW46" i="61"/>
  <c r="AU46" i="61"/>
  <c r="AT46" i="61"/>
  <c r="AR46" i="61"/>
  <c r="AH46" i="61"/>
  <c r="AG46" i="61"/>
  <c r="AE46" i="61"/>
  <c r="AA46" i="61"/>
  <c r="Z46" i="61"/>
  <c r="S46" i="61"/>
  <c r="R46" i="61"/>
  <c r="Q46" i="61"/>
  <c r="P46" i="61"/>
  <c r="O46" i="61"/>
  <c r="L46" i="61"/>
  <c r="H46" i="61"/>
  <c r="F46" i="61"/>
  <c r="BI45" i="61"/>
  <c r="BC45" i="61"/>
  <c r="AV45" i="61"/>
  <c r="T45" i="61"/>
  <c r="N45" i="61"/>
  <c r="G45" i="61"/>
  <c r="BI44" i="61"/>
  <c r="BC44" i="61"/>
  <c r="AV44" i="61"/>
  <c r="N44" i="61"/>
  <c r="G44" i="61"/>
  <c r="BI43" i="61"/>
  <c r="BC43" i="61"/>
  <c r="AV43" i="61"/>
  <c r="N43" i="61"/>
  <c r="N41" i="61" s="1"/>
  <c r="G43" i="61"/>
  <c r="BI42" i="61"/>
  <c r="BC42" i="61"/>
  <c r="AV42" i="61"/>
  <c r="N42" i="61"/>
  <c r="G42" i="61"/>
  <c r="BW41" i="61"/>
  <c r="BV41" i="61"/>
  <c r="BU41" i="61"/>
  <c r="BQ41" i="61"/>
  <c r="BP41" i="61"/>
  <c r="BO41" i="61"/>
  <c r="BN41" i="61"/>
  <c r="BM41" i="61"/>
  <c r="BL41" i="61"/>
  <c r="BK41" i="61"/>
  <c r="BJ41" i="61"/>
  <c r="BH41" i="61"/>
  <c r="BG41" i="61"/>
  <c r="BF41" i="61"/>
  <c r="BE41" i="61"/>
  <c r="BD41" i="61"/>
  <c r="BB41" i="61"/>
  <c r="BA41" i="61"/>
  <c r="AZ41" i="61"/>
  <c r="AY41" i="61"/>
  <c r="AX41" i="61"/>
  <c r="AW41" i="61"/>
  <c r="AU41" i="61"/>
  <c r="AT41" i="61"/>
  <c r="AR41" i="61"/>
  <c r="AH41" i="61"/>
  <c r="AG41" i="61"/>
  <c r="AF41" i="61"/>
  <c r="AE41" i="61"/>
  <c r="AD41" i="61"/>
  <c r="AC41" i="61"/>
  <c r="AB41" i="61"/>
  <c r="Y41" i="61"/>
  <c r="X41" i="61"/>
  <c r="W41" i="61"/>
  <c r="V41" i="61"/>
  <c r="U41" i="61"/>
  <c r="S41" i="61"/>
  <c r="R41" i="61"/>
  <c r="Q41" i="61"/>
  <c r="P41" i="61"/>
  <c r="O41" i="61"/>
  <c r="M41" i="61"/>
  <c r="L41" i="61"/>
  <c r="K41" i="61"/>
  <c r="J41" i="61"/>
  <c r="I41" i="61"/>
  <c r="H41" i="61"/>
  <c r="E41" i="61"/>
  <c r="C41" i="61"/>
  <c r="BI40" i="61"/>
  <c r="BC40" i="61"/>
  <c r="AV40" i="61"/>
  <c r="T40" i="61"/>
  <c r="N40" i="61"/>
  <c r="G40" i="61"/>
  <c r="BI39" i="61"/>
  <c r="BC39" i="61"/>
  <c r="AV39" i="61"/>
  <c r="N39" i="61"/>
  <c r="BI38" i="61"/>
  <c r="BC38" i="61"/>
  <c r="AV38" i="61"/>
  <c r="N38" i="61"/>
  <c r="BW37" i="61"/>
  <c r="BV37" i="61"/>
  <c r="BU37" i="61"/>
  <c r="BQ37" i="61"/>
  <c r="BP37" i="61"/>
  <c r="BO37" i="61"/>
  <c r="BN37" i="61"/>
  <c r="BM37" i="61"/>
  <c r="BL37" i="61"/>
  <c r="BK37" i="61"/>
  <c r="BJ37" i="61"/>
  <c r="BH37" i="61"/>
  <c r="BG37" i="61"/>
  <c r="BF37" i="61"/>
  <c r="BE37" i="61"/>
  <c r="BD37" i="61"/>
  <c r="BB37" i="61"/>
  <c r="BA37" i="61"/>
  <c r="AZ37" i="61"/>
  <c r="AY37" i="61"/>
  <c r="AX37" i="61"/>
  <c r="AW37" i="61"/>
  <c r="AU37" i="61"/>
  <c r="AT37" i="61"/>
  <c r="AR37" i="61"/>
  <c r="AH37" i="61"/>
  <c r="AG37" i="61"/>
  <c r="AF37" i="61"/>
  <c r="AE37" i="61"/>
  <c r="AD37" i="61"/>
  <c r="AC37" i="61"/>
  <c r="AA37" i="61"/>
  <c r="Z37" i="61"/>
  <c r="S37" i="61"/>
  <c r="R37" i="61"/>
  <c r="Q37" i="61"/>
  <c r="P37" i="61"/>
  <c r="O37" i="61"/>
  <c r="L37" i="61"/>
  <c r="H37" i="61"/>
  <c r="H18" i="61" s="1"/>
  <c r="F37" i="61"/>
  <c r="BI36" i="61"/>
  <c r="BC36" i="61"/>
  <c r="AV36" i="61"/>
  <c r="AO36" i="61" s="1"/>
  <c r="T36" i="61"/>
  <c r="N36" i="61"/>
  <c r="G36" i="61"/>
  <c r="BI35" i="61"/>
  <c r="BC35" i="61"/>
  <c r="AV35" i="61"/>
  <c r="N35" i="61"/>
  <c r="BI34" i="61"/>
  <c r="BC34" i="61"/>
  <c r="AV34" i="61"/>
  <c r="T34" i="61"/>
  <c r="G34" i="61"/>
  <c r="BI33" i="61"/>
  <c r="BC33" i="61"/>
  <c r="AV33" i="61"/>
  <c r="T33" i="61"/>
  <c r="N33" i="61"/>
  <c r="G33" i="61"/>
  <c r="BI32" i="61"/>
  <c r="BC32" i="61"/>
  <c r="AV32" i="61"/>
  <c r="T32" i="61"/>
  <c r="G32" i="61"/>
  <c r="BI31" i="61"/>
  <c r="BC31" i="61"/>
  <c r="AV31" i="61"/>
  <c r="N31" i="61"/>
  <c r="BI30" i="61"/>
  <c r="BC30" i="61"/>
  <c r="AV30" i="61"/>
  <c r="N30" i="61"/>
  <c r="G30" i="61"/>
  <c r="BI29" i="61"/>
  <c r="BC29" i="61"/>
  <c r="AV29" i="61"/>
  <c r="N29" i="61"/>
  <c r="BI28" i="61"/>
  <c r="BC28" i="61"/>
  <c r="AV28" i="61"/>
  <c r="N28" i="61"/>
  <c r="BW27" i="61"/>
  <c r="BV27" i="61"/>
  <c r="BU27" i="61"/>
  <c r="BQ27" i="61"/>
  <c r="BQ18" i="61" s="1"/>
  <c r="BP27" i="61"/>
  <c r="BO27" i="61"/>
  <c r="BN27" i="61"/>
  <c r="BM27" i="61"/>
  <c r="BL27" i="61"/>
  <c r="BK27" i="61"/>
  <c r="BJ27" i="61"/>
  <c r="BH27" i="61"/>
  <c r="BG27" i="61"/>
  <c r="BF27" i="61"/>
  <c r="BE27" i="61"/>
  <c r="BD27" i="61"/>
  <c r="BC27" i="61" s="1"/>
  <c r="BB27" i="61"/>
  <c r="BA27" i="61"/>
  <c r="AZ27" i="61"/>
  <c r="AZ18" i="61" s="1"/>
  <c r="AY27" i="61"/>
  <c r="AX27" i="61"/>
  <c r="AW27" i="61"/>
  <c r="AU27" i="61"/>
  <c r="AT27" i="61"/>
  <c r="AR27" i="61"/>
  <c r="AH27" i="61"/>
  <c r="AG27" i="61"/>
  <c r="AF27" i="61"/>
  <c r="AE27" i="61"/>
  <c r="AD27" i="61"/>
  <c r="AA27" i="61"/>
  <c r="Z27" i="61"/>
  <c r="R27" i="61"/>
  <c r="P27" i="61"/>
  <c r="O27" i="61"/>
  <c r="L27" i="61"/>
  <c r="H27" i="61"/>
  <c r="F27" i="61"/>
  <c r="BI26" i="61"/>
  <c r="AO26" i="61" s="1"/>
  <c r="BC26" i="61"/>
  <c r="AV26" i="61"/>
  <c r="T26" i="61"/>
  <c r="N26" i="61"/>
  <c r="G26" i="61"/>
  <c r="BI25" i="61"/>
  <c r="BC25" i="61"/>
  <c r="AV25" i="61"/>
  <c r="T25" i="61"/>
  <c r="N25" i="61"/>
  <c r="G25" i="61"/>
  <c r="BI24" i="61"/>
  <c r="BC24" i="61"/>
  <c r="AV24" i="61"/>
  <c r="T24" i="61"/>
  <c r="G24" i="61"/>
  <c r="BI23" i="61"/>
  <c r="BC23" i="61"/>
  <c r="AV23" i="61"/>
  <c r="N23" i="61"/>
  <c r="BI22" i="61"/>
  <c r="BC22" i="61"/>
  <c r="AV22" i="61"/>
  <c r="N22" i="61"/>
  <c r="G22" i="61"/>
  <c r="BI21" i="61"/>
  <c r="BC21" i="61"/>
  <c r="AV21" i="61"/>
  <c r="N21" i="61"/>
  <c r="BI20" i="61"/>
  <c r="BC20" i="61"/>
  <c r="AV20" i="61"/>
  <c r="N20" i="61"/>
  <c r="BX19" i="61"/>
  <c r="BX18" i="61" s="1"/>
  <c r="BW19" i="61"/>
  <c r="BV19" i="61"/>
  <c r="BU19" i="61"/>
  <c r="BQ19" i="61"/>
  <c r="BP19" i="61"/>
  <c r="BO19" i="61"/>
  <c r="BO18" i="61" s="1"/>
  <c r="BN19" i="61"/>
  <c r="BM19" i="61"/>
  <c r="BL19" i="61"/>
  <c r="BK19" i="61"/>
  <c r="BK18" i="61" s="1"/>
  <c r="BJ19" i="61"/>
  <c r="BH19" i="61"/>
  <c r="BG19" i="61"/>
  <c r="BF19" i="61"/>
  <c r="BE19" i="61"/>
  <c r="BE18" i="61" s="1"/>
  <c r="BD19" i="61"/>
  <c r="BB19" i="61"/>
  <c r="BA19" i="61"/>
  <c r="AZ19" i="61"/>
  <c r="AY19" i="61"/>
  <c r="AX19" i="61"/>
  <c r="AW19" i="61"/>
  <c r="AU19" i="61"/>
  <c r="AU18" i="61" s="1"/>
  <c r="AU9" i="61" s="1"/>
  <c r="AT19" i="61"/>
  <c r="AS19" i="61"/>
  <c r="AS18" i="61" s="1"/>
  <c r="AR19" i="61"/>
  <c r="AI19" i="61"/>
  <c r="AI18" i="61" s="1"/>
  <c r="AH19" i="61"/>
  <c r="AG19" i="61"/>
  <c r="AF19" i="61"/>
  <c r="AE19" i="61"/>
  <c r="AD19" i="61"/>
  <c r="AA19" i="61"/>
  <c r="Z19" i="61"/>
  <c r="R19" i="61"/>
  <c r="Q19" i="61"/>
  <c r="P19" i="61"/>
  <c r="O19" i="61"/>
  <c r="L19" i="61"/>
  <c r="H19" i="61"/>
  <c r="F19" i="61"/>
  <c r="D19" i="61"/>
  <c r="D18" i="61" s="1"/>
  <c r="BI17" i="61"/>
  <c r="BC17" i="61"/>
  <c r="AV17" i="61"/>
  <c r="T17" i="61"/>
  <c r="N17" i="61"/>
  <c r="G17" i="61"/>
  <c r="BI16" i="61"/>
  <c r="BC16" i="61"/>
  <c r="AV16" i="61"/>
  <c r="T16" i="61"/>
  <c r="G16" i="61"/>
  <c r="BI15" i="61"/>
  <c r="BC15" i="61"/>
  <c r="BC13" i="61" s="1"/>
  <c r="AV15" i="61"/>
  <c r="T15" i="61"/>
  <c r="G15" i="61"/>
  <c r="BI14" i="61"/>
  <c r="BI13" i="61" s="1"/>
  <c r="BI11" i="61" s="1"/>
  <c r="BC14" i="61"/>
  <c r="AV14" i="61"/>
  <c r="T14" i="61"/>
  <c r="T13" i="61" s="1"/>
  <c r="G14" i="61"/>
  <c r="BX13" i="61"/>
  <c r="BX11" i="61" s="1"/>
  <c r="BW13" i="61"/>
  <c r="BV13" i="61"/>
  <c r="BV11" i="61" s="1"/>
  <c r="BU13" i="61"/>
  <c r="BU11" i="61" s="1"/>
  <c r="BT13" i="61"/>
  <c r="BT11" i="61" s="1"/>
  <c r="BS13" i="61"/>
  <c r="BS11" i="61" s="1"/>
  <c r="BQ13" i="61"/>
  <c r="BQ11" i="61" s="1"/>
  <c r="BP13" i="61"/>
  <c r="BP11" i="61" s="1"/>
  <c r="BO13" i="61"/>
  <c r="BO11" i="61" s="1"/>
  <c r="BN13" i="61"/>
  <c r="BN11" i="61" s="1"/>
  <c r="BM13" i="61"/>
  <c r="BM11" i="61" s="1"/>
  <c r="BL13" i="61"/>
  <c r="BL11" i="61" s="1"/>
  <c r="BK13" i="61"/>
  <c r="BK11" i="61" s="1"/>
  <c r="BJ13" i="61"/>
  <c r="BJ11" i="61" s="1"/>
  <c r="BH13" i="61"/>
  <c r="BH11" i="61" s="1"/>
  <c r="BG13" i="61"/>
  <c r="BG11" i="61" s="1"/>
  <c r="BF13" i="61"/>
  <c r="BF11" i="61" s="1"/>
  <c r="BE13" i="61"/>
  <c r="BE11" i="61" s="1"/>
  <c r="BD13" i="61"/>
  <c r="BD11" i="61" s="1"/>
  <c r="BB13" i="61"/>
  <c r="BB11" i="61" s="1"/>
  <c r="BA13" i="61"/>
  <c r="BA11" i="61" s="1"/>
  <c r="AZ13" i="61"/>
  <c r="AZ11" i="61" s="1"/>
  <c r="AY13" i="61"/>
  <c r="AX13" i="61"/>
  <c r="AX11" i="61" s="1"/>
  <c r="AW13" i="61"/>
  <c r="AW11" i="61" s="1"/>
  <c r="AU13" i="61"/>
  <c r="AT13" i="61"/>
  <c r="AT11" i="61" s="1"/>
  <c r="AS13" i="61"/>
  <c r="AS11" i="61" s="1"/>
  <c r="AS9" i="61" s="1"/>
  <c r="AR13" i="61"/>
  <c r="AI13" i="61"/>
  <c r="AH13" i="61"/>
  <c r="AG13" i="61"/>
  <c r="AG11" i="61" s="1"/>
  <c r="AF13" i="61"/>
  <c r="AF11" i="61" s="1"/>
  <c r="AE13" i="61"/>
  <c r="AE11" i="61" s="1"/>
  <c r="AD13" i="61"/>
  <c r="AD11" i="61" s="1"/>
  <c r="AC13" i="61"/>
  <c r="AC11" i="61" s="1"/>
  <c r="AB13" i="61"/>
  <c r="AB11" i="61" s="1"/>
  <c r="AA13" i="61"/>
  <c r="AA11" i="61" s="1"/>
  <c r="Z13" i="61"/>
  <c r="Z11" i="61" s="1"/>
  <c r="Y13" i="61"/>
  <c r="Y11" i="61" s="1"/>
  <c r="X13" i="61"/>
  <c r="W13" i="61"/>
  <c r="W11" i="61" s="1"/>
  <c r="V13" i="61"/>
  <c r="V11" i="61" s="1"/>
  <c r="U13" i="61"/>
  <c r="U11" i="61" s="1"/>
  <c r="S13" i="61"/>
  <c r="S11" i="61" s="1"/>
  <c r="R13" i="61"/>
  <c r="R11" i="61" s="1"/>
  <c r="Q13" i="61"/>
  <c r="P13" i="61"/>
  <c r="M13" i="61"/>
  <c r="M11" i="61" s="1"/>
  <c r="L13" i="61"/>
  <c r="K13" i="61"/>
  <c r="J13" i="61"/>
  <c r="J11" i="61" s="1"/>
  <c r="I13" i="61"/>
  <c r="I11" i="61" s="1"/>
  <c r="H13" i="61"/>
  <c r="H11" i="61" s="1"/>
  <c r="F13" i="61"/>
  <c r="F11" i="61" s="1"/>
  <c r="E13" i="61"/>
  <c r="E11" i="61" s="1"/>
  <c r="D13" i="61"/>
  <c r="C13" i="61"/>
  <c r="C11" i="61" s="1"/>
  <c r="BI12" i="61"/>
  <c r="BC12" i="61"/>
  <c r="BC11" i="61" s="1"/>
  <c r="AV12" i="61"/>
  <c r="T12" i="61"/>
  <c r="G12" i="61"/>
  <c r="BW11" i="61"/>
  <c r="AY11" i="61"/>
  <c r="AU11" i="61"/>
  <c r="AH11" i="61"/>
  <c r="X11" i="61"/>
  <c r="L11" i="61"/>
  <c r="K11" i="61"/>
  <c r="D11" i="61"/>
  <c r="BI10" i="61"/>
  <c r="BC10" i="61"/>
  <c r="T10" i="61"/>
  <c r="N10" i="61"/>
  <c r="G10" i="61"/>
  <c r="BI8" i="61"/>
  <c r="AV8" i="61"/>
  <c r="AJ8" i="61"/>
  <c r="AP8" i="61" s="1"/>
  <c r="BC7" i="61"/>
  <c r="AV7" i="61"/>
  <c r="BC5" i="61"/>
  <c r="BB5" i="61"/>
  <c r="BA5" i="61"/>
  <c r="AZ5" i="61"/>
  <c r="AY5" i="61"/>
  <c r="AX5" i="61"/>
  <c r="AW5" i="61"/>
  <c r="AJ5" i="61"/>
  <c r="AP5" i="61" s="1"/>
  <c r="BI4" i="61"/>
  <c r="BC4" i="61"/>
  <c r="AV4" i="61"/>
  <c r="AQ4" i="61"/>
  <c r="BY4" i="61" s="1"/>
  <c r="AU9" i="64" l="1"/>
  <c r="BP9" i="64"/>
  <c r="AH18" i="61"/>
  <c r="G41" i="61"/>
  <c r="AV46" i="61"/>
  <c r="AO69" i="61"/>
  <c r="AV84" i="61"/>
  <c r="BT18" i="61"/>
  <c r="BF9" i="62"/>
  <c r="P18" i="62"/>
  <c r="AX18" i="62"/>
  <c r="BK18" i="62"/>
  <c r="BO18" i="62"/>
  <c r="BC27" i="62"/>
  <c r="AV37" i="62"/>
  <c r="AZ18" i="62"/>
  <c r="BC70" i="62"/>
  <c r="D65" i="62"/>
  <c r="V65" i="62"/>
  <c r="AV13" i="64"/>
  <c r="AV11" i="64" s="1"/>
  <c r="BA18" i="64"/>
  <c r="BU18" i="64"/>
  <c r="BU9" i="64" s="1"/>
  <c r="BL18" i="64"/>
  <c r="BL9" i="64" s="1"/>
  <c r="BO18" i="64"/>
  <c r="BO9" i="64" s="1"/>
  <c r="AO45" i="64"/>
  <c r="BC46" i="64"/>
  <c r="AA68" i="64"/>
  <c r="D65" i="64"/>
  <c r="BC68" i="65"/>
  <c r="BI68" i="66"/>
  <c r="BO9" i="61"/>
  <c r="BL18" i="61"/>
  <c r="BL9" i="61" s="1"/>
  <c r="BP18" i="61"/>
  <c r="BP9" i="61" s="1"/>
  <c r="AX18" i="61"/>
  <c r="BV18" i="61"/>
  <c r="BV9" i="61" s="1"/>
  <c r="AV5" i="62"/>
  <c r="AS9" i="62"/>
  <c r="BL18" i="62"/>
  <c r="BL9" i="62" s="1"/>
  <c r="BP18" i="62"/>
  <c r="BP9" i="62" s="1"/>
  <c r="BE18" i="62"/>
  <c r="AV5" i="64"/>
  <c r="AT9" i="64"/>
  <c r="T11" i="64"/>
  <c r="G13" i="64"/>
  <c r="G11" i="64" s="1"/>
  <c r="BD18" i="64"/>
  <c r="BD9" i="64" s="1"/>
  <c r="BC19" i="64"/>
  <c r="AO26" i="64"/>
  <c r="AE18" i="64"/>
  <c r="AE9" i="64" s="1"/>
  <c r="AJ36" i="64"/>
  <c r="BC37" i="64"/>
  <c r="AJ40" i="64"/>
  <c r="BY40" i="64" s="1"/>
  <c r="AY18" i="64"/>
  <c r="BG18" i="64"/>
  <c r="BG9" i="64" s="1"/>
  <c r="BI46" i="64"/>
  <c r="AW68" i="64"/>
  <c r="BA68" i="64"/>
  <c r="BE68" i="64"/>
  <c r="BI84" i="64"/>
  <c r="BI68" i="64" s="1"/>
  <c r="AV18" i="65"/>
  <c r="AU18" i="64"/>
  <c r="BC18" i="66"/>
  <c r="BC9" i="66" s="1"/>
  <c r="BV5" i="64"/>
  <c r="BN9" i="64"/>
  <c r="T11" i="61"/>
  <c r="AG18" i="61"/>
  <c r="BI37" i="61"/>
  <c r="AJ40" i="61"/>
  <c r="N70" i="61"/>
  <c r="AX68" i="61"/>
  <c r="BB68" i="61"/>
  <c r="BG68" i="61"/>
  <c r="BL68" i="61"/>
  <c r="BI84" i="61"/>
  <c r="W65" i="61"/>
  <c r="BC46" i="62"/>
  <c r="BH18" i="62"/>
  <c r="BH9" i="62" s="1"/>
  <c r="AV57" i="62"/>
  <c r="AA68" i="62"/>
  <c r="BD68" i="62"/>
  <c r="BH68" i="62"/>
  <c r="BM68" i="62"/>
  <c r="BQ68" i="62"/>
  <c r="BU68" i="62"/>
  <c r="AJ10" i="64"/>
  <c r="AP10" i="64" s="1"/>
  <c r="BJ9" i="64"/>
  <c r="BX9" i="64"/>
  <c r="T13" i="64"/>
  <c r="O18" i="64"/>
  <c r="BM18" i="64"/>
  <c r="BM9" i="64" s="1"/>
  <c r="BQ18" i="64"/>
  <c r="BQ9" i="64" s="1"/>
  <c r="AO36" i="64"/>
  <c r="AV41" i="64"/>
  <c r="R68" i="64"/>
  <c r="BG67" i="64" s="1"/>
  <c r="BA65" i="61"/>
  <c r="D65" i="61"/>
  <c r="AZ65" i="61"/>
  <c r="AW65" i="61"/>
  <c r="AC65" i="61"/>
  <c r="Z65" i="61"/>
  <c r="V65" i="61"/>
  <c r="Y65" i="61"/>
  <c r="U65" i="61"/>
  <c r="AB65" i="61"/>
  <c r="X65" i="61"/>
  <c r="Y65" i="62"/>
  <c r="AC65" i="64"/>
  <c r="Z65" i="64"/>
  <c r="V65" i="64"/>
  <c r="Y65" i="64"/>
  <c r="U65" i="64"/>
  <c r="X65" i="64"/>
  <c r="AC65" i="62"/>
  <c r="AB65" i="62"/>
  <c r="X65" i="62"/>
  <c r="AA65" i="62"/>
  <c r="W65" i="62"/>
  <c r="AO65" i="62"/>
  <c r="AW65" i="62"/>
  <c r="U65" i="62"/>
  <c r="AA65" i="64"/>
  <c r="BT18" i="64"/>
  <c r="AW65" i="64"/>
  <c r="BY36" i="66"/>
  <c r="AP36" i="66"/>
  <c r="BC68" i="66"/>
  <c r="BI18" i="66"/>
  <c r="BI9" i="66" s="1"/>
  <c r="AR9" i="66"/>
  <c r="T65" i="66"/>
  <c r="AV11" i="66"/>
  <c r="BC18" i="65"/>
  <c r="BI18" i="65"/>
  <c r="BI9" i="65" s="1"/>
  <c r="D9" i="64"/>
  <c r="AS7" i="64" s="1"/>
  <c r="D7" i="64" s="1"/>
  <c r="AS5" i="64" s="1"/>
  <c r="AX65" i="64"/>
  <c r="BB65" i="64"/>
  <c r="AJ65" i="64"/>
  <c r="BY65" i="64" s="1"/>
  <c r="AY65" i="64"/>
  <c r="AD18" i="64"/>
  <c r="AD9" i="64" s="1"/>
  <c r="AH18" i="64"/>
  <c r="AH9" i="64" s="1"/>
  <c r="AV19" i="64"/>
  <c r="AP36" i="64"/>
  <c r="BK18" i="64"/>
  <c r="BK9" i="64" s="1"/>
  <c r="BI41" i="64"/>
  <c r="BI19" i="64"/>
  <c r="BC27" i="64"/>
  <c r="BC18" i="64" s="1"/>
  <c r="BE18" i="64"/>
  <c r="BE9" i="64" s="1"/>
  <c r="BI37" i="64"/>
  <c r="AJ45" i="64"/>
  <c r="N41" i="64"/>
  <c r="BC57" i="64"/>
  <c r="AR18" i="64"/>
  <c r="AV27" i="64"/>
  <c r="AW18" i="64"/>
  <c r="BY55" i="64"/>
  <c r="AP55" i="64"/>
  <c r="AV57" i="64"/>
  <c r="BI57" i="64"/>
  <c r="AP63" i="64"/>
  <c r="AP54" i="64"/>
  <c r="AO69" i="64"/>
  <c r="N70" i="64"/>
  <c r="O68" i="64"/>
  <c r="BD67" i="64" s="1"/>
  <c r="AV70" i="64"/>
  <c r="AV84" i="64"/>
  <c r="D9" i="62"/>
  <c r="AS7" i="62" s="1"/>
  <c r="D7" i="62" s="1"/>
  <c r="AS5" i="62" s="1"/>
  <c r="AX65" i="62"/>
  <c r="BB65" i="62"/>
  <c r="AJ65" i="62"/>
  <c r="BY65" i="62" s="1"/>
  <c r="AY65" i="62"/>
  <c r="BC18" i="62"/>
  <c r="AE9" i="62"/>
  <c r="AT9" i="62"/>
  <c r="AU18" i="62"/>
  <c r="AU9" i="62" s="1"/>
  <c r="BI27" i="62"/>
  <c r="AO36" i="62"/>
  <c r="AJ40" i="62"/>
  <c r="AP40" i="62" s="1"/>
  <c r="BV18" i="62"/>
  <c r="BV9" i="62" s="1"/>
  <c r="AD18" i="62"/>
  <c r="AD9" i="62" s="1"/>
  <c r="AO55" i="62"/>
  <c r="AJ55" i="62" s="1"/>
  <c r="O68" i="62"/>
  <c r="BD67" i="62" s="1"/>
  <c r="BV68" i="62"/>
  <c r="BZ89" i="62"/>
  <c r="AJ10" i="62"/>
  <c r="AP10" i="62" s="1"/>
  <c r="BE9" i="62"/>
  <c r="BM9" i="62"/>
  <c r="BU9" i="62"/>
  <c r="BC13" i="62"/>
  <c r="BC11" i="62" s="1"/>
  <c r="BD18" i="62"/>
  <c r="BD9" i="62" s="1"/>
  <c r="AV19" i="62"/>
  <c r="AO26" i="62"/>
  <c r="AG18" i="62"/>
  <c r="AG9" i="62" s="1"/>
  <c r="BV5" i="62" s="1"/>
  <c r="AV41" i="62"/>
  <c r="BI41" i="62"/>
  <c r="BN18" i="62"/>
  <c r="AJ45" i="62"/>
  <c r="BY45" i="62" s="1"/>
  <c r="BC57" i="62"/>
  <c r="BX9" i="62"/>
  <c r="BM18" i="62"/>
  <c r="BQ18" i="62"/>
  <c r="BQ9" i="62" s="1"/>
  <c r="N37" i="62"/>
  <c r="AO40" i="62"/>
  <c r="G41" i="62"/>
  <c r="N41" i="62"/>
  <c r="AV46" i="62"/>
  <c r="AI68" i="62"/>
  <c r="AT68" i="62"/>
  <c r="AY68" i="62"/>
  <c r="AV13" i="62"/>
  <c r="AV11" i="62" s="1"/>
  <c r="AJ63" i="62"/>
  <c r="BO9" i="62"/>
  <c r="BN9" i="62"/>
  <c r="AR9" i="62"/>
  <c r="AH9" i="62"/>
  <c r="BI11" i="62"/>
  <c r="T13" i="62"/>
  <c r="T11" i="62" s="1"/>
  <c r="BI70" i="62"/>
  <c r="BI68" i="62" s="1"/>
  <c r="BY55" i="62"/>
  <c r="AP55" i="62"/>
  <c r="BG9" i="62"/>
  <c r="BI84" i="62"/>
  <c r="BK9" i="62"/>
  <c r="H18" i="62"/>
  <c r="BI19" i="62"/>
  <c r="C68" i="62"/>
  <c r="AW18" i="62"/>
  <c r="AJ36" i="62"/>
  <c r="BI37" i="62"/>
  <c r="AO69" i="62"/>
  <c r="BY40" i="62"/>
  <c r="BJ18" i="62"/>
  <c r="BJ9" i="62" s="1"/>
  <c r="BI46" i="62"/>
  <c r="AP54" i="62"/>
  <c r="R68" i="62"/>
  <c r="BG67" i="62" s="1"/>
  <c r="AV70" i="62"/>
  <c r="BC84" i="62"/>
  <c r="BC68" i="62" s="1"/>
  <c r="AV84" i="62"/>
  <c r="AY65" i="61"/>
  <c r="AJ65" i="61"/>
  <c r="BB65" i="61"/>
  <c r="AX65" i="61"/>
  <c r="L9" i="61"/>
  <c r="AH9" i="61"/>
  <c r="AW68" i="61"/>
  <c r="BB18" i="61"/>
  <c r="BD18" i="61"/>
  <c r="BD9" i="61" s="1"/>
  <c r="AA68" i="61"/>
  <c r="AJ10" i="61"/>
  <c r="AP10" i="61" s="1"/>
  <c r="BE9" i="61"/>
  <c r="G13" i="61"/>
  <c r="G11" i="61" s="1"/>
  <c r="R18" i="61"/>
  <c r="BI27" i="61"/>
  <c r="BC37" i="61"/>
  <c r="BU18" i="61"/>
  <c r="BU9" i="61" s="1"/>
  <c r="AP40" i="61"/>
  <c r="AV41" i="61"/>
  <c r="BA18" i="61"/>
  <c r="BC57" i="61"/>
  <c r="AI68" i="61"/>
  <c r="AT68" i="61"/>
  <c r="BK9" i="61"/>
  <c r="BX9" i="61"/>
  <c r="BI19" i="61"/>
  <c r="BH18" i="61"/>
  <c r="BH9" i="61" s="1"/>
  <c r="BI41" i="61"/>
  <c r="AG9" i="61"/>
  <c r="BV5" i="61" s="1"/>
  <c r="BJ18" i="61"/>
  <c r="BJ9" i="61" s="1"/>
  <c r="BN18" i="61"/>
  <c r="BN9" i="61" s="1"/>
  <c r="BC19" i="61"/>
  <c r="L18" i="61"/>
  <c r="P18" i="61"/>
  <c r="AV37" i="61"/>
  <c r="AO40" i="61"/>
  <c r="BY40" i="61" s="1"/>
  <c r="BI46" i="61"/>
  <c r="R68" i="61"/>
  <c r="BG67" i="61" s="1"/>
  <c r="BJ68" i="61"/>
  <c r="BN68" i="61"/>
  <c r="BR68" i="61"/>
  <c r="P68" i="61"/>
  <c r="BE67" i="61" s="1"/>
  <c r="D68" i="61"/>
  <c r="AF68" i="61"/>
  <c r="BC70" i="61"/>
  <c r="AT18" i="61"/>
  <c r="AT9" i="61" s="1"/>
  <c r="AY18" i="61"/>
  <c r="BG18" i="61"/>
  <c r="BG9" i="61" s="1"/>
  <c r="D9" i="61"/>
  <c r="BF18" i="61"/>
  <c r="BF9" i="61" s="1"/>
  <c r="AV19" i="61"/>
  <c r="AV5" i="61"/>
  <c r="AR11" i="61"/>
  <c r="AV13" i="61"/>
  <c r="AV11" i="61" s="1"/>
  <c r="BQ9" i="61"/>
  <c r="AJ45" i="61"/>
  <c r="BI57" i="61"/>
  <c r="AW18" i="61"/>
  <c r="BM18" i="61"/>
  <c r="BM9" i="61" s="1"/>
  <c r="AJ36" i="61"/>
  <c r="O68" i="61"/>
  <c r="BD67" i="61" s="1"/>
  <c r="AE18" i="61"/>
  <c r="AE9" i="61" s="1"/>
  <c r="AO45" i="61"/>
  <c r="AD46" i="61"/>
  <c r="AD18" i="61" s="1"/>
  <c r="AD9" i="61" s="1"/>
  <c r="AJ54" i="61"/>
  <c r="AV57" i="61"/>
  <c r="AO65" i="61"/>
  <c r="AU68" i="61"/>
  <c r="O18" i="61"/>
  <c r="AV27" i="61"/>
  <c r="AR18" i="61"/>
  <c r="N37" i="61"/>
  <c r="BC46" i="61"/>
  <c r="C68" i="61"/>
  <c r="AV70" i="61"/>
  <c r="AV68" i="61" s="1"/>
  <c r="BC41" i="61"/>
  <c r="AJ63" i="61"/>
  <c r="Z68" i="61"/>
  <c r="N46" i="61"/>
  <c r="AO55" i="61"/>
  <c r="AJ55" i="61" s="1"/>
  <c r="BI70" i="61"/>
  <c r="BI68" i="61" s="1"/>
  <c r="BC84" i="61"/>
  <c r="N13" i="32"/>
  <c r="BT57" i="60"/>
  <c r="BT41" i="60"/>
  <c r="BT37" i="60"/>
  <c r="BT27" i="60"/>
  <c r="BT19" i="60"/>
  <c r="BT65" i="60"/>
  <c r="AV65" i="60"/>
  <c r="AZ65" i="60" s="1"/>
  <c r="BZ117" i="60"/>
  <c r="BZ112" i="60"/>
  <c r="BZ101" i="60"/>
  <c r="BZ90" i="60"/>
  <c r="BI88" i="60"/>
  <c r="BC88" i="60"/>
  <c r="AV88" i="60"/>
  <c r="BI87" i="60"/>
  <c r="BC87" i="60"/>
  <c r="AV87" i="60"/>
  <c r="BI86" i="60"/>
  <c r="BC86" i="60"/>
  <c r="AV86" i="60"/>
  <c r="BI85" i="60"/>
  <c r="BC85" i="60"/>
  <c r="AV85" i="60"/>
  <c r="BX84" i="60"/>
  <c r="BV84" i="60"/>
  <c r="BU84" i="60"/>
  <c r="BU68" i="60" s="1"/>
  <c r="BS84" i="60"/>
  <c r="BR84" i="60"/>
  <c r="BQ84" i="60"/>
  <c r="BQ68" i="60" s="1"/>
  <c r="BP84" i="60"/>
  <c r="BO84" i="60"/>
  <c r="BN84" i="60"/>
  <c r="BM84" i="60"/>
  <c r="BM68" i="60" s="1"/>
  <c r="BL84" i="60"/>
  <c r="BK84" i="60"/>
  <c r="BJ84" i="60"/>
  <c r="BH84" i="60"/>
  <c r="BG84" i="60"/>
  <c r="BF84" i="60"/>
  <c r="BE84" i="60"/>
  <c r="BD84" i="60"/>
  <c r="BB84" i="60"/>
  <c r="BA84" i="60"/>
  <c r="AZ84" i="60"/>
  <c r="AY84" i="60"/>
  <c r="AX84" i="60"/>
  <c r="AX68" i="60" s="1"/>
  <c r="AW84" i="60"/>
  <c r="AU84" i="60"/>
  <c r="AT84" i="60"/>
  <c r="AS84" i="60"/>
  <c r="AR84" i="60"/>
  <c r="AI84" i="60"/>
  <c r="AG84" i="60"/>
  <c r="AF84" i="60"/>
  <c r="AE84" i="60"/>
  <c r="AA84" i="60"/>
  <c r="Z84" i="60"/>
  <c r="R84" i="60"/>
  <c r="P84" i="60"/>
  <c r="O84" i="60"/>
  <c r="L84" i="60"/>
  <c r="D84" i="60"/>
  <c r="C84" i="60"/>
  <c r="BI83" i="60"/>
  <c r="BC83" i="60"/>
  <c r="AV83" i="60"/>
  <c r="BI82" i="60"/>
  <c r="BC82" i="60"/>
  <c r="AV82" i="60"/>
  <c r="BI81" i="60"/>
  <c r="BC81" i="60"/>
  <c r="AV81" i="60"/>
  <c r="BI80" i="60"/>
  <c r="BC80" i="60"/>
  <c r="AV80" i="60"/>
  <c r="AH80" i="60"/>
  <c r="AG80" i="60"/>
  <c r="AF80" i="60"/>
  <c r="AE80" i="60"/>
  <c r="AB80" i="60"/>
  <c r="AA80" i="60"/>
  <c r="Z80" i="60"/>
  <c r="V80" i="60"/>
  <c r="U80" i="60"/>
  <c r="R80" i="60"/>
  <c r="P80" i="60"/>
  <c r="O80" i="60"/>
  <c r="M80" i="60"/>
  <c r="L80" i="60"/>
  <c r="K80" i="60"/>
  <c r="I80" i="60"/>
  <c r="F80" i="60"/>
  <c r="C80" i="60"/>
  <c r="BI79" i="60"/>
  <c r="BC79" i="60"/>
  <c r="AV79" i="60"/>
  <c r="BI78" i="60"/>
  <c r="BC78" i="60"/>
  <c r="AV78" i="60"/>
  <c r="N78" i="60"/>
  <c r="BI77" i="60"/>
  <c r="BC77" i="60"/>
  <c r="AV77" i="60"/>
  <c r="N77" i="60"/>
  <c r="BI76" i="60"/>
  <c r="BC76" i="60"/>
  <c r="AV76" i="60"/>
  <c r="N76" i="60"/>
  <c r="BI75" i="60"/>
  <c r="BC75" i="60"/>
  <c r="AV75" i="60"/>
  <c r="N75" i="60"/>
  <c r="BI74" i="60"/>
  <c r="BC74" i="60"/>
  <c r="AV74" i="60"/>
  <c r="N74" i="60"/>
  <c r="BI73" i="60"/>
  <c r="BC73" i="60"/>
  <c r="AV73" i="60"/>
  <c r="N73" i="60"/>
  <c r="BI72" i="60"/>
  <c r="BC72" i="60"/>
  <c r="AV72" i="60"/>
  <c r="T72" i="60"/>
  <c r="N72" i="60"/>
  <c r="BI71" i="60"/>
  <c r="BC71" i="60"/>
  <c r="AV71" i="60"/>
  <c r="N71" i="60"/>
  <c r="BX70" i="60"/>
  <c r="BX68" i="60" s="1"/>
  <c r="BV70" i="60"/>
  <c r="BV68" i="60" s="1"/>
  <c r="BU70" i="60"/>
  <c r="BT70" i="60"/>
  <c r="BT68" i="60" s="1"/>
  <c r="BS70" i="60"/>
  <c r="BS68" i="60" s="1"/>
  <c r="BR70" i="60"/>
  <c r="BQ70" i="60"/>
  <c r="BP70" i="60"/>
  <c r="BO70" i="60"/>
  <c r="BO68" i="60" s="1"/>
  <c r="BN70" i="60"/>
  <c r="BN68" i="60" s="1"/>
  <c r="BM70" i="60"/>
  <c r="BL70" i="60"/>
  <c r="BK70" i="60"/>
  <c r="BK68" i="60" s="1"/>
  <c r="BJ70" i="60"/>
  <c r="BH70" i="60"/>
  <c r="BG70" i="60"/>
  <c r="BF70" i="60"/>
  <c r="BE70" i="60"/>
  <c r="BE68" i="60" s="1"/>
  <c r="BD70" i="60"/>
  <c r="BB70" i="60"/>
  <c r="BB68" i="60" s="1"/>
  <c r="BA70" i="60"/>
  <c r="BA68" i="60" s="1"/>
  <c r="AZ70" i="60"/>
  <c r="AY70" i="60"/>
  <c r="AX70" i="60"/>
  <c r="AW70" i="60"/>
  <c r="AW68" i="60" s="1"/>
  <c r="AU70" i="60"/>
  <c r="AT70" i="60"/>
  <c r="AS70" i="60"/>
  <c r="AS68" i="60" s="1"/>
  <c r="AR70" i="60"/>
  <c r="AI70" i="60"/>
  <c r="AI68" i="60" s="1"/>
  <c r="AH70" i="60"/>
  <c r="AG70" i="60"/>
  <c r="AG68" i="60" s="1"/>
  <c r="AF70" i="60"/>
  <c r="AD70" i="60"/>
  <c r="AA70" i="60"/>
  <c r="Z70" i="60"/>
  <c r="Y70" i="60"/>
  <c r="X70" i="60"/>
  <c r="W70" i="60"/>
  <c r="S70" i="60"/>
  <c r="R70" i="60"/>
  <c r="R68" i="60" s="1"/>
  <c r="BG67" i="60" s="1"/>
  <c r="Q70" i="60"/>
  <c r="P70" i="60"/>
  <c r="O70" i="60"/>
  <c r="J70" i="60"/>
  <c r="F70" i="60"/>
  <c r="D70" i="60"/>
  <c r="C70" i="60"/>
  <c r="C68" i="60" s="1"/>
  <c r="BI69" i="60"/>
  <c r="BC69" i="60"/>
  <c r="AV69" i="60"/>
  <c r="T69" i="60"/>
  <c r="N69" i="60"/>
  <c r="BR68" i="60"/>
  <c r="BJ68" i="60"/>
  <c r="BF68" i="60"/>
  <c r="AT68" i="60"/>
  <c r="BI67" i="60"/>
  <c r="AV67" i="60"/>
  <c r="AJ67" i="60"/>
  <c r="AP67" i="60" s="1"/>
  <c r="BI66" i="60"/>
  <c r="BC66" i="60"/>
  <c r="T66" i="60"/>
  <c r="N66" i="60"/>
  <c r="CB65" i="60"/>
  <c r="BI64" i="60"/>
  <c r="BC64" i="60"/>
  <c r="AV64" i="60"/>
  <c r="BI63" i="60"/>
  <c r="BC63" i="60"/>
  <c r="AV63" i="60"/>
  <c r="T63" i="60"/>
  <c r="N63" i="60"/>
  <c r="G63" i="60"/>
  <c r="AJ63" i="60" s="1"/>
  <c r="BI62" i="60"/>
  <c r="BC62" i="60"/>
  <c r="AV62" i="60"/>
  <c r="T62" i="60"/>
  <c r="G62" i="60"/>
  <c r="BI61" i="60"/>
  <c r="BC61" i="60"/>
  <c r="AV61" i="60"/>
  <c r="T61" i="60"/>
  <c r="G61" i="60"/>
  <c r="BI60" i="60"/>
  <c r="BC60" i="60"/>
  <c r="AV60" i="60"/>
  <c r="T60" i="60"/>
  <c r="N60" i="60"/>
  <c r="G60" i="60"/>
  <c r="BI59" i="60"/>
  <c r="BC59" i="60"/>
  <c r="AV59" i="60"/>
  <c r="T59" i="60"/>
  <c r="G59" i="60"/>
  <c r="BI58" i="60"/>
  <c r="BC58" i="60"/>
  <c r="AV58" i="60"/>
  <c r="N58" i="60"/>
  <c r="BX57" i="60"/>
  <c r="BW57" i="60"/>
  <c r="BV57" i="60"/>
  <c r="BU57" i="60"/>
  <c r="BQ57" i="60"/>
  <c r="BP57" i="60"/>
  <c r="BO57" i="60"/>
  <c r="BN57" i="60"/>
  <c r="BM57" i="60"/>
  <c r="BL57" i="60"/>
  <c r="BK57" i="60"/>
  <c r="BJ57" i="60"/>
  <c r="BH57" i="60"/>
  <c r="BG57" i="60"/>
  <c r="BF57" i="60"/>
  <c r="BE57" i="60"/>
  <c r="BD57" i="60"/>
  <c r="BB57" i="60"/>
  <c r="BA57" i="60"/>
  <c r="AZ57" i="60"/>
  <c r="AY57" i="60"/>
  <c r="AX57" i="60"/>
  <c r="AW57" i="60"/>
  <c r="AU57" i="60"/>
  <c r="AT57" i="60"/>
  <c r="AS57" i="60"/>
  <c r="AR57" i="60"/>
  <c r="AH57" i="60"/>
  <c r="AG57" i="60"/>
  <c r="AF57" i="60"/>
  <c r="AE57" i="60"/>
  <c r="AD57" i="60"/>
  <c r="P57" i="60"/>
  <c r="O57" i="60"/>
  <c r="L57" i="60"/>
  <c r="D57" i="60"/>
  <c r="AO56" i="60"/>
  <c r="BI55" i="60"/>
  <c r="BC55" i="60"/>
  <c r="AV55" i="60"/>
  <c r="T55" i="60"/>
  <c r="N55" i="60"/>
  <c r="G55" i="60"/>
  <c r="BI54" i="60"/>
  <c r="BC54" i="60"/>
  <c r="AV54" i="60"/>
  <c r="AJ54" i="60"/>
  <c r="T54" i="60"/>
  <c r="N54" i="60"/>
  <c r="G54" i="60"/>
  <c r="BI53" i="60"/>
  <c r="BC53" i="60"/>
  <c r="AV53" i="60"/>
  <c r="T53" i="60"/>
  <c r="N53" i="60"/>
  <c r="G53" i="60"/>
  <c r="BI52" i="60"/>
  <c r="BC52" i="60"/>
  <c r="AV52" i="60"/>
  <c r="T52" i="60"/>
  <c r="N52" i="60"/>
  <c r="G52" i="60"/>
  <c r="BI51" i="60"/>
  <c r="BC51" i="60"/>
  <c r="AV51" i="60"/>
  <c r="N51" i="60"/>
  <c r="BI50" i="60"/>
  <c r="BC50" i="60"/>
  <c r="AV50" i="60"/>
  <c r="N50" i="60"/>
  <c r="BI49" i="60"/>
  <c r="BC49" i="60"/>
  <c r="AV49" i="60"/>
  <c r="N49" i="60"/>
  <c r="G49" i="60"/>
  <c r="BI48" i="60"/>
  <c r="BC48" i="60"/>
  <c r="AV48" i="60"/>
  <c r="N48" i="60"/>
  <c r="BI47" i="60"/>
  <c r="BC47" i="60"/>
  <c r="AV47" i="60"/>
  <c r="N47" i="60"/>
  <c r="BV46" i="60"/>
  <c r="BU46" i="60"/>
  <c r="BT46" i="60"/>
  <c r="BQ46" i="60"/>
  <c r="BP46" i="60"/>
  <c r="BO46" i="60"/>
  <c r="BN46" i="60"/>
  <c r="BM46" i="60"/>
  <c r="BL46" i="60"/>
  <c r="BK46" i="60"/>
  <c r="BJ46" i="60"/>
  <c r="BH46" i="60"/>
  <c r="BG46" i="60"/>
  <c r="BF46" i="60"/>
  <c r="BE46" i="60"/>
  <c r="BD46" i="60"/>
  <c r="BC46" i="60" s="1"/>
  <c r="BB46" i="60"/>
  <c r="BA46" i="60"/>
  <c r="AZ46" i="60"/>
  <c r="AY46" i="60"/>
  <c r="AX46" i="60"/>
  <c r="AW46" i="60"/>
  <c r="AU46" i="60"/>
  <c r="AT46" i="60"/>
  <c r="AR46" i="60"/>
  <c r="AH46" i="60"/>
  <c r="AG46" i="60"/>
  <c r="AE46" i="60"/>
  <c r="AD46" i="60"/>
  <c r="AA46" i="60"/>
  <c r="Z46" i="60"/>
  <c r="S46" i="60"/>
  <c r="R46" i="60"/>
  <c r="Q46" i="60"/>
  <c r="P46" i="60"/>
  <c r="O46" i="60"/>
  <c r="L46" i="60"/>
  <c r="H46" i="60"/>
  <c r="F46" i="60"/>
  <c r="BI45" i="60"/>
  <c r="BC45" i="60"/>
  <c r="AV45" i="60"/>
  <c r="T45" i="60"/>
  <c r="N45" i="60"/>
  <c r="G45" i="60"/>
  <c r="BI44" i="60"/>
  <c r="BC44" i="60"/>
  <c r="AV44" i="60"/>
  <c r="N44" i="60"/>
  <c r="G44" i="60"/>
  <c r="BI43" i="60"/>
  <c r="BC43" i="60"/>
  <c r="AV43" i="60"/>
  <c r="N43" i="60"/>
  <c r="G43" i="60"/>
  <c r="BI42" i="60"/>
  <c r="BC42" i="60"/>
  <c r="AV42" i="60"/>
  <c r="N42" i="60"/>
  <c r="G42" i="60"/>
  <c r="BW41" i="60"/>
  <c r="BV41" i="60"/>
  <c r="BU41" i="60"/>
  <c r="BQ41" i="60"/>
  <c r="BP41" i="60"/>
  <c r="BO41" i="60"/>
  <c r="BN41" i="60"/>
  <c r="BM41" i="60"/>
  <c r="BL41" i="60"/>
  <c r="BK41" i="60"/>
  <c r="BJ41" i="60"/>
  <c r="BH41" i="60"/>
  <c r="BG41" i="60"/>
  <c r="BF41" i="60"/>
  <c r="BE41" i="60"/>
  <c r="BD41" i="60"/>
  <c r="BB41" i="60"/>
  <c r="BA41" i="60"/>
  <c r="AZ41" i="60"/>
  <c r="AY41" i="60"/>
  <c r="AX41" i="60"/>
  <c r="AW41" i="60"/>
  <c r="AU41" i="60"/>
  <c r="AT41" i="60"/>
  <c r="AR41" i="60"/>
  <c r="AH41" i="60"/>
  <c r="AG41" i="60"/>
  <c r="AF41" i="60"/>
  <c r="AE41" i="60"/>
  <c r="AD41" i="60"/>
  <c r="AC41" i="60"/>
  <c r="AB41" i="60"/>
  <c r="Y41" i="60"/>
  <c r="X41" i="60"/>
  <c r="W41" i="60"/>
  <c r="V41" i="60"/>
  <c r="U41" i="60"/>
  <c r="S41" i="60"/>
  <c r="R41" i="60"/>
  <c r="Q41" i="60"/>
  <c r="P41" i="60"/>
  <c r="O41" i="60"/>
  <c r="M41" i="60"/>
  <c r="L41" i="60"/>
  <c r="K41" i="60"/>
  <c r="J41" i="60"/>
  <c r="I41" i="60"/>
  <c r="H41" i="60"/>
  <c r="E41" i="60"/>
  <c r="C41" i="60"/>
  <c r="BI40" i="60"/>
  <c r="BC40" i="60"/>
  <c r="AO40" i="60" s="1"/>
  <c r="AV40" i="60"/>
  <c r="T40" i="60"/>
  <c r="N40" i="60"/>
  <c r="G40" i="60"/>
  <c r="BI39" i="60"/>
  <c r="BC39" i="60"/>
  <c r="AV39" i="60"/>
  <c r="N39" i="60"/>
  <c r="BI38" i="60"/>
  <c r="BC38" i="60"/>
  <c r="AV38" i="60"/>
  <c r="N38" i="60"/>
  <c r="N37" i="60" s="1"/>
  <c r="BW37" i="60"/>
  <c r="BV37" i="60"/>
  <c r="BU37" i="60"/>
  <c r="BQ37" i="60"/>
  <c r="BP37" i="60"/>
  <c r="BO37" i="60"/>
  <c r="BN37" i="60"/>
  <c r="BM37" i="60"/>
  <c r="BL37" i="60"/>
  <c r="BK37" i="60"/>
  <c r="BJ37" i="60"/>
  <c r="BH37" i="60"/>
  <c r="BG37" i="60"/>
  <c r="BF37" i="60"/>
  <c r="BE37" i="60"/>
  <c r="BD37" i="60"/>
  <c r="BB37" i="60"/>
  <c r="BA37" i="60"/>
  <c r="AZ37" i="60"/>
  <c r="AY37" i="60"/>
  <c r="AX37" i="60"/>
  <c r="AW37" i="60"/>
  <c r="AU37" i="60"/>
  <c r="AT37" i="60"/>
  <c r="AR37" i="60"/>
  <c r="AH37" i="60"/>
  <c r="AG37" i="60"/>
  <c r="AF37" i="60"/>
  <c r="AE37" i="60"/>
  <c r="AD37" i="60"/>
  <c r="AC37" i="60"/>
  <c r="AA37" i="60"/>
  <c r="Z37" i="60"/>
  <c r="S37" i="60"/>
  <c r="R37" i="60"/>
  <c r="Q37" i="60"/>
  <c r="P37" i="60"/>
  <c r="O37" i="60"/>
  <c r="L37" i="60"/>
  <c r="H37" i="60"/>
  <c r="F37" i="60"/>
  <c r="BI36" i="60"/>
  <c r="BC36" i="60"/>
  <c r="AV36" i="60"/>
  <c r="T36" i="60"/>
  <c r="N36" i="60"/>
  <c r="G36" i="60"/>
  <c r="BI35" i="60"/>
  <c r="BC35" i="60"/>
  <c r="AV35" i="60"/>
  <c r="N35" i="60"/>
  <c r="BI34" i="60"/>
  <c r="BC34" i="60"/>
  <c r="AV34" i="60"/>
  <c r="T34" i="60"/>
  <c r="G34" i="60"/>
  <c r="BI33" i="60"/>
  <c r="BC33" i="60"/>
  <c r="AV33" i="60"/>
  <c r="T33" i="60"/>
  <c r="N33" i="60"/>
  <c r="G33" i="60"/>
  <c r="BI32" i="60"/>
  <c r="BC32" i="60"/>
  <c r="AV32" i="60"/>
  <c r="T32" i="60"/>
  <c r="G32" i="60"/>
  <c r="BI31" i="60"/>
  <c r="BC31" i="60"/>
  <c r="AV31" i="60"/>
  <c r="N31" i="60"/>
  <c r="BI30" i="60"/>
  <c r="BC30" i="60"/>
  <c r="AV30" i="60"/>
  <c r="N30" i="60"/>
  <c r="G30" i="60"/>
  <c r="BI29" i="60"/>
  <c r="BC29" i="60"/>
  <c r="AV29" i="60"/>
  <c r="N29" i="60"/>
  <c r="BI28" i="60"/>
  <c r="BC28" i="60"/>
  <c r="AV28" i="60"/>
  <c r="N28" i="60"/>
  <c r="BW27" i="60"/>
  <c r="BV27" i="60"/>
  <c r="BU27" i="60"/>
  <c r="BQ27" i="60"/>
  <c r="BP27" i="60"/>
  <c r="BO27" i="60"/>
  <c r="BN27" i="60"/>
  <c r="BM27" i="60"/>
  <c r="BL27" i="60"/>
  <c r="BK27" i="60"/>
  <c r="BJ27" i="60"/>
  <c r="BH27" i="60"/>
  <c r="BG27" i="60"/>
  <c r="BF27" i="60"/>
  <c r="BE27" i="60"/>
  <c r="BD27" i="60"/>
  <c r="BD18" i="60" s="1"/>
  <c r="BB27" i="60"/>
  <c r="BA27" i="60"/>
  <c r="AZ27" i="60"/>
  <c r="AY27" i="60"/>
  <c r="AX27" i="60"/>
  <c r="AW27" i="60"/>
  <c r="AU27" i="60"/>
  <c r="AT27" i="60"/>
  <c r="AR27" i="60"/>
  <c r="AH27" i="60"/>
  <c r="AG27" i="60"/>
  <c r="AF27" i="60"/>
  <c r="AE27" i="60"/>
  <c r="AD27" i="60"/>
  <c r="AA27" i="60"/>
  <c r="Z27" i="60"/>
  <c r="R27" i="60"/>
  <c r="P27" i="60"/>
  <c r="O27" i="60"/>
  <c r="L27" i="60"/>
  <c r="H27" i="60"/>
  <c r="F27" i="60"/>
  <c r="BI26" i="60"/>
  <c r="BC26" i="60"/>
  <c r="AV26" i="60"/>
  <c r="T26" i="60"/>
  <c r="N26" i="60"/>
  <c r="G26" i="60"/>
  <c r="BI25" i="60"/>
  <c r="BC25" i="60"/>
  <c r="AV25" i="60"/>
  <c r="T25" i="60"/>
  <c r="N25" i="60"/>
  <c r="G25" i="60"/>
  <c r="BI24" i="60"/>
  <c r="BC24" i="60"/>
  <c r="AV24" i="60"/>
  <c r="T24" i="60"/>
  <c r="G24" i="60"/>
  <c r="BI23" i="60"/>
  <c r="BC23" i="60"/>
  <c r="AV23" i="60"/>
  <c r="N23" i="60"/>
  <c r="BI22" i="60"/>
  <c r="BC22" i="60"/>
  <c r="AV22" i="60"/>
  <c r="N22" i="60"/>
  <c r="G22" i="60"/>
  <c r="BI21" i="60"/>
  <c r="BC21" i="60"/>
  <c r="AV21" i="60"/>
  <c r="N21" i="60"/>
  <c r="BI20" i="60"/>
  <c r="BC20" i="60"/>
  <c r="AV20" i="60"/>
  <c r="N20" i="60"/>
  <c r="BX19" i="60"/>
  <c r="BX18" i="60" s="1"/>
  <c r="BW19" i="60"/>
  <c r="BV19" i="60"/>
  <c r="BU19" i="60"/>
  <c r="BQ19" i="60"/>
  <c r="BP19" i="60"/>
  <c r="BP18" i="60" s="1"/>
  <c r="BO19" i="60"/>
  <c r="BO18" i="60" s="1"/>
  <c r="BN19" i="60"/>
  <c r="BM19" i="60"/>
  <c r="BL19" i="60"/>
  <c r="BK19" i="60"/>
  <c r="BJ19" i="60"/>
  <c r="BH19" i="60"/>
  <c r="BG19" i="60"/>
  <c r="BF19" i="60"/>
  <c r="BE19" i="60"/>
  <c r="BD19" i="60"/>
  <c r="BB19" i="60"/>
  <c r="BA19" i="60"/>
  <c r="AZ19" i="60"/>
  <c r="AY19" i="60"/>
  <c r="AX19" i="60"/>
  <c r="AW19" i="60"/>
  <c r="AW18" i="60" s="1"/>
  <c r="AU19" i="60"/>
  <c r="AT19" i="60"/>
  <c r="AS19" i="60"/>
  <c r="AS18" i="60" s="1"/>
  <c r="AR19" i="60"/>
  <c r="AR18" i="60" s="1"/>
  <c r="AI19" i="60"/>
  <c r="AI18" i="60" s="1"/>
  <c r="AH19" i="60"/>
  <c r="AH18" i="60" s="1"/>
  <c r="AG19" i="60"/>
  <c r="AF19" i="60"/>
  <c r="AE19" i="60"/>
  <c r="AD19" i="60"/>
  <c r="AA19" i="60"/>
  <c r="Z19" i="60"/>
  <c r="R19" i="60"/>
  <c r="Q19" i="60"/>
  <c r="P19" i="60"/>
  <c r="O19" i="60"/>
  <c r="L19" i="60"/>
  <c r="L18" i="60" s="1"/>
  <c r="H19" i="60"/>
  <c r="F19" i="60"/>
  <c r="D19" i="60"/>
  <c r="D18" i="60" s="1"/>
  <c r="BM18" i="60"/>
  <c r="R18" i="60"/>
  <c r="BI17" i="60"/>
  <c r="BC17" i="60"/>
  <c r="AV17" i="60"/>
  <c r="T17" i="60"/>
  <c r="N17" i="60"/>
  <c r="G17" i="60"/>
  <c r="BI16" i="60"/>
  <c r="BC16" i="60"/>
  <c r="AV16" i="60"/>
  <c r="T16" i="60"/>
  <c r="G16" i="60"/>
  <c r="BI15" i="60"/>
  <c r="BC15" i="60"/>
  <c r="AV15" i="60"/>
  <c r="T15" i="60"/>
  <c r="G15" i="60"/>
  <c r="BI14" i="60"/>
  <c r="BC14" i="60"/>
  <c r="BC13" i="60" s="1"/>
  <c r="AV14" i="60"/>
  <c r="T14" i="60"/>
  <c r="G14" i="60"/>
  <c r="BX13" i="60"/>
  <c r="BW13" i="60"/>
  <c r="BW11" i="60" s="1"/>
  <c r="BV13" i="60"/>
  <c r="BV11" i="60" s="1"/>
  <c r="BU13" i="60"/>
  <c r="BT13" i="60"/>
  <c r="BS13" i="60"/>
  <c r="BS11" i="60" s="1"/>
  <c r="BQ13" i="60"/>
  <c r="BQ11" i="60" s="1"/>
  <c r="BP13" i="60"/>
  <c r="BO13" i="60"/>
  <c r="BO11" i="60" s="1"/>
  <c r="BN13" i="60"/>
  <c r="BN11" i="60" s="1"/>
  <c r="BM13" i="60"/>
  <c r="BM11" i="60" s="1"/>
  <c r="BM9" i="60" s="1"/>
  <c r="BL13" i="60"/>
  <c r="BK13" i="60"/>
  <c r="BJ13" i="60"/>
  <c r="BJ11" i="60" s="1"/>
  <c r="BH13" i="60"/>
  <c r="BH11" i="60" s="1"/>
  <c r="BG13" i="60"/>
  <c r="BF13" i="60"/>
  <c r="BF11" i="60" s="1"/>
  <c r="BE13" i="60"/>
  <c r="BE11" i="60" s="1"/>
  <c r="BD13" i="60"/>
  <c r="BB13" i="60"/>
  <c r="BB11" i="60" s="1"/>
  <c r="BA13" i="60"/>
  <c r="BA11" i="60" s="1"/>
  <c r="AZ13" i="60"/>
  <c r="AZ11" i="60" s="1"/>
  <c r="AY13" i="60"/>
  <c r="AY11" i="60" s="1"/>
  <c r="AX13" i="60"/>
  <c r="AX11" i="60" s="1"/>
  <c r="AW13" i="60"/>
  <c r="AU13" i="60"/>
  <c r="AT13" i="60"/>
  <c r="AT11" i="60" s="1"/>
  <c r="AS13" i="60"/>
  <c r="AR13" i="60"/>
  <c r="AR11" i="60" s="1"/>
  <c r="AI13" i="60"/>
  <c r="AH13" i="60"/>
  <c r="AG13" i="60"/>
  <c r="AG11" i="60" s="1"/>
  <c r="AF13" i="60"/>
  <c r="AF11" i="60" s="1"/>
  <c r="AE13" i="60"/>
  <c r="AE11" i="60" s="1"/>
  <c r="AD13" i="60"/>
  <c r="AD11" i="60" s="1"/>
  <c r="AC13" i="60"/>
  <c r="AC11" i="60" s="1"/>
  <c r="AB13" i="60"/>
  <c r="AB11" i="60" s="1"/>
  <c r="AA13" i="60"/>
  <c r="Z13" i="60"/>
  <c r="Y13" i="60"/>
  <c r="Y11" i="60" s="1"/>
  <c r="X13" i="60"/>
  <c r="X11" i="60" s="1"/>
  <c r="W13" i="60"/>
  <c r="W11" i="60" s="1"/>
  <c r="V13" i="60"/>
  <c r="V11" i="60" s="1"/>
  <c r="U13" i="60"/>
  <c r="U11" i="60" s="1"/>
  <c r="S13" i="60"/>
  <c r="S11" i="60" s="1"/>
  <c r="R13" i="60"/>
  <c r="Q13" i="60"/>
  <c r="P13" i="60"/>
  <c r="M13" i="60"/>
  <c r="L13" i="60"/>
  <c r="L11" i="60" s="1"/>
  <c r="K13" i="60"/>
  <c r="K11" i="60" s="1"/>
  <c r="J13" i="60"/>
  <c r="J11" i="60" s="1"/>
  <c r="I13" i="60"/>
  <c r="I11" i="60" s="1"/>
  <c r="H13" i="60"/>
  <c r="F13" i="60"/>
  <c r="F11" i="60" s="1"/>
  <c r="E13" i="60"/>
  <c r="E11" i="60" s="1"/>
  <c r="D13" i="60"/>
  <c r="D11" i="60" s="1"/>
  <c r="C13" i="60"/>
  <c r="BI12" i="60"/>
  <c r="BC12" i="60"/>
  <c r="AV12" i="60"/>
  <c r="T12" i="60"/>
  <c r="G12" i="60"/>
  <c r="BX11" i="60"/>
  <c r="BU11" i="60"/>
  <c r="BT11" i="60"/>
  <c r="BP11" i="60"/>
  <c r="BP9" i="60" s="1"/>
  <c r="BL11" i="60"/>
  <c r="BK11" i="60"/>
  <c r="BG11" i="60"/>
  <c r="BD11" i="60"/>
  <c r="AW11" i="60"/>
  <c r="AS11" i="60"/>
  <c r="AH11" i="60"/>
  <c r="AA11" i="60"/>
  <c r="Z11" i="60"/>
  <c r="R11" i="60"/>
  <c r="M11" i="60"/>
  <c r="H11" i="60"/>
  <c r="C11" i="60"/>
  <c r="BI10" i="60"/>
  <c r="BC10" i="60"/>
  <c r="T10" i="60"/>
  <c r="N10" i="60"/>
  <c r="G10" i="60"/>
  <c r="BI8" i="60"/>
  <c r="AV8" i="60"/>
  <c r="AJ8" i="60"/>
  <c r="AP8" i="60" s="1"/>
  <c r="BC7" i="60"/>
  <c r="AV7" i="60"/>
  <c r="BC5" i="60"/>
  <c r="BB5" i="60"/>
  <c r="BA5" i="60"/>
  <c r="AZ5" i="60"/>
  <c r="AY5" i="60"/>
  <c r="AX5" i="60"/>
  <c r="AW5" i="60"/>
  <c r="AJ5" i="60"/>
  <c r="AP5" i="60" s="1"/>
  <c r="BI4" i="60"/>
  <c r="BC4" i="60"/>
  <c r="AV4" i="60"/>
  <c r="AQ4" i="60"/>
  <c r="BY4" i="60" s="1"/>
  <c r="P13" i="32"/>
  <c r="BT57" i="59"/>
  <c r="BT41" i="59"/>
  <c r="BT37" i="59"/>
  <c r="BT18" i="59" s="1"/>
  <c r="BT27" i="59"/>
  <c r="BT19" i="59"/>
  <c r="BT65" i="59"/>
  <c r="Y65" i="59" s="1"/>
  <c r="AV65" i="59"/>
  <c r="AZ65" i="59" s="1"/>
  <c r="BZ117" i="59"/>
  <c r="BZ112" i="59"/>
  <c r="BZ101" i="59"/>
  <c r="BZ90" i="59"/>
  <c r="BI88" i="59"/>
  <c r="BC88" i="59"/>
  <c r="AV88" i="59"/>
  <c r="BI87" i="59"/>
  <c r="BC87" i="59"/>
  <c r="AV87" i="59"/>
  <c r="AV84" i="59" s="1"/>
  <c r="BI86" i="59"/>
  <c r="BC86" i="59"/>
  <c r="AV86" i="59"/>
  <c r="BI85" i="59"/>
  <c r="BC85" i="59"/>
  <c r="AV85" i="59"/>
  <c r="BX84" i="59"/>
  <c r="BV84" i="59"/>
  <c r="BU84" i="59"/>
  <c r="BS84" i="59"/>
  <c r="BR84" i="59"/>
  <c r="BQ84" i="59"/>
  <c r="BP84" i="59"/>
  <c r="BO84" i="59"/>
  <c r="BN84" i="59"/>
  <c r="BM84" i="59"/>
  <c r="BL84" i="59"/>
  <c r="BK84" i="59"/>
  <c r="BJ84" i="59"/>
  <c r="BH84" i="59"/>
  <c r="BG84" i="59"/>
  <c r="BF84" i="59"/>
  <c r="BE84" i="59"/>
  <c r="BD84" i="59"/>
  <c r="BB84" i="59"/>
  <c r="BA84" i="59"/>
  <c r="AZ84" i="59"/>
  <c r="AY84" i="59"/>
  <c r="AX84" i="59"/>
  <c r="AW84" i="59"/>
  <c r="AU84" i="59"/>
  <c r="AT84" i="59"/>
  <c r="AS84" i="59"/>
  <c r="AR84" i="59"/>
  <c r="AI84" i="59"/>
  <c r="AI68" i="59" s="1"/>
  <c r="AG84" i="59"/>
  <c r="AF84" i="59"/>
  <c r="AE84" i="59"/>
  <c r="AA84" i="59"/>
  <c r="Z84" i="59"/>
  <c r="R84" i="59"/>
  <c r="P84" i="59"/>
  <c r="O84" i="59"/>
  <c r="L84" i="59"/>
  <c r="D84" i="59"/>
  <c r="C84" i="59"/>
  <c r="BI83" i="59"/>
  <c r="BC83" i="59"/>
  <c r="AV83" i="59"/>
  <c r="BI82" i="59"/>
  <c r="BC82" i="59"/>
  <c r="AV82" i="59"/>
  <c r="BI81" i="59"/>
  <c r="BC81" i="59"/>
  <c r="AV81" i="59"/>
  <c r="BI80" i="59"/>
  <c r="BC80" i="59"/>
  <c r="AV80" i="59"/>
  <c r="AH80" i="59"/>
  <c r="AG80" i="59"/>
  <c r="AF80" i="59"/>
  <c r="AE80" i="59"/>
  <c r="AB80" i="59"/>
  <c r="AA80" i="59"/>
  <c r="Z80" i="59"/>
  <c r="V80" i="59"/>
  <c r="U80" i="59"/>
  <c r="R80" i="59"/>
  <c r="P80" i="59"/>
  <c r="O80" i="59"/>
  <c r="M80" i="59"/>
  <c r="L80" i="59"/>
  <c r="K80" i="59"/>
  <c r="I80" i="59"/>
  <c r="F80" i="59"/>
  <c r="C80" i="59"/>
  <c r="BI79" i="59"/>
  <c r="BC79" i="59"/>
  <c r="AV79" i="59"/>
  <c r="BI78" i="59"/>
  <c r="BC78" i="59"/>
  <c r="AV78" i="59"/>
  <c r="N78" i="59"/>
  <c r="BI77" i="59"/>
  <c r="BC77" i="59"/>
  <c r="AV77" i="59"/>
  <c r="N77" i="59"/>
  <c r="BI76" i="59"/>
  <c r="BC76" i="59"/>
  <c r="AV76" i="59"/>
  <c r="N76" i="59"/>
  <c r="BI75" i="59"/>
  <c r="BC75" i="59"/>
  <c r="AV75" i="59"/>
  <c r="N75" i="59"/>
  <c r="BI74" i="59"/>
  <c r="BC74" i="59"/>
  <c r="AV74" i="59"/>
  <c r="N74" i="59"/>
  <c r="BI73" i="59"/>
  <c r="BC73" i="59"/>
  <c r="AV73" i="59"/>
  <c r="N73" i="59"/>
  <c r="BI72" i="59"/>
  <c r="BC72" i="59"/>
  <c r="AV72" i="59"/>
  <c r="T72" i="59"/>
  <c r="N72" i="59"/>
  <c r="BI71" i="59"/>
  <c r="BC71" i="59"/>
  <c r="AV71" i="59"/>
  <c r="N71" i="59"/>
  <c r="BX70" i="59"/>
  <c r="BX68" i="59" s="1"/>
  <c r="BV70" i="59"/>
  <c r="BU70" i="59"/>
  <c r="BT70" i="59"/>
  <c r="BT68" i="59" s="1"/>
  <c r="BS70" i="59"/>
  <c r="BS68" i="59" s="1"/>
  <c r="BR70" i="59"/>
  <c r="BQ70" i="59"/>
  <c r="BP70" i="59"/>
  <c r="BO70" i="59"/>
  <c r="BO68" i="59" s="1"/>
  <c r="BN70" i="59"/>
  <c r="BM70" i="59"/>
  <c r="BL70" i="59"/>
  <c r="BK70" i="59"/>
  <c r="BK68" i="59" s="1"/>
  <c r="BJ70" i="59"/>
  <c r="BH70" i="59"/>
  <c r="BG70" i="59"/>
  <c r="BG68" i="59" s="1"/>
  <c r="BF70" i="59"/>
  <c r="BF68" i="59" s="1"/>
  <c r="BE70" i="59"/>
  <c r="BD70" i="59"/>
  <c r="BB70" i="59"/>
  <c r="BB68" i="59" s="1"/>
  <c r="BA70" i="59"/>
  <c r="BA68" i="59" s="1"/>
  <c r="AZ70" i="59"/>
  <c r="AY70" i="59"/>
  <c r="AX70" i="59"/>
  <c r="AX68" i="59" s="1"/>
  <c r="AW70" i="59"/>
  <c r="AW68" i="59" s="1"/>
  <c r="AU70" i="59"/>
  <c r="AT70" i="59"/>
  <c r="AS70" i="59"/>
  <c r="AR70" i="59"/>
  <c r="AR68" i="59" s="1"/>
  <c r="AI70" i="59"/>
  <c r="AH70" i="59"/>
  <c r="AG70" i="59"/>
  <c r="AG68" i="59" s="1"/>
  <c r="AF70" i="59"/>
  <c r="AF68" i="59" s="1"/>
  <c r="AD70" i="59"/>
  <c r="AA70" i="59"/>
  <c r="Z70" i="59"/>
  <c r="Z68" i="59" s="1"/>
  <c r="Y70" i="59"/>
  <c r="X70" i="59"/>
  <c r="W70" i="59"/>
  <c r="S70" i="59"/>
  <c r="R70" i="59"/>
  <c r="Q70" i="59"/>
  <c r="P70" i="59"/>
  <c r="P68" i="59" s="1"/>
  <c r="BE67" i="59" s="1"/>
  <c r="O70" i="59"/>
  <c r="N70" i="59" s="1"/>
  <c r="J70" i="59"/>
  <c r="F70" i="59"/>
  <c r="D70" i="59"/>
  <c r="C70" i="59"/>
  <c r="C68" i="59" s="1"/>
  <c r="BI69" i="59"/>
  <c r="BC69" i="59"/>
  <c r="AV69" i="59"/>
  <c r="AO69" i="59"/>
  <c r="T69" i="59"/>
  <c r="N69" i="59"/>
  <c r="AS68" i="59"/>
  <c r="D68" i="59"/>
  <c r="BI67" i="59"/>
  <c r="AV67" i="59"/>
  <c r="AJ67" i="59"/>
  <c r="AP67" i="59" s="1"/>
  <c r="BI66" i="59"/>
  <c r="BC66" i="59"/>
  <c r="T66" i="59"/>
  <c r="N66" i="59"/>
  <c r="CB65" i="59"/>
  <c r="BI64" i="59"/>
  <c r="BC64" i="59"/>
  <c r="AV64" i="59"/>
  <c r="BI63" i="59"/>
  <c r="BC63" i="59"/>
  <c r="AV63" i="59"/>
  <c r="T63" i="59"/>
  <c r="N63" i="59"/>
  <c r="G63" i="59"/>
  <c r="BI62" i="59"/>
  <c r="BC62" i="59"/>
  <c r="AV62" i="59"/>
  <c r="T62" i="59"/>
  <c r="G62" i="59"/>
  <c r="BI61" i="59"/>
  <c r="BC61" i="59"/>
  <c r="AV61" i="59"/>
  <c r="T61" i="59"/>
  <c r="G61" i="59"/>
  <c r="BI60" i="59"/>
  <c r="BC60" i="59"/>
  <c r="AV60" i="59"/>
  <c r="T60" i="59"/>
  <c r="N60" i="59"/>
  <c r="G60" i="59"/>
  <c r="BI59" i="59"/>
  <c r="BC59" i="59"/>
  <c r="AV59" i="59"/>
  <c r="T59" i="59"/>
  <c r="G59" i="59"/>
  <c r="BI58" i="59"/>
  <c r="BC58" i="59"/>
  <c r="AV58" i="59"/>
  <c r="N58" i="59"/>
  <c r="BX57" i="59"/>
  <c r="BW57" i="59"/>
  <c r="BV57" i="59"/>
  <c r="BU57" i="59"/>
  <c r="BQ57" i="59"/>
  <c r="BP57" i="59"/>
  <c r="BO57" i="59"/>
  <c r="BN57" i="59"/>
  <c r="BM57" i="59"/>
  <c r="BL57" i="59"/>
  <c r="BK57" i="59"/>
  <c r="BJ57" i="59"/>
  <c r="BH57" i="59"/>
  <c r="BG57" i="59"/>
  <c r="BF57" i="59"/>
  <c r="BE57" i="59"/>
  <c r="BD57" i="59"/>
  <c r="BB57" i="59"/>
  <c r="BA57" i="59"/>
  <c r="AZ57" i="59"/>
  <c r="AY57" i="59"/>
  <c r="AX57" i="59"/>
  <c r="AW57" i="59"/>
  <c r="AU57" i="59"/>
  <c r="AT57" i="59"/>
  <c r="AS57" i="59"/>
  <c r="AR57" i="59"/>
  <c r="AH57" i="59"/>
  <c r="AG57" i="59"/>
  <c r="AF57" i="59"/>
  <c r="AE57" i="59"/>
  <c r="AD57" i="59"/>
  <c r="P57" i="59"/>
  <c r="O57" i="59"/>
  <c r="L57" i="59"/>
  <c r="D57" i="59"/>
  <c r="AO56" i="59"/>
  <c r="BI55" i="59"/>
  <c r="BC55" i="59"/>
  <c r="AO55" i="59" s="1"/>
  <c r="AJ55" i="59" s="1"/>
  <c r="AV55" i="59"/>
  <c r="T55" i="59"/>
  <c r="N55" i="59"/>
  <c r="G55" i="59"/>
  <c r="BI54" i="59"/>
  <c r="BC54" i="59"/>
  <c r="AV54" i="59"/>
  <c r="AJ54" i="59"/>
  <c r="T54" i="59"/>
  <c r="N54" i="59"/>
  <c r="G54" i="59"/>
  <c r="BI53" i="59"/>
  <c r="BC53" i="59"/>
  <c r="AV53" i="59"/>
  <c r="T53" i="59"/>
  <c r="N53" i="59"/>
  <c r="G53" i="59"/>
  <c r="BI52" i="59"/>
  <c r="BC52" i="59"/>
  <c r="AV52" i="59"/>
  <c r="T52" i="59"/>
  <c r="N52" i="59"/>
  <c r="G52" i="59"/>
  <c r="BI51" i="59"/>
  <c r="BC51" i="59"/>
  <c r="AV51" i="59"/>
  <c r="N51" i="59"/>
  <c r="BI50" i="59"/>
  <c r="BC50" i="59"/>
  <c r="AV50" i="59"/>
  <c r="N50" i="59"/>
  <c r="BI49" i="59"/>
  <c r="BC49" i="59"/>
  <c r="AV49" i="59"/>
  <c r="N49" i="59"/>
  <c r="G49" i="59"/>
  <c r="BI48" i="59"/>
  <c r="BC48" i="59"/>
  <c r="AV48" i="59"/>
  <c r="N48" i="59"/>
  <c r="BI47" i="59"/>
  <c r="BC47" i="59"/>
  <c r="AV47" i="59"/>
  <c r="N47" i="59"/>
  <c r="BV46" i="59"/>
  <c r="BU46" i="59"/>
  <c r="BT46" i="59"/>
  <c r="BQ46" i="59"/>
  <c r="BP46" i="59"/>
  <c r="BO46" i="59"/>
  <c r="BN46" i="59"/>
  <c r="BM46" i="59"/>
  <c r="BL46" i="59"/>
  <c r="BK46" i="59"/>
  <c r="BJ46" i="59"/>
  <c r="BH46" i="59"/>
  <c r="BG46" i="59"/>
  <c r="BF46" i="59"/>
  <c r="BE46" i="59"/>
  <c r="BD46" i="59"/>
  <c r="BB46" i="59"/>
  <c r="BA46" i="59"/>
  <c r="AZ46" i="59"/>
  <c r="AY46" i="59"/>
  <c r="AX46" i="59"/>
  <c r="AW46" i="59"/>
  <c r="AU46" i="59"/>
  <c r="AT46" i="59"/>
  <c r="AR46" i="59"/>
  <c r="AH46" i="59"/>
  <c r="AG46" i="59"/>
  <c r="AE46" i="59"/>
  <c r="AD46" i="59"/>
  <c r="AA46" i="59"/>
  <c r="Z46" i="59"/>
  <c r="S46" i="59"/>
  <c r="R46" i="59"/>
  <c r="Q46" i="59"/>
  <c r="P46" i="59"/>
  <c r="O46" i="59"/>
  <c r="L46" i="59"/>
  <c r="H46" i="59"/>
  <c r="F46" i="59"/>
  <c r="BI45" i="59"/>
  <c r="BC45" i="59"/>
  <c r="AV45" i="59"/>
  <c r="AO45" i="59" s="1"/>
  <c r="T45" i="59"/>
  <c r="N45" i="59"/>
  <c r="G45" i="59"/>
  <c r="BI44" i="59"/>
  <c r="BC44" i="59"/>
  <c r="AV44" i="59"/>
  <c r="N44" i="59"/>
  <c r="G44" i="59"/>
  <c r="BI43" i="59"/>
  <c r="BC43" i="59"/>
  <c r="AV43" i="59"/>
  <c r="N43" i="59"/>
  <c r="G43" i="59"/>
  <c r="BI42" i="59"/>
  <c r="BC42" i="59"/>
  <c r="AV42" i="59"/>
  <c r="N42" i="59"/>
  <c r="G42" i="59"/>
  <c r="BW41" i="59"/>
  <c r="BV41" i="59"/>
  <c r="BU41" i="59"/>
  <c r="BQ41" i="59"/>
  <c r="BP41" i="59"/>
  <c r="BO41" i="59"/>
  <c r="BN41" i="59"/>
  <c r="BM41" i="59"/>
  <c r="BL41" i="59"/>
  <c r="BK41" i="59"/>
  <c r="BJ41" i="59"/>
  <c r="BH41" i="59"/>
  <c r="BG41" i="59"/>
  <c r="BF41" i="59"/>
  <c r="BE41" i="59"/>
  <c r="BD41" i="59"/>
  <c r="BB41" i="59"/>
  <c r="BA41" i="59"/>
  <c r="AZ41" i="59"/>
  <c r="AY41" i="59"/>
  <c r="AX41" i="59"/>
  <c r="AW41" i="59"/>
  <c r="AU41" i="59"/>
  <c r="AT41" i="59"/>
  <c r="AR41" i="59"/>
  <c r="AH41" i="59"/>
  <c r="AG41" i="59"/>
  <c r="AF41" i="59"/>
  <c r="AE41" i="59"/>
  <c r="AD41" i="59"/>
  <c r="AC41" i="59"/>
  <c r="AB41" i="59"/>
  <c r="Y41" i="59"/>
  <c r="X41" i="59"/>
  <c r="W41" i="59"/>
  <c r="V41" i="59"/>
  <c r="U41" i="59"/>
  <c r="S41" i="59"/>
  <c r="R41" i="59"/>
  <c r="Q41" i="59"/>
  <c r="P41" i="59"/>
  <c r="O41" i="59"/>
  <c r="M41" i="59"/>
  <c r="L41" i="59"/>
  <c r="K41" i="59"/>
  <c r="J41" i="59"/>
  <c r="I41" i="59"/>
  <c r="H41" i="59"/>
  <c r="E41" i="59"/>
  <c r="C41" i="59"/>
  <c r="BI40" i="59"/>
  <c r="BC40" i="59"/>
  <c r="AV40" i="59"/>
  <c r="T40" i="59"/>
  <c r="N40" i="59"/>
  <c r="G40" i="59"/>
  <c r="BI39" i="59"/>
  <c r="BC39" i="59"/>
  <c r="AV39" i="59"/>
  <c r="N39" i="59"/>
  <c r="BI38" i="59"/>
  <c r="BC38" i="59"/>
  <c r="AV38" i="59"/>
  <c r="N38" i="59"/>
  <c r="BW37" i="59"/>
  <c r="BV37" i="59"/>
  <c r="BU37" i="59"/>
  <c r="BQ37" i="59"/>
  <c r="BP37" i="59"/>
  <c r="BO37" i="59"/>
  <c r="BN37" i="59"/>
  <c r="BM37" i="59"/>
  <c r="BL37" i="59"/>
  <c r="BK37" i="59"/>
  <c r="BJ37" i="59"/>
  <c r="BH37" i="59"/>
  <c r="BG37" i="59"/>
  <c r="BF37" i="59"/>
  <c r="BE37" i="59"/>
  <c r="BD37" i="59"/>
  <c r="BB37" i="59"/>
  <c r="BA37" i="59"/>
  <c r="AZ37" i="59"/>
  <c r="AY37" i="59"/>
  <c r="AX37" i="59"/>
  <c r="AW37" i="59"/>
  <c r="AU37" i="59"/>
  <c r="AT37" i="59"/>
  <c r="AR37" i="59"/>
  <c r="AH37" i="59"/>
  <c r="AG37" i="59"/>
  <c r="AF37" i="59"/>
  <c r="AE37" i="59"/>
  <c r="AD37" i="59"/>
  <c r="AC37" i="59"/>
  <c r="AA37" i="59"/>
  <c r="Z37" i="59"/>
  <c r="S37" i="59"/>
  <c r="R37" i="59"/>
  <c r="Q37" i="59"/>
  <c r="P37" i="59"/>
  <c r="O37" i="59"/>
  <c r="L37" i="59"/>
  <c r="L18" i="59" s="1"/>
  <c r="H37" i="59"/>
  <c r="F37" i="59"/>
  <c r="BI36" i="59"/>
  <c r="BC36" i="59"/>
  <c r="AO36" i="59" s="1"/>
  <c r="AV36" i="59"/>
  <c r="T36" i="59"/>
  <c r="N36" i="59"/>
  <c r="G36" i="59"/>
  <c r="BI35" i="59"/>
  <c r="BC35" i="59"/>
  <c r="AV35" i="59"/>
  <c r="N35" i="59"/>
  <c r="BI34" i="59"/>
  <c r="BC34" i="59"/>
  <c r="AV34" i="59"/>
  <c r="T34" i="59"/>
  <c r="G34" i="59"/>
  <c r="BI33" i="59"/>
  <c r="BC33" i="59"/>
  <c r="AV33" i="59"/>
  <c r="T33" i="59"/>
  <c r="N33" i="59"/>
  <c r="G33" i="59"/>
  <c r="BI32" i="59"/>
  <c r="BC32" i="59"/>
  <c r="AV32" i="59"/>
  <c r="T32" i="59"/>
  <c r="G32" i="59"/>
  <c r="BI31" i="59"/>
  <c r="BC31" i="59"/>
  <c r="AV31" i="59"/>
  <c r="N31" i="59"/>
  <c r="BI30" i="59"/>
  <c r="BC30" i="59"/>
  <c r="AV30" i="59"/>
  <c r="N30" i="59"/>
  <c r="G30" i="59"/>
  <c r="BI29" i="59"/>
  <c r="BC29" i="59"/>
  <c r="AV29" i="59"/>
  <c r="N29" i="59"/>
  <c r="BI28" i="59"/>
  <c r="BC28" i="59"/>
  <c r="AV28" i="59"/>
  <c r="N28" i="59"/>
  <c r="BW27" i="59"/>
  <c r="BV27" i="59"/>
  <c r="BU27" i="59"/>
  <c r="BQ27" i="59"/>
  <c r="BP27" i="59"/>
  <c r="BO27" i="59"/>
  <c r="BN27" i="59"/>
  <c r="BM27" i="59"/>
  <c r="BL27" i="59"/>
  <c r="BK27" i="59"/>
  <c r="BJ27" i="59"/>
  <c r="BH27" i="59"/>
  <c r="BG27" i="59"/>
  <c r="BF27" i="59"/>
  <c r="BE27" i="59"/>
  <c r="BD27" i="59"/>
  <c r="BB27" i="59"/>
  <c r="BA27" i="59"/>
  <c r="AZ27" i="59"/>
  <c r="AY27" i="59"/>
  <c r="AX27" i="59"/>
  <c r="AW27" i="59"/>
  <c r="AU27" i="59"/>
  <c r="AT27" i="59"/>
  <c r="AR27" i="59"/>
  <c r="AH27" i="59"/>
  <c r="AG27" i="59"/>
  <c r="AF27" i="59"/>
  <c r="AE27" i="59"/>
  <c r="AD27" i="59"/>
  <c r="AA27" i="59"/>
  <c r="Z27" i="59"/>
  <c r="R27" i="59"/>
  <c r="P27" i="59"/>
  <c r="O27" i="59"/>
  <c r="L27" i="59"/>
  <c r="H27" i="59"/>
  <c r="F27" i="59"/>
  <c r="BI26" i="59"/>
  <c r="BC26" i="59"/>
  <c r="AV26" i="59"/>
  <c r="T26" i="59"/>
  <c r="N26" i="59"/>
  <c r="G26" i="59"/>
  <c r="BI25" i="59"/>
  <c r="BC25" i="59"/>
  <c r="AV25" i="59"/>
  <c r="T25" i="59"/>
  <c r="N25" i="59"/>
  <c r="G25" i="59"/>
  <c r="BI24" i="59"/>
  <c r="BC24" i="59"/>
  <c r="AV24" i="59"/>
  <c r="T24" i="59"/>
  <c r="G24" i="59"/>
  <c r="BI23" i="59"/>
  <c r="BC23" i="59"/>
  <c r="AV23" i="59"/>
  <c r="N23" i="59"/>
  <c r="BI22" i="59"/>
  <c r="BC22" i="59"/>
  <c r="AV22" i="59"/>
  <c r="N22" i="59"/>
  <c r="G22" i="59"/>
  <c r="BI21" i="59"/>
  <c r="BC21" i="59"/>
  <c r="AV21" i="59"/>
  <c r="N21" i="59"/>
  <c r="BI20" i="59"/>
  <c r="BC20" i="59"/>
  <c r="AV20" i="59"/>
  <c r="N20" i="59"/>
  <c r="BX19" i="59"/>
  <c r="BX18" i="59" s="1"/>
  <c r="BW19" i="59"/>
  <c r="BV19" i="59"/>
  <c r="BU19" i="59"/>
  <c r="BQ19" i="59"/>
  <c r="BP19" i="59"/>
  <c r="BO19" i="59"/>
  <c r="BN19" i="59"/>
  <c r="BM19" i="59"/>
  <c r="BL19" i="59"/>
  <c r="BL18" i="59" s="1"/>
  <c r="BK19" i="59"/>
  <c r="BJ19" i="59"/>
  <c r="BH19" i="59"/>
  <c r="BG19" i="59"/>
  <c r="BF19" i="59"/>
  <c r="BE19" i="59"/>
  <c r="BD19" i="59"/>
  <c r="BB19" i="59"/>
  <c r="BA19" i="59"/>
  <c r="AZ19" i="59"/>
  <c r="AY19" i="59"/>
  <c r="AX19" i="59"/>
  <c r="AW19" i="59"/>
  <c r="AU19" i="59"/>
  <c r="AT19" i="59"/>
  <c r="AS19" i="59"/>
  <c r="AS18" i="59" s="1"/>
  <c r="AR19" i="59"/>
  <c r="AR18" i="59" s="1"/>
  <c r="AI19" i="59"/>
  <c r="AI18" i="59" s="1"/>
  <c r="AH19" i="59"/>
  <c r="AG19" i="59"/>
  <c r="AF19" i="59"/>
  <c r="AE19" i="59"/>
  <c r="AD19" i="59"/>
  <c r="AA19" i="59"/>
  <c r="Z19" i="59"/>
  <c r="R19" i="59"/>
  <c r="Q19" i="59"/>
  <c r="P19" i="59"/>
  <c r="O19" i="59"/>
  <c r="L19" i="59"/>
  <c r="H19" i="59"/>
  <c r="F19" i="59"/>
  <c r="D19" i="59"/>
  <c r="D18" i="59" s="1"/>
  <c r="BM18" i="59"/>
  <c r="AE18" i="59"/>
  <c r="BI17" i="59"/>
  <c r="BC17" i="59"/>
  <c r="AV17" i="59"/>
  <c r="T17" i="59"/>
  <c r="N17" i="59"/>
  <c r="G17" i="59"/>
  <c r="BI16" i="59"/>
  <c r="BC16" i="59"/>
  <c r="AV16" i="59"/>
  <c r="T16" i="59"/>
  <c r="G16" i="59"/>
  <c r="BI15" i="59"/>
  <c r="BC15" i="59"/>
  <c r="AV15" i="59"/>
  <c r="AV13" i="59" s="1"/>
  <c r="T15" i="59"/>
  <c r="G15" i="59"/>
  <c r="BI14" i="59"/>
  <c r="BI13" i="59" s="1"/>
  <c r="BC14" i="59"/>
  <c r="BC13" i="59" s="1"/>
  <c r="AV14" i="59"/>
  <c r="T14" i="59"/>
  <c r="T13" i="59" s="1"/>
  <c r="G14" i="59"/>
  <c r="G13" i="59" s="1"/>
  <c r="BX13" i="59"/>
  <c r="BX11" i="59" s="1"/>
  <c r="BW13" i="59"/>
  <c r="BW11" i="59" s="1"/>
  <c r="BV13" i="59"/>
  <c r="BU13" i="59"/>
  <c r="BT13" i="59"/>
  <c r="BS13" i="59"/>
  <c r="BS11" i="59" s="1"/>
  <c r="BQ13" i="59"/>
  <c r="BQ11" i="59" s="1"/>
  <c r="BP13" i="59"/>
  <c r="BP11" i="59" s="1"/>
  <c r="BO13" i="59"/>
  <c r="BO11" i="59" s="1"/>
  <c r="BN13" i="59"/>
  <c r="BN11" i="59" s="1"/>
  <c r="BM13" i="59"/>
  <c r="BM11" i="59" s="1"/>
  <c r="BL13" i="59"/>
  <c r="BL11" i="59" s="1"/>
  <c r="BK13" i="59"/>
  <c r="BK11" i="59" s="1"/>
  <c r="BJ13" i="59"/>
  <c r="BH13" i="59"/>
  <c r="BH11" i="59" s="1"/>
  <c r="BG13" i="59"/>
  <c r="BG11" i="59" s="1"/>
  <c r="BF13" i="59"/>
  <c r="BF11" i="59" s="1"/>
  <c r="BE13" i="59"/>
  <c r="BE11" i="59" s="1"/>
  <c r="BD13" i="59"/>
  <c r="BD11" i="59" s="1"/>
  <c r="BB13" i="59"/>
  <c r="BA13" i="59"/>
  <c r="AZ13" i="59"/>
  <c r="AY13" i="59"/>
  <c r="AY11" i="59" s="1"/>
  <c r="AX13" i="59"/>
  <c r="AX11" i="59" s="1"/>
  <c r="AW13" i="59"/>
  <c r="AW11" i="59" s="1"/>
  <c r="AU13" i="59"/>
  <c r="AU11" i="59" s="1"/>
  <c r="AT13" i="59"/>
  <c r="AS13" i="59"/>
  <c r="AS11" i="59" s="1"/>
  <c r="AR13" i="59"/>
  <c r="AI13" i="59"/>
  <c r="AH13" i="59"/>
  <c r="AH11" i="59" s="1"/>
  <c r="AG13" i="59"/>
  <c r="AF13" i="59"/>
  <c r="AE13" i="59"/>
  <c r="AE11" i="59" s="1"/>
  <c r="AD13" i="59"/>
  <c r="AD11" i="59" s="1"/>
  <c r="AC13" i="59"/>
  <c r="AC11" i="59" s="1"/>
  <c r="AB13" i="59"/>
  <c r="AA13" i="59"/>
  <c r="AA11" i="59" s="1"/>
  <c r="Z13" i="59"/>
  <c r="Z11" i="59" s="1"/>
  <c r="Y13" i="59"/>
  <c r="Y11" i="59" s="1"/>
  <c r="X13" i="59"/>
  <c r="X11" i="59" s="1"/>
  <c r="W13" i="59"/>
  <c r="W11" i="59" s="1"/>
  <c r="V13" i="59"/>
  <c r="V11" i="59" s="1"/>
  <c r="U13" i="59"/>
  <c r="U11" i="59" s="1"/>
  <c r="S13" i="59"/>
  <c r="S11" i="59" s="1"/>
  <c r="R13" i="59"/>
  <c r="Q13" i="59"/>
  <c r="P13" i="59"/>
  <c r="M13" i="59"/>
  <c r="L13" i="59"/>
  <c r="L11" i="59" s="1"/>
  <c r="K13" i="59"/>
  <c r="K11" i="59" s="1"/>
  <c r="J13" i="59"/>
  <c r="I13" i="59"/>
  <c r="H13" i="59"/>
  <c r="H11" i="59" s="1"/>
  <c r="F13" i="59"/>
  <c r="F11" i="59" s="1"/>
  <c r="E13" i="59"/>
  <c r="D13" i="59"/>
  <c r="C13" i="59"/>
  <c r="C11" i="59" s="1"/>
  <c r="BI12" i="59"/>
  <c r="BC12" i="59"/>
  <c r="AV12" i="59"/>
  <c r="T12" i="59"/>
  <c r="G12" i="59"/>
  <c r="BV11" i="59"/>
  <c r="BU11" i="59"/>
  <c r="BT11" i="59"/>
  <c r="BJ11" i="59"/>
  <c r="BB11" i="59"/>
  <c r="BA11" i="59"/>
  <c r="AZ11" i="59"/>
  <c r="AT11" i="59"/>
  <c r="AG11" i="59"/>
  <c r="AF11" i="59"/>
  <c r="AB11" i="59"/>
  <c r="R11" i="59"/>
  <c r="M11" i="59"/>
  <c r="J11" i="59"/>
  <c r="I11" i="59"/>
  <c r="E11" i="59"/>
  <c r="D11" i="59"/>
  <c r="BI10" i="59"/>
  <c r="BC10" i="59"/>
  <c r="T10" i="59"/>
  <c r="N10" i="59"/>
  <c r="G10" i="59"/>
  <c r="BI8" i="59"/>
  <c r="AV8" i="59"/>
  <c r="AP8" i="59"/>
  <c r="AJ8" i="59"/>
  <c r="BC7" i="59"/>
  <c r="AV7" i="59"/>
  <c r="BC5" i="59"/>
  <c r="BB5" i="59"/>
  <c r="BA5" i="59"/>
  <c r="AZ5" i="59"/>
  <c r="AY5" i="59"/>
  <c r="AV5" i="59" s="1"/>
  <c r="AX5" i="59"/>
  <c r="AW5" i="59"/>
  <c r="AJ5" i="59"/>
  <c r="AP5" i="59" s="1"/>
  <c r="BI4" i="59"/>
  <c r="BC4" i="59"/>
  <c r="AV4" i="59"/>
  <c r="AQ4" i="59"/>
  <c r="BY4" i="59" s="1"/>
  <c r="BE18" i="59" l="1"/>
  <c r="O18" i="60"/>
  <c r="AZ18" i="60"/>
  <c r="BE18" i="60"/>
  <c r="BE9" i="60" s="1"/>
  <c r="BN18" i="60"/>
  <c r="BN9" i="60" s="1"/>
  <c r="BC41" i="60"/>
  <c r="BG68" i="60"/>
  <c r="BL68" i="60"/>
  <c r="BP68" i="60"/>
  <c r="BC84" i="60"/>
  <c r="BA65" i="60"/>
  <c r="BY65" i="61"/>
  <c r="BC9" i="62"/>
  <c r="BD9" i="60"/>
  <c r="BH18" i="60"/>
  <c r="BH9" i="60" s="1"/>
  <c r="BI27" i="59"/>
  <c r="BC37" i="59"/>
  <c r="AA68" i="59"/>
  <c r="BM68" i="59"/>
  <c r="AV11" i="59"/>
  <c r="T11" i="59"/>
  <c r="AZ68" i="59"/>
  <c r="BE68" i="59"/>
  <c r="AR9" i="60"/>
  <c r="BO9" i="60"/>
  <c r="AG18" i="60"/>
  <c r="AV37" i="60"/>
  <c r="BA18" i="60"/>
  <c r="BK18" i="60"/>
  <c r="AO45" i="60"/>
  <c r="AV46" i="60"/>
  <c r="AV57" i="60"/>
  <c r="D68" i="60"/>
  <c r="AA68" i="60"/>
  <c r="AY68" i="60"/>
  <c r="BI9" i="61"/>
  <c r="AV68" i="64"/>
  <c r="AP40" i="64"/>
  <c r="BC9" i="64"/>
  <c r="BY36" i="64"/>
  <c r="AY18" i="60"/>
  <c r="BQ18" i="60"/>
  <c r="BQ9" i="60" s="1"/>
  <c r="BC70" i="60"/>
  <c r="AV41" i="59"/>
  <c r="AT68" i="59"/>
  <c r="BD68" i="59"/>
  <c r="BH68" i="59"/>
  <c r="BI84" i="59"/>
  <c r="BE9" i="59"/>
  <c r="R18" i="59"/>
  <c r="N37" i="59"/>
  <c r="AO40" i="59"/>
  <c r="G41" i="59"/>
  <c r="BD18" i="59"/>
  <c r="BC84" i="59"/>
  <c r="BZ89" i="59"/>
  <c r="AV5" i="60"/>
  <c r="G13" i="60"/>
  <c r="G11" i="60" s="1"/>
  <c r="BI13" i="60"/>
  <c r="H18" i="60"/>
  <c r="BX9" i="60"/>
  <c r="AO26" i="60"/>
  <c r="N41" i="60"/>
  <c r="AO55" i="60"/>
  <c r="AJ55" i="60" s="1"/>
  <c r="BY55" i="60" s="1"/>
  <c r="BZ89" i="60"/>
  <c r="D65" i="60"/>
  <c r="BI18" i="61"/>
  <c r="AC65" i="60"/>
  <c r="Y65" i="60"/>
  <c r="U65" i="60"/>
  <c r="AB65" i="60"/>
  <c r="X65" i="60"/>
  <c r="AC65" i="59"/>
  <c r="AA65" i="59"/>
  <c r="W65" i="59"/>
  <c r="Z65" i="59"/>
  <c r="V65" i="59"/>
  <c r="T65" i="62"/>
  <c r="AO65" i="59"/>
  <c r="U65" i="59"/>
  <c r="AA65" i="60"/>
  <c r="BT18" i="60"/>
  <c r="W65" i="60"/>
  <c r="AB65" i="59"/>
  <c r="Z65" i="60"/>
  <c r="X65" i="59"/>
  <c r="V65" i="60"/>
  <c r="D9" i="60"/>
  <c r="AW65" i="60"/>
  <c r="BC9" i="65"/>
  <c r="BY45" i="64"/>
  <c r="AP45" i="64"/>
  <c r="AV18" i="64"/>
  <c r="AR9" i="64"/>
  <c r="T65" i="64"/>
  <c r="BI18" i="64"/>
  <c r="BI9" i="64" s="1"/>
  <c r="AV18" i="62"/>
  <c r="AP45" i="62"/>
  <c r="AP63" i="62"/>
  <c r="BY36" i="62"/>
  <c r="AP36" i="62"/>
  <c r="BI18" i="62"/>
  <c r="BI9" i="62" s="1"/>
  <c r="AV68" i="62"/>
  <c r="BC18" i="61"/>
  <c r="BC9" i="61" s="1"/>
  <c r="AV18" i="61"/>
  <c r="AS7" i="61"/>
  <c r="D7" i="61" s="1"/>
  <c r="AS5" i="61" s="1"/>
  <c r="BY55" i="61"/>
  <c r="AP55" i="61"/>
  <c r="BY36" i="61"/>
  <c r="AP36" i="61"/>
  <c r="BY45" i="61"/>
  <c r="AP45" i="61"/>
  <c r="AR9" i="61"/>
  <c r="AP63" i="61"/>
  <c r="T65" i="61"/>
  <c r="AP54" i="61"/>
  <c r="BC68" i="61"/>
  <c r="AX65" i="60"/>
  <c r="BB65" i="60"/>
  <c r="AJ65" i="60"/>
  <c r="AY65" i="60"/>
  <c r="AP55" i="60"/>
  <c r="L9" i="60"/>
  <c r="BI37" i="60"/>
  <c r="BU18" i="60"/>
  <c r="BU9" i="60" s="1"/>
  <c r="AV41" i="60"/>
  <c r="BG18" i="60"/>
  <c r="BG9" i="60" s="1"/>
  <c r="BL18" i="60"/>
  <c r="BL9" i="60" s="1"/>
  <c r="P68" i="60"/>
  <c r="BE67" i="60" s="1"/>
  <c r="AH9" i="60"/>
  <c r="N46" i="60"/>
  <c r="AU18" i="60"/>
  <c r="AX18" i="60"/>
  <c r="BB18" i="60"/>
  <c r="AO36" i="60"/>
  <c r="BC37" i="60"/>
  <c r="AJ40" i="60"/>
  <c r="BY40" i="60" s="1"/>
  <c r="AJ45" i="60"/>
  <c r="BK9" i="60"/>
  <c r="AD18" i="60"/>
  <c r="AD9" i="60" s="1"/>
  <c r="BC11" i="60"/>
  <c r="P18" i="60"/>
  <c r="AG9" i="60"/>
  <c r="BV5" i="60" s="1"/>
  <c r="BI19" i="60"/>
  <c r="AT18" i="60"/>
  <c r="AT9" i="60" s="1"/>
  <c r="BV18" i="60"/>
  <c r="BV9" i="60" s="1"/>
  <c r="AJ36" i="60"/>
  <c r="AE18" i="60"/>
  <c r="AE9" i="60" s="1"/>
  <c r="BI46" i="60"/>
  <c r="AS9" i="60"/>
  <c r="BI57" i="60"/>
  <c r="AF68" i="60"/>
  <c r="AU68" i="60"/>
  <c r="AZ68" i="60"/>
  <c r="BD68" i="60"/>
  <c r="BH68" i="60"/>
  <c r="BY45" i="60"/>
  <c r="AP45" i="60"/>
  <c r="BC57" i="60"/>
  <c r="N70" i="60"/>
  <c r="O68" i="60"/>
  <c r="BD67" i="60" s="1"/>
  <c r="AU11" i="60"/>
  <c r="AU9" i="60" s="1"/>
  <c r="T13" i="60"/>
  <c r="T11" i="60" s="1"/>
  <c r="AV19" i="60"/>
  <c r="AV13" i="60"/>
  <c r="AV11" i="60" s="1"/>
  <c r="BF18" i="60"/>
  <c r="BF9" i="60" s="1"/>
  <c r="BC27" i="60"/>
  <c r="AO65" i="60"/>
  <c r="AJ10" i="60"/>
  <c r="AP10" i="60" s="1"/>
  <c r="BI11" i="60"/>
  <c r="BC19" i="60"/>
  <c r="BI27" i="60"/>
  <c r="BJ18" i="60"/>
  <c r="BJ9" i="60" s="1"/>
  <c r="AP40" i="60"/>
  <c r="AP63" i="60"/>
  <c r="BI70" i="60"/>
  <c r="AV70" i="60"/>
  <c r="AV68" i="60" s="1"/>
  <c r="Z68" i="60"/>
  <c r="AV27" i="60"/>
  <c r="G41" i="60"/>
  <c r="BI41" i="60"/>
  <c r="AP54" i="60"/>
  <c r="AO69" i="60"/>
  <c r="AR68" i="60"/>
  <c r="BC68" i="60"/>
  <c r="BI84" i="60"/>
  <c r="AV84" i="60"/>
  <c r="D65" i="59"/>
  <c r="D9" i="59" s="1"/>
  <c r="AS7" i="59" s="1"/>
  <c r="D7" i="59" s="1"/>
  <c r="AS5" i="59" s="1"/>
  <c r="AW65" i="59"/>
  <c r="BA65" i="59"/>
  <c r="AX65" i="59"/>
  <c r="BB65" i="59"/>
  <c r="AJ65" i="59"/>
  <c r="AY65" i="59"/>
  <c r="BI11" i="59"/>
  <c r="BM9" i="59"/>
  <c r="AX18" i="59"/>
  <c r="BO18" i="59"/>
  <c r="AT18" i="59"/>
  <c r="AT9" i="59" s="1"/>
  <c r="BP18" i="59"/>
  <c r="BP9" i="59" s="1"/>
  <c r="AP54" i="59"/>
  <c r="O68" i="59"/>
  <c r="BD67" i="59" s="1"/>
  <c r="AE9" i="59"/>
  <c r="BO9" i="59"/>
  <c r="AO26" i="59"/>
  <c r="BQ18" i="59"/>
  <c r="BQ9" i="59" s="1"/>
  <c r="BV18" i="59"/>
  <c r="BV9" i="59" s="1"/>
  <c r="O18" i="59"/>
  <c r="AU18" i="59"/>
  <c r="AU9" i="59" s="1"/>
  <c r="AZ18" i="59"/>
  <c r="BH18" i="59"/>
  <c r="BH9" i="59" s="1"/>
  <c r="BC41" i="59"/>
  <c r="AV46" i="59"/>
  <c r="AY68" i="59"/>
  <c r="BQ68" i="59"/>
  <c r="BD9" i="59"/>
  <c r="AS9" i="59"/>
  <c r="BB18" i="59"/>
  <c r="BC27" i="59"/>
  <c r="AY18" i="59"/>
  <c r="BG18" i="59"/>
  <c r="BU18" i="59"/>
  <c r="BU9" i="59" s="1"/>
  <c r="BC11" i="59"/>
  <c r="BG9" i="59"/>
  <c r="BL9" i="59"/>
  <c r="G11" i="59"/>
  <c r="P18" i="59"/>
  <c r="AW18" i="59"/>
  <c r="BA18" i="59"/>
  <c r="BI19" i="59"/>
  <c r="BC19" i="59"/>
  <c r="AV27" i="59"/>
  <c r="BF18" i="59"/>
  <c r="BF9" i="59" s="1"/>
  <c r="BJ18" i="59"/>
  <c r="BJ9" i="59" s="1"/>
  <c r="BN18" i="59"/>
  <c r="BN9" i="59" s="1"/>
  <c r="AJ36" i="59"/>
  <c r="AJ40" i="59"/>
  <c r="BI41" i="59"/>
  <c r="N41" i="59"/>
  <c r="BY65" i="59"/>
  <c r="R68" i="59"/>
  <c r="BG67" i="59" s="1"/>
  <c r="AU68" i="59"/>
  <c r="BJ68" i="59"/>
  <c r="BN68" i="59"/>
  <c r="BR68" i="59"/>
  <c r="BV68" i="59"/>
  <c r="BL68" i="59"/>
  <c r="BP68" i="59"/>
  <c r="BU68" i="59"/>
  <c r="AJ10" i="59"/>
  <c r="AP10" i="59" s="1"/>
  <c r="BX9" i="59"/>
  <c r="AV37" i="59"/>
  <c r="BY55" i="59"/>
  <c r="AP55" i="59"/>
  <c r="BC70" i="59"/>
  <c r="BC68" i="59" s="1"/>
  <c r="L9" i="59"/>
  <c r="AR11" i="59"/>
  <c r="H18" i="59"/>
  <c r="AG18" i="59"/>
  <c r="AG9" i="59" s="1"/>
  <c r="BV5" i="59" s="1"/>
  <c r="AP40" i="59"/>
  <c r="AD18" i="59"/>
  <c r="AD9" i="59" s="1"/>
  <c r="AH18" i="59"/>
  <c r="AH9" i="59" s="1"/>
  <c r="AV19" i="59"/>
  <c r="BK18" i="59"/>
  <c r="BK9" i="59" s="1"/>
  <c r="BI37" i="59"/>
  <c r="BI70" i="59"/>
  <c r="BC46" i="59"/>
  <c r="BI57" i="59"/>
  <c r="AJ45" i="59"/>
  <c r="BI46" i="59"/>
  <c r="N46" i="59"/>
  <c r="AV57" i="59"/>
  <c r="AJ63" i="59"/>
  <c r="BC57" i="59"/>
  <c r="AV70" i="59"/>
  <c r="T403" i="32"/>
  <c r="T404" i="32"/>
  <c r="V403" i="32"/>
  <c r="L11" i="43"/>
  <c r="B13" i="32"/>
  <c r="BT57" i="33"/>
  <c r="BT41" i="33"/>
  <c r="BT37" i="33"/>
  <c r="BT27" i="33"/>
  <c r="BT19" i="33"/>
  <c r="AB71" i="33"/>
  <c r="AT6" i="33"/>
  <c r="BZ117" i="33"/>
  <c r="BZ112" i="33"/>
  <c r="BZ101" i="33"/>
  <c r="BZ90" i="33"/>
  <c r="BI88" i="33"/>
  <c r="BC88" i="33"/>
  <c r="AV88" i="33"/>
  <c r="BI87" i="33"/>
  <c r="BC87" i="33"/>
  <c r="AV87" i="33"/>
  <c r="BI86" i="33"/>
  <c r="BC86" i="33"/>
  <c r="AV86" i="33"/>
  <c r="BI85" i="33"/>
  <c r="BC85" i="33"/>
  <c r="AV85" i="33"/>
  <c r="BX84" i="33"/>
  <c r="BX68" i="33" s="1"/>
  <c r="BV84" i="33"/>
  <c r="BU84" i="33"/>
  <c r="BS84" i="33"/>
  <c r="BS68" i="33" s="1"/>
  <c r="BR84" i="33"/>
  <c r="BQ84" i="33"/>
  <c r="BP84" i="33"/>
  <c r="BO84" i="33"/>
  <c r="BO68" i="33" s="1"/>
  <c r="BN84" i="33"/>
  <c r="BM84" i="33"/>
  <c r="BL84" i="33"/>
  <c r="BK84" i="33"/>
  <c r="BJ84" i="33"/>
  <c r="BH84" i="33"/>
  <c r="BG84" i="33"/>
  <c r="BF84" i="33"/>
  <c r="BE84" i="33"/>
  <c r="BD84" i="33"/>
  <c r="BB84" i="33"/>
  <c r="BA84" i="33"/>
  <c r="AZ84" i="33"/>
  <c r="AZ68" i="33" s="1"/>
  <c r="AY84" i="33"/>
  <c r="AX84" i="33"/>
  <c r="AW84" i="33"/>
  <c r="AU84" i="33"/>
  <c r="AT84" i="33"/>
  <c r="AS84" i="33"/>
  <c r="AR84" i="33"/>
  <c r="AI84" i="33"/>
  <c r="AG84" i="33"/>
  <c r="AF84" i="33"/>
  <c r="AE84" i="33"/>
  <c r="AA84" i="33"/>
  <c r="Z84" i="33"/>
  <c r="R84" i="33"/>
  <c r="P84" i="33"/>
  <c r="O84" i="33"/>
  <c r="O68" i="33" s="1"/>
  <c r="BD67" i="33" s="1"/>
  <c r="L84" i="33"/>
  <c r="D84" i="33"/>
  <c r="C84" i="33"/>
  <c r="BI83" i="33"/>
  <c r="BC83" i="33"/>
  <c r="AV83" i="33"/>
  <c r="BI82" i="33"/>
  <c r="BC82" i="33"/>
  <c r="AV82" i="33"/>
  <c r="BI81" i="33"/>
  <c r="BC81" i="33"/>
  <c r="AV81" i="33"/>
  <c r="BI80" i="33"/>
  <c r="BC80" i="33"/>
  <c r="AV80" i="33"/>
  <c r="AH80" i="33"/>
  <c r="AG80" i="33"/>
  <c r="AF80" i="33"/>
  <c r="AE80" i="33"/>
  <c r="AB80" i="33"/>
  <c r="AA80" i="33"/>
  <c r="Z80" i="33"/>
  <c r="V80" i="33"/>
  <c r="U80" i="33"/>
  <c r="R80" i="33"/>
  <c r="P80" i="33"/>
  <c r="O80" i="33"/>
  <c r="M80" i="33"/>
  <c r="L80" i="33"/>
  <c r="K80" i="33"/>
  <c r="I80" i="33"/>
  <c r="F80" i="33"/>
  <c r="C80" i="33"/>
  <c r="BI79" i="33"/>
  <c r="BC79" i="33"/>
  <c r="AV79" i="33"/>
  <c r="BI78" i="33"/>
  <c r="BC78" i="33"/>
  <c r="AV78" i="33"/>
  <c r="N78" i="33"/>
  <c r="BI77" i="33"/>
  <c r="BC77" i="33"/>
  <c r="AV77" i="33"/>
  <c r="N77" i="33"/>
  <c r="BI76" i="33"/>
  <c r="BC76" i="33"/>
  <c r="AV76" i="33"/>
  <c r="N76" i="33"/>
  <c r="BI75" i="33"/>
  <c r="BC75" i="33"/>
  <c r="AV75" i="33"/>
  <c r="N75" i="33"/>
  <c r="BI74" i="33"/>
  <c r="BC74" i="33"/>
  <c r="AV74" i="33"/>
  <c r="N74" i="33"/>
  <c r="BI73" i="33"/>
  <c r="BC73" i="33"/>
  <c r="AV73" i="33"/>
  <c r="N73" i="33"/>
  <c r="BI72" i="33"/>
  <c r="BC72" i="33"/>
  <c r="AV72" i="33"/>
  <c r="T72" i="33"/>
  <c r="N72" i="33"/>
  <c r="BI71" i="33"/>
  <c r="BC71" i="33"/>
  <c r="AV71" i="33"/>
  <c r="N71" i="33"/>
  <c r="BX70" i="33"/>
  <c r="BV70" i="33"/>
  <c r="BV68" i="33" s="1"/>
  <c r="BU70" i="33"/>
  <c r="BU68" i="33" s="1"/>
  <c r="BT70" i="33"/>
  <c r="BS70" i="33"/>
  <c r="BR70" i="33"/>
  <c r="BQ70" i="33"/>
  <c r="BQ68" i="33" s="1"/>
  <c r="BP70" i="33"/>
  <c r="BO70" i="33"/>
  <c r="BN70" i="33"/>
  <c r="BM70" i="33"/>
  <c r="BM68" i="33" s="1"/>
  <c r="BL70" i="33"/>
  <c r="BK70" i="33"/>
  <c r="BJ70" i="33"/>
  <c r="BH70" i="33"/>
  <c r="BG70" i="33"/>
  <c r="BF70" i="33"/>
  <c r="BE70" i="33"/>
  <c r="BE68" i="33" s="1"/>
  <c r="BD70" i="33"/>
  <c r="BB70" i="33"/>
  <c r="BB68" i="33" s="1"/>
  <c r="BA70" i="33"/>
  <c r="AZ70" i="33"/>
  <c r="AY70" i="33"/>
  <c r="AX70" i="33"/>
  <c r="AX68" i="33" s="1"/>
  <c r="AW70" i="33"/>
  <c r="AU70" i="33"/>
  <c r="AU68" i="33" s="1"/>
  <c r="AT70" i="33"/>
  <c r="AT68" i="33" s="1"/>
  <c r="AS70" i="33"/>
  <c r="AS68" i="33" s="1"/>
  <c r="AR70" i="33"/>
  <c r="AI70" i="33"/>
  <c r="AH70" i="33"/>
  <c r="AG70" i="33"/>
  <c r="AF70" i="33"/>
  <c r="AD70" i="33"/>
  <c r="AA70" i="33"/>
  <c r="AA68" i="33" s="1"/>
  <c r="Z70" i="33"/>
  <c r="Z68" i="33" s="1"/>
  <c r="Y70" i="33"/>
  <c r="X70" i="33"/>
  <c r="W70" i="33"/>
  <c r="S70" i="33"/>
  <c r="R70" i="33"/>
  <c r="Q70" i="33"/>
  <c r="P70" i="33"/>
  <c r="P68" i="33" s="1"/>
  <c r="BE67" i="33" s="1"/>
  <c r="O70" i="33"/>
  <c r="J70" i="33"/>
  <c r="F70" i="33"/>
  <c r="D70" i="33"/>
  <c r="D68" i="33" s="1"/>
  <c r="C70" i="33"/>
  <c r="BI69" i="33"/>
  <c r="BC69" i="33"/>
  <c r="AV69" i="33"/>
  <c r="T69" i="33"/>
  <c r="N69" i="33"/>
  <c r="BT68" i="33"/>
  <c r="BP68" i="33"/>
  <c r="BL68" i="33"/>
  <c r="BK68" i="33"/>
  <c r="BG68" i="33"/>
  <c r="AY68" i="33"/>
  <c r="AG68" i="33"/>
  <c r="AF68" i="33"/>
  <c r="BI67" i="33"/>
  <c r="AV67" i="33"/>
  <c r="AJ67" i="33"/>
  <c r="AP67" i="33" s="1"/>
  <c r="BI66" i="33"/>
  <c r="BC66" i="33"/>
  <c r="T66" i="33"/>
  <c r="N66" i="33"/>
  <c r="BI64" i="33"/>
  <c r="BC64" i="33"/>
  <c r="AV64" i="33"/>
  <c r="BI63" i="33"/>
  <c r="BC63" i="33"/>
  <c r="AV63" i="33"/>
  <c r="T63" i="33"/>
  <c r="N63" i="33"/>
  <c r="G63" i="33"/>
  <c r="AJ63" i="33" s="1"/>
  <c r="AP63" i="33" s="1"/>
  <c r="BI62" i="33"/>
  <c r="BC62" i="33"/>
  <c r="AV62" i="33"/>
  <c r="T62" i="33"/>
  <c r="G62" i="33"/>
  <c r="BI61" i="33"/>
  <c r="BC61" i="33"/>
  <c r="AV61" i="33"/>
  <c r="T61" i="33"/>
  <c r="G61" i="33"/>
  <c r="BI60" i="33"/>
  <c r="BC60" i="33"/>
  <c r="AV60" i="33"/>
  <c r="T60" i="33"/>
  <c r="N60" i="33"/>
  <c r="G60" i="33"/>
  <c r="BI59" i="33"/>
  <c r="BC59" i="33"/>
  <c r="AV59" i="33"/>
  <c r="T59" i="33"/>
  <c r="G59" i="33"/>
  <c r="BI58" i="33"/>
  <c r="BC58" i="33"/>
  <c r="AV58" i="33"/>
  <c r="N58" i="33"/>
  <c r="BX57" i="33"/>
  <c r="BW57" i="33"/>
  <c r="BV57" i="33"/>
  <c r="BU57" i="33"/>
  <c r="BQ57" i="33"/>
  <c r="BP57" i="33"/>
  <c r="BO57" i="33"/>
  <c r="BN57" i="33"/>
  <c r="BM57" i="33"/>
  <c r="BL57" i="33"/>
  <c r="BK57" i="33"/>
  <c r="BJ57" i="33"/>
  <c r="BH57" i="33"/>
  <c r="BG57" i="33"/>
  <c r="BF57" i="33"/>
  <c r="BE57" i="33"/>
  <c r="BD57" i="33"/>
  <c r="BB57" i="33"/>
  <c r="BA57" i="33"/>
  <c r="AZ57" i="33"/>
  <c r="AY57" i="33"/>
  <c r="AX57" i="33"/>
  <c r="AW57" i="33"/>
  <c r="AV57" i="33"/>
  <c r="AU57" i="33"/>
  <c r="AT57" i="33"/>
  <c r="AS57" i="33"/>
  <c r="AR57" i="33"/>
  <c r="AH57" i="33"/>
  <c r="AG57" i="33"/>
  <c r="AF57" i="33"/>
  <c r="AE57" i="33"/>
  <c r="AD57" i="33"/>
  <c r="P57" i="33"/>
  <c r="O57" i="33"/>
  <c r="L57" i="33"/>
  <c r="D57" i="33"/>
  <c r="AO56" i="33"/>
  <c r="BI55" i="33"/>
  <c r="BC55" i="33"/>
  <c r="AO55" i="33" s="1"/>
  <c r="AJ55" i="33" s="1"/>
  <c r="AV55" i="33"/>
  <c r="T55" i="33"/>
  <c r="N55" i="33"/>
  <c r="G55" i="33"/>
  <c r="BI54" i="33"/>
  <c r="BC54" i="33"/>
  <c r="AV54" i="33"/>
  <c r="T54" i="33"/>
  <c r="N54" i="33"/>
  <c r="G54" i="33"/>
  <c r="BI53" i="33"/>
  <c r="BC53" i="33"/>
  <c r="AV53" i="33"/>
  <c r="T53" i="33"/>
  <c r="N53" i="33"/>
  <c r="G53" i="33"/>
  <c r="BI52" i="33"/>
  <c r="BC52" i="33"/>
  <c r="AV52" i="33"/>
  <c r="T52" i="33"/>
  <c r="N52" i="33"/>
  <c r="G52" i="33"/>
  <c r="BI51" i="33"/>
  <c r="BC51" i="33"/>
  <c r="AV51" i="33"/>
  <c r="N51" i="33"/>
  <c r="BI50" i="33"/>
  <c r="BC50" i="33"/>
  <c r="AV50" i="33"/>
  <c r="N50" i="33"/>
  <c r="BI49" i="33"/>
  <c r="BC49" i="33"/>
  <c r="AV49" i="33"/>
  <c r="N49" i="33"/>
  <c r="G49" i="33"/>
  <c r="BI48" i="33"/>
  <c r="BC48" i="33"/>
  <c r="AV48" i="33"/>
  <c r="N48" i="33"/>
  <c r="BI47" i="33"/>
  <c r="BC47" i="33"/>
  <c r="AV47" i="33"/>
  <c r="N47" i="33"/>
  <c r="BV46" i="33"/>
  <c r="BU46" i="33"/>
  <c r="BT46" i="33"/>
  <c r="BQ46" i="33"/>
  <c r="BP46" i="33"/>
  <c r="BO46" i="33"/>
  <c r="BN46" i="33"/>
  <c r="BM46" i="33"/>
  <c r="BL46" i="33"/>
  <c r="BK46" i="33"/>
  <c r="BJ46" i="33"/>
  <c r="BH46" i="33"/>
  <c r="BG46" i="33"/>
  <c r="BF46" i="33"/>
  <c r="BE46" i="33"/>
  <c r="BD46" i="33"/>
  <c r="BC46" i="33"/>
  <c r="BB46" i="33"/>
  <c r="BA46" i="33"/>
  <c r="AZ46" i="33"/>
  <c r="AY46" i="33"/>
  <c r="AX46" i="33"/>
  <c r="AW46" i="33"/>
  <c r="AU46" i="33"/>
  <c r="AT46" i="33"/>
  <c r="AR46" i="33"/>
  <c r="AH46" i="33"/>
  <c r="AG46" i="33"/>
  <c r="AE46" i="33"/>
  <c r="AA46" i="33"/>
  <c r="Z46" i="33"/>
  <c r="S46" i="33"/>
  <c r="R46" i="33"/>
  <c r="Q46" i="33"/>
  <c r="P46" i="33"/>
  <c r="O46" i="33"/>
  <c r="N46" i="33"/>
  <c r="L46" i="33"/>
  <c r="H46" i="33"/>
  <c r="F46" i="33"/>
  <c r="BI45" i="33"/>
  <c r="BC45" i="33"/>
  <c r="AV45" i="33"/>
  <c r="T45" i="33"/>
  <c r="N45" i="33"/>
  <c r="N41" i="33" s="1"/>
  <c r="G45" i="33"/>
  <c r="BI44" i="33"/>
  <c r="BC44" i="33"/>
  <c r="AV44" i="33"/>
  <c r="N44" i="33"/>
  <c r="G44" i="33"/>
  <c r="BI43" i="33"/>
  <c r="BC43" i="33"/>
  <c r="AV43" i="33"/>
  <c r="N43" i="33"/>
  <c r="G43" i="33"/>
  <c r="BI42" i="33"/>
  <c r="BC42" i="33"/>
  <c r="AV42" i="33"/>
  <c r="N42" i="33"/>
  <c r="G42" i="33"/>
  <c r="BW41" i="33"/>
  <c r="BV41" i="33"/>
  <c r="BU41" i="33"/>
  <c r="BQ41" i="33"/>
  <c r="BQ18" i="33" s="1"/>
  <c r="BP41" i="33"/>
  <c r="BO41" i="33"/>
  <c r="BN41" i="33"/>
  <c r="BM41" i="33"/>
  <c r="BL41" i="33"/>
  <c r="BK41" i="33"/>
  <c r="BJ41" i="33"/>
  <c r="BI41" i="33"/>
  <c r="BH41" i="33"/>
  <c r="BG41" i="33"/>
  <c r="BF41" i="33"/>
  <c r="BE41" i="33"/>
  <c r="BC41" i="33" s="1"/>
  <c r="BD41" i="33"/>
  <c r="BB41" i="33"/>
  <c r="BA41" i="33"/>
  <c r="AZ41" i="33"/>
  <c r="AY41" i="33"/>
  <c r="AX41" i="33"/>
  <c r="AW41" i="33"/>
  <c r="AU41" i="33"/>
  <c r="AT41" i="33"/>
  <c r="AR41" i="33"/>
  <c r="AH41" i="33"/>
  <c r="AG41" i="33"/>
  <c r="AF41" i="33"/>
  <c r="AE41" i="33"/>
  <c r="AD41" i="33"/>
  <c r="AC41" i="33"/>
  <c r="AB41" i="33"/>
  <c r="Y41" i="33"/>
  <c r="X41" i="33"/>
  <c r="W41" i="33"/>
  <c r="V41" i="33"/>
  <c r="U41" i="33"/>
  <c r="S41" i="33"/>
  <c r="R41" i="33"/>
  <c r="Q41" i="33"/>
  <c r="P41" i="33"/>
  <c r="O41" i="33"/>
  <c r="M41" i="33"/>
  <c r="L41" i="33"/>
  <c r="K41" i="33"/>
  <c r="J41" i="33"/>
  <c r="I41" i="33"/>
  <c r="H41" i="33"/>
  <c r="E41" i="33"/>
  <c r="C41" i="33"/>
  <c r="BI40" i="33"/>
  <c r="BC40" i="33"/>
  <c r="AV40" i="33"/>
  <c r="AJ40" i="33"/>
  <c r="T40" i="33"/>
  <c r="N40" i="33"/>
  <c r="G40" i="33"/>
  <c r="BI39" i="33"/>
  <c r="BC39" i="33"/>
  <c r="AV39" i="33"/>
  <c r="N39" i="33"/>
  <c r="BI38" i="33"/>
  <c r="BC38" i="33"/>
  <c r="AV38" i="33"/>
  <c r="N38" i="33"/>
  <c r="BW37" i="33"/>
  <c r="BV37" i="33"/>
  <c r="BU37" i="33"/>
  <c r="BQ37" i="33"/>
  <c r="BP37" i="33"/>
  <c r="BO37" i="33"/>
  <c r="BN37" i="33"/>
  <c r="BM37" i="33"/>
  <c r="BM18" i="33" s="1"/>
  <c r="BL37" i="33"/>
  <c r="BK37" i="33"/>
  <c r="BJ37" i="33"/>
  <c r="BH37" i="33"/>
  <c r="BG37" i="33"/>
  <c r="BF37" i="33"/>
  <c r="BE37" i="33"/>
  <c r="BD37" i="33"/>
  <c r="BC37" i="33"/>
  <c r="BB37" i="33"/>
  <c r="BA37" i="33"/>
  <c r="AZ37" i="33"/>
  <c r="AY37" i="33"/>
  <c r="AV37" i="33" s="1"/>
  <c r="AX37" i="33"/>
  <c r="AW37" i="33"/>
  <c r="AU37" i="33"/>
  <c r="AT37" i="33"/>
  <c r="AR37" i="33"/>
  <c r="AH37" i="33"/>
  <c r="AG37" i="33"/>
  <c r="AF37" i="33"/>
  <c r="AE37" i="33"/>
  <c r="AD37" i="33"/>
  <c r="AC37" i="33"/>
  <c r="AA37" i="33"/>
  <c r="Z37" i="33"/>
  <c r="S37" i="33"/>
  <c r="R37" i="33"/>
  <c r="Q37" i="33"/>
  <c r="P37" i="33"/>
  <c r="O37" i="33"/>
  <c r="L37" i="33"/>
  <c r="H37" i="33"/>
  <c r="F37" i="33"/>
  <c r="BI36" i="33"/>
  <c r="BC36" i="33"/>
  <c r="AV36" i="33"/>
  <c r="AO36" i="33" s="1"/>
  <c r="T36" i="33"/>
  <c r="N36" i="33"/>
  <c r="G36" i="33"/>
  <c r="BI35" i="33"/>
  <c r="BC35" i="33"/>
  <c r="AV35" i="33"/>
  <c r="N35" i="33"/>
  <c r="BI34" i="33"/>
  <c r="BC34" i="33"/>
  <c r="AV34" i="33"/>
  <c r="T34" i="33"/>
  <c r="G34" i="33"/>
  <c r="BI33" i="33"/>
  <c r="BC33" i="33"/>
  <c r="AV33" i="33"/>
  <c r="T33" i="33"/>
  <c r="N33" i="33"/>
  <c r="G33" i="33"/>
  <c r="BI32" i="33"/>
  <c r="BC32" i="33"/>
  <c r="AV32" i="33"/>
  <c r="T32" i="33"/>
  <c r="G32" i="33"/>
  <c r="BI31" i="33"/>
  <c r="BC31" i="33"/>
  <c r="AV31" i="33"/>
  <c r="N31" i="33"/>
  <c r="BI30" i="33"/>
  <c r="BC30" i="33"/>
  <c r="AV30" i="33"/>
  <c r="N30" i="33"/>
  <c r="G30" i="33"/>
  <c r="BI29" i="33"/>
  <c r="BC29" i="33"/>
  <c r="AV29" i="33"/>
  <c r="N29" i="33"/>
  <c r="BI28" i="33"/>
  <c r="BC28" i="33"/>
  <c r="AV28" i="33"/>
  <c r="N28" i="33"/>
  <c r="BW27" i="33"/>
  <c r="BV27" i="33"/>
  <c r="BU27" i="33"/>
  <c r="BU18" i="33" s="1"/>
  <c r="BU9" i="33" s="1"/>
  <c r="BQ27" i="33"/>
  <c r="BP27" i="33"/>
  <c r="BO27" i="33"/>
  <c r="BN27" i="33"/>
  <c r="BN18" i="33" s="1"/>
  <c r="BM27" i="33"/>
  <c r="BL27" i="33"/>
  <c r="BK27" i="33"/>
  <c r="BJ27" i="33"/>
  <c r="BJ18" i="33" s="1"/>
  <c r="BH27" i="33"/>
  <c r="BG27" i="33"/>
  <c r="BF27" i="33"/>
  <c r="BE27" i="33"/>
  <c r="BE18" i="33" s="1"/>
  <c r="BE9" i="33" s="1"/>
  <c r="BD27" i="33"/>
  <c r="BB27" i="33"/>
  <c r="BA27" i="33"/>
  <c r="AZ27" i="33"/>
  <c r="AZ18" i="33" s="1"/>
  <c r="AY27" i="33"/>
  <c r="AX27" i="33"/>
  <c r="AW27" i="33"/>
  <c r="AW18" i="33" s="1"/>
  <c r="AU27" i="33"/>
  <c r="AT27" i="33"/>
  <c r="AR27" i="33"/>
  <c r="AH27" i="33"/>
  <c r="AG27" i="33"/>
  <c r="AF27" i="33"/>
  <c r="AE27" i="33"/>
  <c r="AD27" i="33"/>
  <c r="AA27" i="33"/>
  <c r="Z27" i="33"/>
  <c r="R27" i="33"/>
  <c r="P27" i="33"/>
  <c r="O27" i="33"/>
  <c r="L27" i="33"/>
  <c r="H27" i="33"/>
  <c r="F27" i="33"/>
  <c r="BI26" i="33"/>
  <c r="BC26" i="33"/>
  <c r="AV26" i="33"/>
  <c r="T26" i="33"/>
  <c r="N26" i="33"/>
  <c r="G26" i="33"/>
  <c r="BI25" i="33"/>
  <c r="BC25" i="33"/>
  <c r="AV25" i="33"/>
  <c r="T25" i="33"/>
  <c r="N25" i="33"/>
  <c r="G25" i="33"/>
  <c r="BI24" i="33"/>
  <c r="BC24" i="33"/>
  <c r="AV24" i="33"/>
  <c r="T24" i="33"/>
  <c r="G24" i="33"/>
  <c r="BI23" i="33"/>
  <c r="BC23" i="33"/>
  <c r="AV23" i="33"/>
  <c r="N23" i="33"/>
  <c r="BI22" i="33"/>
  <c r="BC22" i="33"/>
  <c r="AV22" i="33"/>
  <c r="N22" i="33"/>
  <c r="G22" i="33"/>
  <c r="BI21" i="33"/>
  <c r="BC21" i="33"/>
  <c r="AV21" i="33"/>
  <c r="N21" i="33"/>
  <c r="BI20" i="33"/>
  <c r="BC20" i="33"/>
  <c r="AV20" i="33"/>
  <c r="N20" i="33"/>
  <c r="BX19" i="33"/>
  <c r="BX18" i="33" s="1"/>
  <c r="BW19" i="33"/>
  <c r="BV19" i="33"/>
  <c r="BU19" i="33"/>
  <c r="BQ19" i="33"/>
  <c r="BP19" i="33"/>
  <c r="BO19" i="33"/>
  <c r="BN19" i="33"/>
  <c r="BM19" i="33"/>
  <c r="BL19" i="33"/>
  <c r="BK19" i="33"/>
  <c r="BJ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U19" i="33"/>
  <c r="AT19" i="33"/>
  <c r="AS19" i="33"/>
  <c r="AS18" i="33" s="1"/>
  <c r="AS9" i="33" s="1"/>
  <c r="AR19" i="33"/>
  <c r="AI19" i="33"/>
  <c r="AI18" i="33" s="1"/>
  <c r="AH19" i="33"/>
  <c r="AH18" i="33" s="1"/>
  <c r="AH9" i="33" s="1"/>
  <c r="AG19" i="33"/>
  <c r="AF19" i="33"/>
  <c r="AE19" i="33"/>
  <c r="AD19" i="33"/>
  <c r="AA19" i="33"/>
  <c r="Z19" i="33"/>
  <c r="R19" i="33"/>
  <c r="Q19" i="33"/>
  <c r="P19" i="33"/>
  <c r="O19" i="33"/>
  <c r="L19" i="33"/>
  <c r="H19" i="33"/>
  <c r="F19" i="33"/>
  <c r="D19" i="33"/>
  <c r="D18" i="33" s="1"/>
  <c r="BP18" i="33"/>
  <c r="BP9" i="33" s="1"/>
  <c r="BA18" i="33"/>
  <c r="P18" i="33"/>
  <c r="BI17" i="33"/>
  <c r="BC17" i="33"/>
  <c r="AV17" i="33"/>
  <c r="T17" i="33"/>
  <c r="N17" i="33"/>
  <c r="G17" i="33"/>
  <c r="BI16" i="33"/>
  <c r="BC16" i="33"/>
  <c r="AV16" i="33"/>
  <c r="T16" i="33"/>
  <c r="G16" i="33"/>
  <c r="BI15" i="33"/>
  <c r="BC15" i="33"/>
  <c r="BC13" i="33" s="1"/>
  <c r="AV15" i="33"/>
  <c r="T15" i="33"/>
  <c r="G15" i="33"/>
  <c r="BI14" i="33"/>
  <c r="BC14" i="33"/>
  <c r="AV14" i="33"/>
  <c r="T14" i="33"/>
  <c r="T13" i="33" s="1"/>
  <c r="T11" i="33" s="1"/>
  <c r="G14" i="33"/>
  <c r="BX13" i="33"/>
  <c r="BW13" i="33"/>
  <c r="BV13" i="33"/>
  <c r="BV11" i="33" s="1"/>
  <c r="BU13" i="33"/>
  <c r="BT13" i="33"/>
  <c r="BS13" i="33"/>
  <c r="BQ13" i="33"/>
  <c r="BQ11" i="33" s="1"/>
  <c r="BQ9" i="33" s="1"/>
  <c r="BP13" i="33"/>
  <c r="BO13" i="33"/>
  <c r="BN13" i="33"/>
  <c r="BN11" i="33" s="1"/>
  <c r="BM13" i="33"/>
  <c r="BM11" i="33" s="1"/>
  <c r="BM9" i="33" s="1"/>
  <c r="BL13" i="33"/>
  <c r="BK13" i="33"/>
  <c r="BK11" i="33" s="1"/>
  <c r="BJ13" i="33"/>
  <c r="BJ11" i="33" s="1"/>
  <c r="BH13" i="33"/>
  <c r="BH11" i="33" s="1"/>
  <c r="BG13" i="33"/>
  <c r="BF13" i="33"/>
  <c r="BF11" i="33" s="1"/>
  <c r="BE13" i="33"/>
  <c r="BE11" i="33" s="1"/>
  <c r="BD13" i="33"/>
  <c r="BD11" i="33" s="1"/>
  <c r="BB13" i="33"/>
  <c r="BB11" i="33" s="1"/>
  <c r="BA13" i="33"/>
  <c r="AZ13" i="33"/>
  <c r="AZ11" i="33" s="1"/>
  <c r="AY13" i="33"/>
  <c r="AY11" i="33" s="1"/>
  <c r="AX13" i="33"/>
  <c r="AX11" i="33" s="1"/>
  <c r="AW13" i="33"/>
  <c r="AV13" i="33"/>
  <c r="AU13" i="33"/>
  <c r="AU11" i="33" s="1"/>
  <c r="AT13" i="33"/>
  <c r="AT11" i="33" s="1"/>
  <c r="AS13" i="33"/>
  <c r="AR13" i="33"/>
  <c r="AI13" i="33"/>
  <c r="AH13" i="33"/>
  <c r="AG13" i="33"/>
  <c r="AF13" i="33"/>
  <c r="AF11" i="33" s="1"/>
  <c r="AE13" i="33"/>
  <c r="AE11" i="33" s="1"/>
  <c r="AD13" i="33"/>
  <c r="AC13" i="33"/>
  <c r="AB13" i="33"/>
  <c r="AB11" i="33" s="1"/>
  <c r="AA13" i="33"/>
  <c r="AA11" i="33" s="1"/>
  <c r="Z13" i="33"/>
  <c r="Y13" i="33"/>
  <c r="X13" i="33"/>
  <c r="X11" i="33" s="1"/>
  <c r="W13" i="33"/>
  <c r="W11" i="33" s="1"/>
  <c r="V13" i="33"/>
  <c r="U13" i="33"/>
  <c r="S13" i="33"/>
  <c r="R13" i="33"/>
  <c r="Q13" i="33"/>
  <c r="P13" i="33"/>
  <c r="M13" i="33"/>
  <c r="M11" i="33" s="1"/>
  <c r="L13" i="33"/>
  <c r="L11" i="33" s="1"/>
  <c r="K13" i="33"/>
  <c r="J13" i="33"/>
  <c r="I13" i="33"/>
  <c r="I11" i="33" s="1"/>
  <c r="H13" i="33"/>
  <c r="H11" i="33" s="1"/>
  <c r="F13" i="33"/>
  <c r="E13" i="33"/>
  <c r="D13" i="33"/>
  <c r="D11" i="33" s="1"/>
  <c r="C13" i="33"/>
  <c r="BI12" i="33"/>
  <c r="BC12" i="33"/>
  <c r="AV12" i="33"/>
  <c r="AV11" i="33" s="1"/>
  <c r="T12" i="33"/>
  <c r="G12" i="33"/>
  <c r="BX11" i="33"/>
  <c r="BX9" i="33" s="1"/>
  <c r="BW11" i="33"/>
  <c r="BU11" i="33"/>
  <c r="BT11" i="33"/>
  <c r="BS11" i="33"/>
  <c r="BP11" i="33"/>
  <c r="BO11" i="33"/>
  <c r="BL11" i="33"/>
  <c r="BG11" i="33"/>
  <c r="BA11" i="33"/>
  <c r="AW11" i="33"/>
  <c r="AS11" i="33"/>
  <c r="AH11" i="33"/>
  <c r="AG11" i="33"/>
  <c r="AD11" i="33"/>
  <c r="AC11" i="33"/>
  <c r="Z11" i="33"/>
  <c r="Y11" i="33"/>
  <c r="V11" i="33"/>
  <c r="U11" i="33"/>
  <c r="S11" i="33"/>
  <c r="R11" i="33"/>
  <c r="K11" i="33"/>
  <c r="J11" i="33"/>
  <c r="F11" i="33"/>
  <c r="E11" i="33"/>
  <c r="C11" i="33"/>
  <c r="BI10" i="33"/>
  <c r="BC10" i="33"/>
  <c r="T10" i="33"/>
  <c r="N10" i="33"/>
  <c r="G10" i="33"/>
  <c r="BI8" i="33"/>
  <c r="AV8" i="33"/>
  <c r="AJ8" i="33"/>
  <c r="AP8" i="33" s="1"/>
  <c r="BC7" i="33"/>
  <c r="AV7" i="33"/>
  <c r="AO6" i="33"/>
  <c r="BC5" i="33"/>
  <c r="BB5" i="33"/>
  <c r="BA5" i="33"/>
  <c r="AZ5" i="33"/>
  <c r="AY5" i="33"/>
  <c r="AV5" i="33" s="1"/>
  <c r="AX5" i="33"/>
  <c r="AW5" i="33"/>
  <c r="AJ5" i="33"/>
  <c r="AP5" i="33" s="1"/>
  <c r="BI4" i="33"/>
  <c r="BC4" i="33"/>
  <c r="AV4" i="33"/>
  <c r="AQ4" i="33"/>
  <c r="BY4" i="33" s="1"/>
  <c r="B12" i="5"/>
  <c r="B11" i="5"/>
  <c r="B10" i="5"/>
  <c r="B9" i="5"/>
  <c r="B8" i="5"/>
  <c r="B7" i="5"/>
  <c r="B6" i="5"/>
  <c r="B5" i="5"/>
  <c r="B4" i="5"/>
  <c r="B3" i="5"/>
  <c r="C12" i="5"/>
  <c r="C11" i="5"/>
  <c r="C10" i="5"/>
  <c r="C9" i="5"/>
  <c r="C8" i="5"/>
  <c r="C7" i="5"/>
  <c r="C6" i="5"/>
  <c r="C5" i="5"/>
  <c r="C4" i="5"/>
  <c r="C3" i="5"/>
  <c r="D12" i="5"/>
  <c r="D11" i="5"/>
  <c r="D10" i="5"/>
  <c r="D9" i="5"/>
  <c r="D8" i="5"/>
  <c r="D7" i="5"/>
  <c r="D6" i="5"/>
  <c r="D5" i="5"/>
  <c r="D4" i="5"/>
  <c r="D3" i="5"/>
  <c r="I3" i="5"/>
  <c r="I4" i="5"/>
  <c r="I5" i="5"/>
  <c r="I6" i="5"/>
  <c r="I7" i="5"/>
  <c r="I8" i="5"/>
  <c r="I9" i="5"/>
  <c r="I10" i="5"/>
  <c r="I11" i="5"/>
  <c r="I12" i="5"/>
  <c r="E12" i="5"/>
  <c r="E11" i="5"/>
  <c r="E10" i="5"/>
  <c r="E9" i="5"/>
  <c r="E8" i="5"/>
  <c r="E7" i="5"/>
  <c r="E6" i="5"/>
  <c r="E5" i="5"/>
  <c r="E4" i="5"/>
  <c r="E3" i="5"/>
  <c r="F12" i="5"/>
  <c r="F11" i="5"/>
  <c r="F10" i="5"/>
  <c r="F9" i="5"/>
  <c r="F8" i="5"/>
  <c r="F7" i="5"/>
  <c r="F6" i="5"/>
  <c r="F5" i="5"/>
  <c r="F4" i="5"/>
  <c r="F3" i="5"/>
  <c r="G12" i="5"/>
  <c r="G11" i="5"/>
  <c r="G10" i="5"/>
  <c r="G9" i="5"/>
  <c r="G8" i="5"/>
  <c r="G7" i="5"/>
  <c r="G6" i="5"/>
  <c r="G5" i="5"/>
  <c r="G4" i="5"/>
  <c r="G3" i="5"/>
  <c r="H12" i="5"/>
  <c r="H11" i="5"/>
  <c r="H10" i="5"/>
  <c r="H9" i="5"/>
  <c r="H8" i="5"/>
  <c r="H7" i="5"/>
  <c r="H6" i="5"/>
  <c r="H5" i="5"/>
  <c r="H4" i="5"/>
  <c r="H3" i="5"/>
  <c r="J12" i="5"/>
  <c r="J11" i="5"/>
  <c r="J10" i="5"/>
  <c r="J9" i="5"/>
  <c r="J8" i="5"/>
  <c r="J7" i="5"/>
  <c r="J5" i="5"/>
  <c r="J4" i="5"/>
  <c r="J3" i="5"/>
  <c r="BZ12" i="33" s="1"/>
  <c r="K12" i="5"/>
  <c r="K11" i="5"/>
  <c r="K10" i="5"/>
  <c r="K9" i="5"/>
  <c r="K8" i="5"/>
  <c r="K7" i="5"/>
  <c r="K5" i="5"/>
  <c r="K4" i="5"/>
  <c r="BZ16" i="51" s="1"/>
  <c r="K3" i="5"/>
  <c r="BT57" i="51"/>
  <c r="BT41" i="51"/>
  <c r="BT37" i="51"/>
  <c r="BT27" i="51"/>
  <c r="BT19" i="51"/>
  <c r="AB71" i="51"/>
  <c r="AT6" i="51"/>
  <c r="AO6" i="51" s="1"/>
  <c r="BZ117" i="51"/>
  <c r="BZ112" i="51"/>
  <c r="BZ101" i="51"/>
  <c r="BZ90" i="51"/>
  <c r="BZ89" i="51" s="1"/>
  <c r="BI88" i="51"/>
  <c r="BC88" i="51"/>
  <c r="AV88" i="51"/>
  <c r="AV84" i="51" s="1"/>
  <c r="BI87" i="51"/>
  <c r="BC87" i="51"/>
  <c r="AV87" i="51"/>
  <c r="BI86" i="51"/>
  <c r="BC86" i="51"/>
  <c r="AV86" i="51"/>
  <c r="BI85" i="51"/>
  <c r="BC85" i="51"/>
  <c r="AV85" i="51"/>
  <c r="BX84" i="51"/>
  <c r="BV84" i="51"/>
  <c r="BU84" i="51"/>
  <c r="BS84" i="51"/>
  <c r="BR84" i="51"/>
  <c r="BQ84" i="51"/>
  <c r="BP84" i="51"/>
  <c r="BP68" i="51" s="1"/>
  <c r="BO84" i="51"/>
  <c r="BN84" i="51"/>
  <c r="BM84" i="51"/>
  <c r="BL84" i="51"/>
  <c r="BL68" i="51" s="1"/>
  <c r="BK84" i="51"/>
  <c r="BJ84" i="51"/>
  <c r="BH84" i="51"/>
  <c r="BG84" i="51"/>
  <c r="BG68" i="51" s="1"/>
  <c r="BF84" i="51"/>
  <c r="BE84" i="51"/>
  <c r="BD84" i="51"/>
  <c r="BC84" i="51"/>
  <c r="BB84" i="51"/>
  <c r="BA84" i="51"/>
  <c r="AZ84" i="51"/>
  <c r="AY84" i="51"/>
  <c r="AX84" i="51"/>
  <c r="AW84" i="51"/>
  <c r="AU84" i="51"/>
  <c r="AT84" i="51"/>
  <c r="AS84" i="51"/>
  <c r="AR84" i="51"/>
  <c r="AR68" i="51" s="1"/>
  <c r="AI84" i="51"/>
  <c r="AG84" i="51"/>
  <c r="AF84" i="51"/>
  <c r="AE84" i="51"/>
  <c r="AA84" i="51"/>
  <c r="Z84" i="51"/>
  <c r="R84" i="51"/>
  <c r="P84" i="51"/>
  <c r="O84" i="51"/>
  <c r="L84" i="51"/>
  <c r="D84" i="51"/>
  <c r="C84" i="51"/>
  <c r="C68" i="51" s="1"/>
  <c r="BI83" i="51"/>
  <c r="BC83" i="51"/>
  <c r="AV83" i="51"/>
  <c r="BI82" i="51"/>
  <c r="BC82" i="51"/>
  <c r="AV82" i="51"/>
  <c r="BI81" i="51"/>
  <c r="BC81" i="51"/>
  <c r="AV81" i="51"/>
  <c r="BI80" i="51"/>
  <c r="BC80" i="51"/>
  <c r="AV80" i="51"/>
  <c r="AH80" i="51"/>
  <c r="AG80" i="51"/>
  <c r="AF80" i="51"/>
  <c r="AE80" i="51"/>
  <c r="AB80" i="51"/>
  <c r="AA80" i="51"/>
  <c r="Z80" i="51"/>
  <c r="V80" i="51"/>
  <c r="U80" i="51"/>
  <c r="R80" i="51"/>
  <c r="P80" i="51"/>
  <c r="O80" i="51"/>
  <c r="M80" i="51"/>
  <c r="L80" i="51"/>
  <c r="K80" i="51"/>
  <c r="I80" i="51"/>
  <c r="F80" i="51"/>
  <c r="C80" i="51"/>
  <c r="BI79" i="51"/>
  <c r="BC79" i="51"/>
  <c r="AV79" i="51"/>
  <c r="BI78" i="51"/>
  <c r="BC78" i="51"/>
  <c r="AV78" i="51"/>
  <c r="N78" i="51"/>
  <c r="BI77" i="51"/>
  <c r="BC77" i="51"/>
  <c r="AV77" i="51"/>
  <c r="N77" i="51"/>
  <c r="BI76" i="51"/>
  <c r="BC76" i="51"/>
  <c r="AV76" i="51"/>
  <c r="N76" i="51"/>
  <c r="BI75" i="51"/>
  <c r="BC75" i="51"/>
  <c r="AV75" i="51"/>
  <c r="N75" i="51"/>
  <c r="BI74" i="51"/>
  <c r="BC74" i="51"/>
  <c r="AV74" i="51"/>
  <c r="N74" i="51"/>
  <c r="BI73" i="51"/>
  <c r="BC73" i="51"/>
  <c r="AV73" i="51"/>
  <c r="N73" i="51"/>
  <c r="BI72" i="51"/>
  <c r="BC72" i="51"/>
  <c r="AV72" i="51"/>
  <c r="T72" i="51"/>
  <c r="N72" i="51"/>
  <c r="BI71" i="51"/>
  <c r="BI70" i="51" s="1"/>
  <c r="BC71" i="51"/>
  <c r="AV71" i="51"/>
  <c r="N71" i="51"/>
  <c r="BX70" i="51"/>
  <c r="BV70" i="51"/>
  <c r="BV68" i="51" s="1"/>
  <c r="BU70" i="51"/>
  <c r="BT70" i="51"/>
  <c r="BS70" i="51"/>
  <c r="BS68" i="51" s="1"/>
  <c r="BR70" i="51"/>
  <c r="BR68" i="51" s="1"/>
  <c r="BQ70" i="51"/>
  <c r="BQ68" i="51" s="1"/>
  <c r="BP70" i="51"/>
  <c r="BO70" i="51"/>
  <c r="BN70" i="51"/>
  <c r="BN68" i="51" s="1"/>
  <c r="BM70" i="51"/>
  <c r="BL70" i="51"/>
  <c r="BK70" i="51"/>
  <c r="BK68" i="51" s="1"/>
  <c r="BJ70" i="51"/>
  <c r="BJ68" i="51" s="1"/>
  <c r="BH70" i="51"/>
  <c r="BH68" i="51" s="1"/>
  <c r="BG70" i="51"/>
  <c r="BF70" i="51"/>
  <c r="BF68" i="51" s="1"/>
  <c r="BE70" i="51"/>
  <c r="BE68" i="51" s="1"/>
  <c r="BD70" i="51"/>
  <c r="BB70" i="51"/>
  <c r="BB68" i="51" s="1"/>
  <c r="BA70" i="51"/>
  <c r="AZ70" i="51"/>
  <c r="AY70" i="51"/>
  <c r="AX70" i="51"/>
  <c r="AX68" i="51" s="1"/>
  <c r="AW70" i="51"/>
  <c r="AU70" i="51"/>
  <c r="AT70" i="51"/>
  <c r="AT68" i="51" s="1"/>
  <c r="AS70" i="51"/>
  <c r="AR70" i="51"/>
  <c r="AI70" i="51"/>
  <c r="AH70" i="51"/>
  <c r="AG70" i="51"/>
  <c r="AF70" i="51"/>
  <c r="AD70" i="51"/>
  <c r="AA70" i="51"/>
  <c r="AA68" i="51" s="1"/>
  <c r="Z70" i="51"/>
  <c r="Y70" i="51"/>
  <c r="X70" i="51"/>
  <c r="W70" i="51"/>
  <c r="S70" i="51"/>
  <c r="R70" i="51"/>
  <c r="R68" i="51" s="1"/>
  <c r="BG67" i="51" s="1"/>
  <c r="Q70" i="51"/>
  <c r="P70" i="51"/>
  <c r="P68" i="51" s="1"/>
  <c r="BE67" i="51" s="1"/>
  <c r="O70" i="51"/>
  <c r="J70" i="51"/>
  <c r="F70" i="51"/>
  <c r="D70" i="51"/>
  <c r="D68" i="51" s="1"/>
  <c r="C70" i="51"/>
  <c r="BI69" i="51"/>
  <c r="BC69" i="51"/>
  <c r="AV69" i="51"/>
  <c r="AO69" i="51" s="1"/>
  <c r="T69" i="51"/>
  <c r="N69" i="51"/>
  <c r="BX68" i="51"/>
  <c r="BT68" i="51"/>
  <c r="BO68" i="51"/>
  <c r="BM68" i="51"/>
  <c r="BA68" i="51"/>
  <c r="AW68" i="51"/>
  <c r="AS68" i="51"/>
  <c r="AG68" i="51"/>
  <c r="AF68" i="51"/>
  <c r="BI67" i="51"/>
  <c r="AV67" i="51"/>
  <c r="AJ67" i="51"/>
  <c r="AP67" i="51" s="1"/>
  <c r="BI66" i="51"/>
  <c r="BC66" i="51"/>
  <c r="T66" i="51"/>
  <c r="N66" i="51"/>
  <c r="BI64" i="51"/>
  <c r="BC64" i="51"/>
  <c r="AV64" i="51"/>
  <c r="BI63" i="51"/>
  <c r="BC63" i="51"/>
  <c r="AV63" i="51"/>
  <c r="T63" i="51"/>
  <c r="N63" i="51"/>
  <c r="G63" i="51"/>
  <c r="AJ63" i="51" s="1"/>
  <c r="AP63" i="51" s="1"/>
  <c r="BI62" i="51"/>
  <c r="BC62" i="51"/>
  <c r="AV62" i="51"/>
  <c r="T62" i="51"/>
  <c r="G62" i="51"/>
  <c r="BI61" i="51"/>
  <c r="BC61" i="51"/>
  <c r="AV61" i="51"/>
  <c r="T61" i="51"/>
  <c r="G61" i="51"/>
  <c r="BI60" i="51"/>
  <c r="BC60" i="51"/>
  <c r="AV60" i="51"/>
  <c r="T60" i="51"/>
  <c r="N60" i="51"/>
  <c r="G60" i="51"/>
  <c r="BI59" i="51"/>
  <c r="BC59" i="51"/>
  <c r="AV59" i="51"/>
  <c r="T59" i="51"/>
  <c r="G59" i="51"/>
  <c r="BI58" i="51"/>
  <c r="BC58" i="51"/>
  <c r="AV58" i="51"/>
  <c r="N58" i="51"/>
  <c r="BX57" i="51"/>
  <c r="BW57" i="51"/>
  <c r="BV57" i="51"/>
  <c r="BU57" i="51"/>
  <c r="BQ57" i="51"/>
  <c r="BP57" i="51"/>
  <c r="BO57" i="51"/>
  <c r="BN57" i="51"/>
  <c r="BM57" i="51"/>
  <c r="BL57" i="51"/>
  <c r="BK57" i="51"/>
  <c r="BJ57" i="51"/>
  <c r="BH57" i="51"/>
  <c r="BG57" i="51"/>
  <c r="BF57" i="51"/>
  <c r="BE57" i="51"/>
  <c r="BD57" i="51"/>
  <c r="BB57" i="51"/>
  <c r="BA57" i="51"/>
  <c r="AZ57" i="51"/>
  <c r="AY57" i="51"/>
  <c r="AX57" i="51"/>
  <c r="AW57" i="51"/>
  <c r="AU57" i="51"/>
  <c r="AT57" i="51"/>
  <c r="AS57" i="51"/>
  <c r="AR57" i="51"/>
  <c r="AH57" i="51"/>
  <c r="AG57" i="51"/>
  <c r="AF57" i="51"/>
  <c r="AE57" i="51"/>
  <c r="AD57" i="51"/>
  <c r="P57" i="51"/>
  <c r="O57" i="51"/>
  <c r="L57" i="51"/>
  <c r="D57" i="51"/>
  <c r="AO56" i="51"/>
  <c r="BI55" i="51"/>
  <c r="BC55" i="51"/>
  <c r="AV55" i="51"/>
  <c r="T55" i="51"/>
  <c r="N55" i="51"/>
  <c r="G55" i="51"/>
  <c r="BI54" i="51"/>
  <c r="BC54" i="51"/>
  <c r="AV54" i="51"/>
  <c r="T54" i="51"/>
  <c r="N54" i="51"/>
  <c r="G54" i="51"/>
  <c r="BI53" i="51"/>
  <c r="BC53" i="51"/>
  <c r="AV53" i="51"/>
  <c r="T53" i="51"/>
  <c r="N53" i="51"/>
  <c r="G53" i="51"/>
  <c r="BI52" i="51"/>
  <c r="BC52" i="51"/>
  <c r="AV52" i="51"/>
  <c r="T52" i="51"/>
  <c r="N52" i="51"/>
  <c r="G52" i="51"/>
  <c r="BI51" i="51"/>
  <c r="BC51" i="51"/>
  <c r="AV51" i="51"/>
  <c r="N51" i="51"/>
  <c r="BI50" i="51"/>
  <c r="BC50" i="51"/>
  <c r="AV50" i="51"/>
  <c r="N50" i="51"/>
  <c r="BI49" i="51"/>
  <c r="BC49" i="51"/>
  <c r="AV49" i="51"/>
  <c r="N49" i="51"/>
  <c r="G49" i="51"/>
  <c r="BI48" i="51"/>
  <c r="BC48" i="51"/>
  <c r="AV48" i="51"/>
  <c r="N48" i="51"/>
  <c r="BI47" i="51"/>
  <c r="BC47" i="51"/>
  <c r="AV47" i="51"/>
  <c r="N47" i="51"/>
  <c r="BV46" i="51"/>
  <c r="BU46" i="51"/>
  <c r="BT46" i="51"/>
  <c r="BQ46" i="51"/>
  <c r="BP46" i="51"/>
  <c r="BO46" i="51"/>
  <c r="BN46" i="51"/>
  <c r="BM46" i="51"/>
  <c r="BL46" i="51"/>
  <c r="BK46" i="51"/>
  <c r="BI46" i="51" s="1"/>
  <c r="BJ46" i="51"/>
  <c r="BH46" i="51"/>
  <c r="BG46" i="51"/>
  <c r="BF46" i="51"/>
  <c r="BE46" i="51"/>
  <c r="BD46" i="51"/>
  <c r="BB46" i="51"/>
  <c r="BA46" i="51"/>
  <c r="AZ46" i="51"/>
  <c r="AY46" i="51"/>
  <c r="AX46" i="51"/>
  <c r="AW46" i="51"/>
  <c r="AU46" i="51"/>
  <c r="AT46" i="51"/>
  <c r="AR46" i="51"/>
  <c r="AH46" i="51"/>
  <c r="AG46" i="51"/>
  <c r="AE46" i="51"/>
  <c r="AA46" i="51"/>
  <c r="Z46" i="51"/>
  <c r="S46" i="51"/>
  <c r="R46" i="51"/>
  <c r="Q46" i="51"/>
  <c r="P46" i="51"/>
  <c r="O46" i="51"/>
  <c r="L46" i="51"/>
  <c r="H46" i="51"/>
  <c r="F46" i="51"/>
  <c r="BI45" i="51"/>
  <c r="BC45" i="51"/>
  <c r="AV45" i="51"/>
  <c r="AO45" i="51" s="1"/>
  <c r="T45" i="51"/>
  <c r="N45" i="51"/>
  <c r="G45" i="51"/>
  <c r="BI44" i="51"/>
  <c r="BC44" i="51"/>
  <c r="AV44" i="51"/>
  <c r="N44" i="51"/>
  <c r="G44" i="51"/>
  <c r="BI43" i="51"/>
  <c r="BC43" i="51"/>
  <c r="AV43" i="51"/>
  <c r="N43" i="51"/>
  <c r="G43" i="51"/>
  <c r="BI42" i="51"/>
  <c r="BC42" i="51"/>
  <c r="AV42" i="51"/>
  <c r="N42" i="51"/>
  <c r="G42" i="51"/>
  <c r="BW41" i="51"/>
  <c r="BV41" i="51"/>
  <c r="BU41" i="51"/>
  <c r="BQ41" i="51"/>
  <c r="BP41" i="51"/>
  <c r="BP18" i="51" s="1"/>
  <c r="BO41" i="51"/>
  <c r="BN41" i="51"/>
  <c r="BM41" i="51"/>
  <c r="BL41" i="51"/>
  <c r="BL18" i="51" s="1"/>
  <c r="BK41" i="51"/>
  <c r="BJ41" i="51"/>
  <c r="BH41" i="51"/>
  <c r="BG41" i="51"/>
  <c r="BF41" i="51"/>
  <c r="BE41" i="51"/>
  <c r="BD41" i="51"/>
  <c r="BC41" i="51"/>
  <c r="BB41" i="51"/>
  <c r="BA41" i="51"/>
  <c r="AZ41" i="51"/>
  <c r="AY41" i="51"/>
  <c r="AY18" i="51" s="1"/>
  <c r="AX41" i="51"/>
  <c r="AW41" i="51"/>
  <c r="AU41" i="51"/>
  <c r="AT41" i="51"/>
  <c r="AR41" i="51"/>
  <c r="AH41" i="51"/>
  <c r="AG41" i="51"/>
  <c r="AF41" i="51"/>
  <c r="AE41" i="51"/>
  <c r="AD41" i="51"/>
  <c r="AC41" i="51"/>
  <c r="AB41" i="51"/>
  <c r="Y41" i="51"/>
  <c r="X41" i="51"/>
  <c r="W41" i="51"/>
  <c r="V41" i="51"/>
  <c r="U41" i="51"/>
  <c r="S41" i="51"/>
  <c r="R41" i="51"/>
  <c r="Q41" i="51"/>
  <c r="P41" i="51"/>
  <c r="O41" i="51"/>
  <c r="M41" i="51"/>
  <c r="L41" i="51"/>
  <c r="K41" i="51"/>
  <c r="J41" i="51"/>
  <c r="I41" i="51"/>
  <c r="H41" i="51"/>
  <c r="E41" i="51"/>
  <c r="C41" i="51"/>
  <c r="BI40" i="51"/>
  <c r="BC40" i="51"/>
  <c r="AV40" i="51"/>
  <c r="T40" i="51"/>
  <c r="N40" i="51"/>
  <c r="AJ40" i="51" s="1"/>
  <c r="G40" i="51"/>
  <c r="BI39" i="51"/>
  <c r="BC39" i="51"/>
  <c r="AV39" i="51"/>
  <c r="N39" i="51"/>
  <c r="BI38" i="51"/>
  <c r="BC38" i="51"/>
  <c r="AV38" i="51"/>
  <c r="N38" i="51"/>
  <c r="BW37" i="51"/>
  <c r="BV37" i="51"/>
  <c r="BU37" i="51"/>
  <c r="BU18" i="51" s="1"/>
  <c r="BQ37" i="51"/>
  <c r="BP37" i="51"/>
  <c r="BO37" i="51"/>
  <c r="BN37" i="51"/>
  <c r="BM37" i="51"/>
  <c r="BL37" i="51"/>
  <c r="BK37" i="51"/>
  <c r="BJ37" i="51"/>
  <c r="BH37" i="51"/>
  <c r="BG37" i="51"/>
  <c r="BF37" i="51"/>
  <c r="BE37" i="51"/>
  <c r="BD37" i="51"/>
  <c r="BB37" i="51"/>
  <c r="BA37" i="51"/>
  <c r="AZ37" i="51"/>
  <c r="AZ18" i="51" s="1"/>
  <c r="AY37" i="51"/>
  <c r="AX37" i="51"/>
  <c r="AW37" i="51"/>
  <c r="AU37" i="51"/>
  <c r="AU18" i="51" s="1"/>
  <c r="AU9" i="51" s="1"/>
  <c r="AT37" i="51"/>
  <c r="AR37" i="51"/>
  <c r="AH37" i="51"/>
  <c r="AG37" i="51"/>
  <c r="AG18" i="51" s="1"/>
  <c r="AF37" i="51"/>
  <c r="AE37" i="51"/>
  <c r="AD37" i="51"/>
  <c r="AC37" i="51"/>
  <c r="AA37" i="51"/>
  <c r="Z37" i="51"/>
  <c r="S37" i="51"/>
  <c r="R37" i="51"/>
  <c r="Q37" i="51"/>
  <c r="P37" i="51"/>
  <c r="O37" i="51"/>
  <c r="L37" i="51"/>
  <c r="H37" i="51"/>
  <c r="F37" i="51"/>
  <c r="BI36" i="51"/>
  <c r="BC36" i="51"/>
  <c r="AV36" i="51"/>
  <c r="T36" i="51"/>
  <c r="N36" i="51"/>
  <c r="AJ36" i="51" s="1"/>
  <c r="G36" i="51"/>
  <c r="BI35" i="51"/>
  <c r="BC35" i="51"/>
  <c r="AV35" i="51"/>
  <c r="N35" i="51"/>
  <c r="BI34" i="51"/>
  <c r="BC34" i="51"/>
  <c r="AV34" i="51"/>
  <c r="T34" i="51"/>
  <c r="G34" i="51"/>
  <c r="BI33" i="51"/>
  <c r="BC33" i="51"/>
  <c r="AV33" i="51"/>
  <c r="T33" i="51"/>
  <c r="N33" i="51"/>
  <c r="G33" i="51"/>
  <c r="BI32" i="51"/>
  <c r="BC32" i="51"/>
  <c r="AV32" i="51"/>
  <c r="T32" i="51"/>
  <c r="G32" i="51"/>
  <c r="BI31" i="51"/>
  <c r="BC31" i="51"/>
  <c r="AV31" i="51"/>
  <c r="N31" i="51"/>
  <c r="BI30" i="51"/>
  <c r="BC30" i="51"/>
  <c r="AV30" i="51"/>
  <c r="N30" i="51"/>
  <c r="G30" i="51"/>
  <c r="BI29" i="51"/>
  <c r="BC29" i="51"/>
  <c r="AV29" i="51"/>
  <c r="N29" i="51"/>
  <c r="BI28" i="51"/>
  <c r="BC28" i="51"/>
  <c r="AV28" i="51"/>
  <c r="N28" i="51"/>
  <c r="BW27" i="51"/>
  <c r="BV27" i="51"/>
  <c r="BV18" i="51" s="1"/>
  <c r="BU27" i="51"/>
  <c r="BQ27" i="51"/>
  <c r="BP27" i="51"/>
  <c r="BO27" i="51"/>
  <c r="BN27" i="51"/>
  <c r="BM27" i="51"/>
  <c r="BL27" i="51"/>
  <c r="BK27" i="51"/>
  <c r="BJ27" i="51"/>
  <c r="BH27" i="51"/>
  <c r="BG27" i="51"/>
  <c r="BF27" i="51"/>
  <c r="BC27" i="51" s="1"/>
  <c r="BE27" i="51"/>
  <c r="BD27" i="51"/>
  <c r="BD18" i="51" s="1"/>
  <c r="BB27" i="51"/>
  <c r="BA27" i="51"/>
  <c r="AZ27" i="51"/>
  <c r="AY27" i="51"/>
  <c r="AX27" i="51"/>
  <c r="AW27" i="51"/>
  <c r="AU27" i="51"/>
  <c r="AT27" i="51"/>
  <c r="AR27" i="51"/>
  <c r="AR18" i="51" s="1"/>
  <c r="AR9" i="51" s="1"/>
  <c r="AH27" i="51"/>
  <c r="AG27" i="51"/>
  <c r="AF27" i="51"/>
  <c r="AE27" i="51"/>
  <c r="AD27" i="51"/>
  <c r="AA27" i="51"/>
  <c r="Z27" i="51"/>
  <c r="R27" i="51"/>
  <c r="P27" i="51"/>
  <c r="O27" i="51"/>
  <c r="L27" i="51"/>
  <c r="H27" i="51"/>
  <c r="F27" i="51"/>
  <c r="BI26" i="51"/>
  <c r="BC26" i="51"/>
  <c r="AV26" i="51"/>
  <c r="AO26" i="51" s="1"/>
  <c r="T26" i="51"/>
  <c r="N26" i="51"/>
  <c r="G26" i="51"/>
  <c r="BI25" i="51"/>
  <c r="BC25" i="51"/>
  <c r="AV25" i="51"/>
  <c r="T25" i="51"/>
  <c r="N25" i="51"/>
  <c r="G25" i="51"/>
  <c r="BI24" i="51"/>
  <c r="BC24" i="51"/>
  <c r="BC19" i="51" s="1"/>
  <c r="AV24" i="51"/>
  <c r="T24" i="51"/>
  <c r="G24" i="51"/>
  <c r="BI23" i="51"/>
  <c r="BC23" i="51"/>
  <c r="AV23" i="51"/>
  <c r="N23" i="51"/>
  <c r="BI22" i="51"/>
  <c r="BC22" i="51"/>
  <c r="AV22" i="51"/>
  <c r="N22" i="51"/>
  <c r="G22" i="51"/>
  <c r="BI21" i="51"/>
  <c r="BC21" i="51"/>
  <c r="AV21" i="51"/>
  <c r="N21" i="51"/>
  <c r="BI20" i="51"/>
  <c r="BC20" i="51"/>
  <c r="AV20" i="51"/>
  <c r="AV19" i="51" s="1"/>
  <c r="N20" i="51"/>
  <c r="BX19" i="51"/>
  <c r="BW19" i="51"/>
  <c r="BV19" i="51"/>
  <c r="BU19" i="51"/>
  <c r="BQ19" i="51"/>
  <c r="BP19" i="51"/>
  <c r="BO19" i="51"/>
  <c r="BN19" i="51"/>
  <c r="BM19" i="51"/>
  <c r="BL19" i="51"/>
  <c r="BK19" i="51"/>
  <c r="BK18" i="51" s="1"/>
  <c r="BJ19" i="51"/>
  <c r="BH19" i="51"/>
  <c r="BG19" i="51"/>
  <c r="BF19" i="51"/>
  <c r="BE19" i="51"/>
  <c r="BD19" i="51"/>
  <c r="BB19" i="51"/>
  <c r="BA19" i="51"/>
  <c r="AZ19" i="51"/>
  <c r="AY19" i="51"/>
  <c r="AX19" i="51"/>
  <c r="AW19" i="51"/>
  <c r="AU19" i="51"/>
  <c r="AT19" i="51"/>
  <c r="AS19" i="51"/>
  <c r="AR19" i="51"/>
  <c r="AI19" i="51"/>
  <c r="AI18" i="51" s="1"/>
  <c r="AH19" i="51"/>
  <c r="AH18" i="51" s="1"/>
  <c r="AG19" i="51"/>
  <c r="AF19" i="51"/>
  <c r="AE19" i="51"/>
  <c r="AD19" i="51"/>
  <c r="AA19" i="51"/>
  <c r="Z19" i="51"/>
  <c r="R19" i="51"/>
  <c r="Q19" i="51"/>
  <c r="P19" i="51"/>
  <c r="P18" i="51" s="1"/>
  <c r="O19" i="51"/>
  <c r="L19" i="51"/>
  <c r="H19" i="51"/>
  <c r="F19" i="51"/>
  <c r="D19" i="51"/>
  <c r="D18" i="51" s="1"/>
  <c r="BX18" i="51"/>
  <c r="BH18" i="51"/>
  <c r="AS18" i="51"/>
  <c r="BI17" i="51"/>
  <c r="BC17" i="51"/>
  <c r="AV17" i="51"/>
  <c r="T17" i="51"/>
  <c r="N17" i="51"/>
  <c r="G17" i="51"/>
  <c r="BI16" i="51"/>
  <c r="BC16" i="51"/>
  <c r="AV16" i="51"/>
  <c r="T16" i="51"/>
  <c r="G16" i="51"/>
  <c r="BI15" i="51"/>
  <c r="BC15" i="51"/>
  <c r="BC13" i="51" s="1"/>
  <c r="AV15" i="51"/>
  <c r="T15" i="51"/>
  <c r="G15" i="51"/>
  <c r="BI14" i="51"/>
  <c r="BI13" i="51" s="1"/>
  <c r="BC14" i="51"/>
  <c r="AV14" i="51"/>
  <c r="T14" i="51"/>
  <c r="T13" i="51" s="1"/>
  <c r="G14" i="51"/>
  <c r="G13" i="51" s="1"/>
  <c r="BX13" i="51"/>
  <c r="BW13" i="51"/>
  <c r="BV13" i="51"/>
  <c r="BV11" i="51" s="1"/>
  <c r="BV9" i="51" s="1"/>
  <c r="BU13" i="51"/>
  <c r="BU11" i="51" s="1"/>
  <c r="BT13" i="51"/>
  <c r="BS13" i="51"/>
  <c r="BQ13" i="51"/>
  <c r="BQ11" i="51" s="1"/>
  <c r="BP13" i="51"/>
  <c r="BO13" i="51"/>
  <c r="BN13" i="51"/>
  <c r="BM13" i="51"/>
  <c r="BM11" i="51" s="1"/>
  <c r="BL13" i="51"/>
  <c r="BL11" i="51" s="1"/>
  <c r="BK13" i="51"/>
  <c r="BJ13" i="51"/>
  <c r="BJ11" i="51" s="1"/>
  <c r="BH13" i="51"/>
  <c r="BH11" i="51" s="1"/>
  <c r="BH9" i="51" s="1"/>
  <c r="BG13" i="51"/>
  <c r="BF13" i="51"/>
  <c r="BE13" i="51"/>
  <c r="BE11" i="51" s="1"/>
  <c r="BD13" i="51"/>
  <c r="BD11" i="51" s="1"/>
  <c r="BB13" i="51"/>
  <c r="BA13" i="51"/>
  <c r="BA11" i="51" s="1"/>
  <c r="AZ13" i="51"/>
  <c r="AZ11" i="51" s="1"/>
  <c r="AY13" i="51"/>
  <c r="AX13" i="51"/>
  <c r="AX11" i="51" s="1"/>
  <c r="AW13" i="51"/>
  <c r="AW11" i="51" s="1"/>
  <c r="AU13" i="51"/>
  <c r="AU11" i="51" s="1"/>
  <c r="AT13" i="51"/>
  <c r="AS13" i="51"/>
  <c r="AS11" i="51" s="1"/>
  <c r="AR13" i="51"/>
  <c r="AI13" i="51"/>
  <c r="AH13" i="51"/>
  <c r="AG13" i="51"/>
  <c r="AG11" i="51" s="1"/>
  <c r="AF13" i="51"/>
  <c r="AF11" i="51" s="1"/>
  <c r="AE13" i="51"/>
  <c r="AE11" i="51" s="1"/>
  <c r="AD13" i="51"/>
  <c r="AC13" i="51"/>
  <c r="AC11" i="51" s="1"/>
  <c r="AB13" i="51"/>
  <c r="AB11" i="51" s="1"/>
  <c r="AA13" i="51"/>
  <c r="Z13" i="51"/>
  <c r="Y13" i="51"/>
  <c r="Y11" i="51" s="1"/>
  <c r="X13" i="51"/>
  <c r="X11" i="51" s="1"/>
  <c r="W13" i="51"/>
  <c r="W11" i="51" s="1"/>
  <c r="V13" i="51"/>
  <c r="U13" i="51"/>
  <c r="U11" i="51" s="1"/>
  <c r="S13" i="51"/>
  <c r="S11" i="51" s="1"/>
  <c r="R13" i="51"/>
  <c r="R11" i="51" s="1"/>
  <c r="Q13" i="51"/>
  <c r="P13" i="51"/>
  <c r="M13" i="51"/>
  <c r="L13" i="51"/>
  <c r="L11" i="51" s="1"/>
  <c r="K13" i="51"/>
  <c r="J13" i="51"/>
  <c r="I13" i="51"/>
  <c r="I11" i="51" s="1"/>
  <c r="H13" i="51"/>
  <c r="F13" i="51"/>
  <c r="E13" i="51"/>
  <c r="E11" i="51" s="1"/>
  <c r="D13" i="51"/>
  <c r="D11" i="51" s="1"/>
  <c r="C13" i="51"/>
  <c r="BI12" i="51"/>
  <c r="BC12" i="51"/>
  <c r="AV12" i="51"/>
  <c r="T12" i="51"/>
  <c r="G12" i="51"/>
  <c r="BX11" i="51"/>
  <c r="BX9" i="51" s="1"/>
  <c r="BW11" i="51"/>
  <c r="BT11" i="51"/>
  <c r="BS11" i="51"/>
  <c r="BP11" i="51"/>
  <c r="BO11" i="51"/>
  <c r="BN11" i="51"/>
  <c r="BK11" i="51"/>
  <c r="BK9" i="51" s="1"/>
  <c r="BG11" i="51"/>
  <c r="BF11" i="51"/>
  <c r="BB11" i="51"/>
  <c r="AY11" i="51"/>
  <c r="AR11" i="51"/>
  <c r="AH11" i="51"/>
  <c r="AH9" i="51" s="1"/>
  <c r="AD11" i="51"/>
  <c r="AA11" i="51"/>
  <c r="Z11" i="51"/>
  <c r="V11" i="51"/>
  <c r="M11" i="51"/>
  <c r="K11" i="51"/>
  <c r="J11" i="51"/>
  <c r="H11" i="51"/>
  <c r="F11" i="51"/>
  <c r="C11" i="51"/>
  <c r="BI10" i="51"/>
  <c r="BC10" i="51"/>
  <c r="T10" i="51"/>
  <c r="N10" i="51"/>
  <c r="G10" i="51"/>
  <c r="AJ10" i="51" s="1"/>
  <c r="AP10" i="51" s="1"/>
  <c r="BD9" i="51"/>
  <c r="BI8" i="51"/>
  <c r="AV8" i="51"/>
  <c r="AJ8" i="51"/>
  <c r="AP8" i="51" s="1"/>
  <c r="BC7" i="51"/>
  <c r="AV7" i="51"/>
  <c r="BC5" i="51"/>
  <c r="BB5" i="51"/>
  <c r="BA5" i="51"/>
  <c r="AZ5" i="51"/>
  <c r="AY5" i="51"/>
  <c r="AX5" i="51"/>
  <c r="AW5" i="51"/>
  <c r="AJ5" i="51"/>
  <c r="AP5" i="51" s="1"/>
  <c r="BI4" i="51"/>
  <c r="BC4" i="51"/>
  <c r="AV4" i="51"/>
  <c r="AQ4" i="51"/>
  <c r="BY4" i="51" s="1"/>
  <c r="AY68" i="51" l="1"/>
  <c r="BU68" i="51"/>
  <c r="BL18" i="33"/>
  <c r="G41" i="33"/>
  <c r="BH9" i="33"/>
  <c r="R18" i="51"/>
  <c r="BL9" i="33"/>
  <c r="R18" i="33"/>
  <c r="BY36" i="59"/>
  <c r="AP36" i="59"/>
  <c r="AG9" i="51"/>
  <c r="BV5" i="51" s="1"/>
  <c r="BU9" i="51"/>
  <c r="BJ18" i="51"/>
  <c r="BJ9" i="51" s="1"/>
  <c r="BN18" i="51"/>
  <c r="BG18" i="51"/>
  <c r="BG9" i="51" s="1"/>
  <c r="BL9" i="51"/>
  <c r="BP9" i="51"/>
  <c r="AI68" i="51"/>
  <c r="AY18" i="33"/>
  <c r="BG18" i="33"/>
  <c r="BF18" i="33"/>
  <c r="BF9" i="33" s="1"/>
  <c r="BV18" i="33"/>
  <c r="BV9" i="33" s="1"/>
  <c r="N37" i="33"/>
  <c r="AJ45" i="33"/>
  <c r="AI68" i="33"/>
  <c r="BJ68" i="33"/>
  <c r="BN68" i="33"/>
  <c r="BR68" i="33"/>
  <c r="BZ89" i="33"/>
  <c r="AS7" i="60"/>
  <c r="D7" i="60" s="1"/>
  <c r="AS5" i="60" s="1"/>
  <c r="BC11" i="51"/>
  <c r="BO18" i="51"/>
  <c r="BO9" i="51" s="1"/>
  <c r="AV27" i="51"/>
  <c r="AO36" i="51"/>
  <c r="AO55" i="51"/>
  <c r="AJ55" i="51" s="1"/>
  <c r="BY55" i="51" s="1"/>
  <c r="AZ68" i="51"/>
  <c r="BZ16" i="33"/>
  <c r="BJ9" i="33"/>
  <c r="BN9" i="51"/>
  <c r="BI11" i="51"/>
  <c r="N41" i="51"/>
  <c r="BM18" i="51"/>
  <c r="BQ18" i="51"/>
  <c r="L18" i="33"/>
  <c r="AE18" i="33"/>
  <c r="AU18" i="33"/>
  <c r="BD18" i="33"/>
  <c r="BD9" i="33" s="1"/>
  <c r="BH18" i="33"/>
  <c r="BI19" i="33"/>
  <c r="BB18" i="33"/>
  <c r="BI27" i="33"/>
  <c r="AW68" i="33"/>
  <c r="BA68" i="33"/>
  <c r="BF68" i="33"/>
  <c r="BI68" i="59"/>
  <c r="BY65" i="60"/>
  <c r="AO40" i="51"/>
  <c r="BD68" i="51"/>
  <c r="BN9" i="33"/>
  <c r="H18" i="33"/>
  <c r="G11" i="51"/>
  <c r="AS9" i="51"/>
  <c r="L18" i="51"/>
  <c r="L9" i="51" s="1"/>
  <c r="AE18" i="51"/>
  <c r="AE9" i="51" s="1"/>
  <c r="BB18" i="51"/>
  <c r="AV5" i="51"/>
  <c r="O18" i="51"/>
  <c r="BI19" i="51"/>
  <c r="N37" i="51"/>
  <c r="AV46" i="51"/>
  <c r="BA18" i="51"/>
  <c r="BI57" i="51"/>
  <c r="O68" i="51"/>
  <c r="BD67" i="51" s="1"/>
  <c r="BG9" i="33"/>
  <c r="L9" i="33"/>
  <c r="BC11" i="33"/>
  <c r="O18" i="33"/>
  <c r="AT18" i="33"/>
  <c r="BC27" i="33"/>
  <c r="BC18" i="33" s="1"/>
  <c r="BI37" i="33"/>
  <c r="AO40" i="33"/>
  <c r="AO45" i="33"/>
  <c r="BI46" i="33"/>
  <c r="BD68" i="33"/>
  <c r="BH68" i="33"/>
  <c r="BI84" i="33"/>
  <c r="BY40" i="59"/>
  <c r="T65" i="59"/>
  <c r="BZ12" i="51"/>
  <c r="BZ17" i="33"/>
  <c r="BZ5" i="51"/>
  <c r="BZ14" i="51"/>
  <c r="BZ67" i="51"/>
  <c r="BZ5" i="33"/>
  <c r="BZ14" i="33"/>
  <c r="BZ67" i="33"/>
  <c r="BZ6" i="51"/>
  <c r="BZ15" i="51"/>
  <c r="BZ6" i="33"/>
  <c r="BZ15" i="33"/>
  <c r="BZ17" i="51"/>
  <c r="BZ8" i="51"/>
  <c r="BZ8" i="33"/>
  <c r="BZ16" i="59"/>
  <c r="BZ8" i="59"/>
  <c r="BZ15" i="59"/>
  <c r="BZ6" i="59"/>
  <c r="BZ17" i="59"/>
  <c r="BZ67" i="59"/>
  <c r="BZ14" i="59"/>
  <c r="BZ13" i="59" s="1"/>
  <c r="BZ5" i="59"/>
  <c r="BZ12" i="59"/>
  <c r="BZ15" i="60"/>
  <c r="BZ6" i="60"/>
  <c r="BZ16" i="60"/>
  <c r="BZ67" i="60"/>
  <c r="BZ14" i="60"/>
  <c r="BZ5" i="60"/>
  <c r="BZ8" i="60"/>
  <c r="BZ17" i="60"/>
  <c r="BZ12" i="60"/>
  <c r="BZ67" i="61"/>
  <c r="BZ14" i="61"/>
  <c r="BZ5" i="61"/>
  <c r="BZ16" i="61"/>
  <c r="BZ15" i="61"/>
  <c r="BZ13" i="61" s="1"/>
  <c r="BZ17" i="61"/>
  <c r="BZ12" i="61"/>
  <c r="BZ8" i="61"/>
  <c r="BZ6" i="61"/>
  <c r="BZ17" i="62"/>
  <c r="BZ12" i="62"/>
  <c r="BZ6" i="62"/>
  <c r="BZ14" i="62"/>
  <c r="BZ16" i="62"/>
  <c r="BZ8" i="62"/>
  <c r="BZ67" i="62"/>
  <c r="BZ15" i="62"/>
  <c r="BZ13" i="62" s="1"/>
  <c r="BZ5" i="62"/>
  <c r="BZ16" i="64"/>
  <c r="BZ8" i="64"/>
  <c r="BZ12" i="64"/>
  <c r="BZ15" i="64"/>
  <c r="BZ13" i="64" s="1"/>
  <c r="BZ11" i="64" s="1"/>
  <c r="BZ6" i="64"/>
  <c r="BZ67" i="64"/>
  <c r="BZ14" i="64"/>
  <c r="BZ5" i="64"/>
  <c r="BZ17" i="64"/>
  <c r="BT18" i="51"/>
  <c r="BZ67" i="66"/>
  <c r="BZ17" i="66"/>
  <c r="BZ12" i="66"/>
  <c r="BZ8" i="66"/>
  <c r="BZ14" i="66"/>
  <c r="BZ6" i="66"/>
  <c r="BZ16" i="66"/>
  <c r="BZ5" i="66"/>
  <c r="BZ15" i="66"/>
  <c r="BZ13" i="66" s="1"/>
  <c r="BZ67" i="65"/>
  <c r="BZ17" i="65"/>
  <c r="BZ12" i="65"/>
  <c r="BZ16" i="65"/>
  <c r="BZ8" i="65"/>
  <c r="BZ15" i="65"/>
  <c r="BZ14" i="65"/>
  <c r="BZ6" i="65"/>
  <c r="BZ5" i="65"/>
  <c r="BY36" i="60"/>
  <c r="AP36" i="60"/>
  <c r="BI68" i="60"/>
  <c r="BC18" i="60"/>
  <c r="BC9" i="60" s="1"/>
  <c r="BI18" i="60"/>
  <c r="BI9" i="60" s="1"/>
  <c r="T65" i="60"/>
  <c r="AV18" i="60"/>
  <c r="BI18" i="59"/>
  <c r="BI9" i="59" s="1"/>
  <c r="BC18" i="59"/>
  <c r="BC9" i="59" s="1"/>
  <c r="BY45" i="59"/>
  <c r="AP45" i="59"/>
  <c r="AV68" i="59"/>
  <c r="AV18" i="59"/>
  <c r="AR9" i="59"/>
  <c r="AP63" i="59"/>
  <c r="AJ45" i="51"/>
  <c r="BY45" i="51" s="1"/>
  <c r="G13" i="33"/>
  <c r="G11" i="33" s="1"/>
  <c r="AJ10" i="33"/>
  <c r="AP10" i="33" s="1"/>
  <c r="AR11" i="33"/>
  <c r="BI13" i="33"/>
  <c r="BI11" i="33" s="1"/>
  <c r="AV19" i="33"/>
  <c r="AX18" i="33"/>
  <c r="AV27" i="33"/>
  <c r="AO69" i="33"/>
  <c r="AV84" i="33"/>
  <c r="BK9" i="33"/>
  <c r="AT9" i="33"/>
  <c r="BI18" i="33"/>
  <c r="BK18" i="33"/>
  <c r="BO18" i="33"/>
  <c r="BO9" i="33" s="1"/>
  <c r="BT18" i="33"/>
  <c r="BY55" i="33"/>
  <c r="AP55" i="33"/>
  <c r="BC57" i="33"/>
  <c r="C68" i="33"/>
  <c r="BY40" i="33"/>
  <c r="AP40" i="33"/>
  <c r="BC70" i="33"/>
  <c r="BC68" i="33" s="1"/>
  <c r="BI57" i="33"/>
  <c r="AE9" i="33"/>
  <c r="BY45" i="33"/>
  <c r="AP45" i="33"/>
  <c r="BC84" i="33"/>
  <c r="AR18" i="33"/>
  <c r="AU9" i="33"/>
  <c r="AG18" i="33"/>
  <c r="AG9" i="33" s="1"/>
  <c r="BV5" i="33" s="1"/>
  <c r="AO26" i="33"/>
  <c r="AJ36" i="33"/>
  <c r="AV41" i="33"/>
  <c r="BI70" i="33"/>
  <c r="BI68" i="33" s="1"/>
  <c r="N70" i="33"/>
  <c r="AV46" i="33"/>
  <c r="AV70" i="33"/>
  <c r="AV68" i="33" s="1"/>
  <c r="AR68" i="33"/>
  <c r="R68" i="33"/>
  <c r="BG67" i="33" s="1"/>
  <c r="AV37" i="51"/>
  <c r="AX18" i="51"/>
  <c r="AT11" i="51"/>
  <c r="AV13" i="51"/>
  <c r="AV11" i="51" s="1"/>
  <c r="H18" i="51"/>
  <c r="BC46" i="51"/>
  <c r="BE18" i="51"/>
  <c r="BE9" i="51" s="1"/>
  <c r="T11" i="51"/>
  <c r="BM9" i="51"/>
  <c r="BQ9" i="51"/>
  <c r="BY40" i="51"/>
  <c r="AP40" i="51"/>
  <c r="N46" i="51"/>
  <c r="BY36" i="51"/>
  <c r="AP36" i="51"/>
  <c r="BF18" i="51"/>
  <c r="BF9" i="51" s="1"/>
  <c r="BC37" i="51"/>
  <c r="AV57" i="51"/>
  <c r="AW18" i="51"/>
  <c r="BC57" i="51"/>
  <c r="N70" i="51"/>
  <c r="BC70" i="51"/>
  <c r="BC68" i="51" s="1"/>
  <c r="AT18" i="51"/>
  <c r="BI27" i="51"/>
  <c r="BI37" i="51"/>
  <c r="AV41" i="51"/>
  <c r="AP55" i="51"/>
  <c r="AU68" i="51"/>
  <c r="BI68" i="51"/>
  <c r="G41" i="51"/>
  <c r="BI41" i="51"/>
  <c r="BI84" i="51"/>
  <c r="Z68" i="51"/>
  <c r="AV70" i="51"/>
  <c r="AV68" i="51" s="1"/>
  <c r="I262" i="43"/>
  <c r="I38" i="43"/>
  <c r="I28" i="43"/>
  <c r="I23" i="43"/>
  <c r="V557" i="32"/>
  <c r="T557" i="32"/>
  <c r="L186" i="43"/>
  <c r="J186" i="43"/>
  <c r="N557" i="32"/>
  <c r="G187" i="43" s="1"/>
  <c r="L557" i="32"/>
  <c r="F187" i="43" s="1"/>
  <c r="J557" i="32"/>
  <c r="E187" i="43" s="1"/>
  <c r="H557" i="32"/>
  <c r="D187" i="43" s="1"/>
  <c r="F557" i="32"/>
  <c r="C187" i="43" s="1"/>
  <c r="D557" i="32"/>
  <c r="B187" i="43" s="1"/>
  <c r="B557" i="32"/>
  <c r="B558" i="32"/>
  <c r="P557" i="32"/>
  <c r="H187" i="43" s="1"/>
  <c r="R557" i="32"/>
  <c r="I187" i="43" s="1"/>
  <c r="S351" i="32"/>
  <c r="Q32" i="42" s="1"/>
  <c r="AP45" i="51" l="1"/>
  <c r="BZ13" i="33"/>
  <c r="BZ11" i="33" s="1"/>
  <c r="BZ13" i="51"/>
  <c r="BZ11" i="51" s="1"/>
  <c r="BC9" i="33"/>
  <c r="BZ11" i="59"/>
  <c r="BZ13" i="60"/>
  <c r="BZ11" i="60" s="1"/>
  <c r="BZ11" i="61"/>
  <c r="BZ11" i="62"/>
  <c r="BZ11" i="66"/>
  <c r="BZ13" i="65"/>
  <c r="BZ11" i="65" s="1"/>
  <c r="BI9" i="33"/>
  <c r="AV18" i="33"/>
  <c r="AR9" i="33"/>
  <c r="BY36" i="33"/>
  <c r="AP36" i="33"/>
  <c r="AT9" i="51"/>
  <c r="BI18" i="51"/>
  <c r="BI9" i="51" s="1"/>
  <c r="AV18" i="51"/>
  <c r="BC18" i="51"/>
  <c r="BC9" i="51" s="1"/>
  <c r="BZ67" i="58"/>
  <c r="BZ17" i="58"/>
  <c r="BZ16" i="58"/>
  <c r="BZ15" i="58"/>
  <c r="BZ14" i="58"/>
  <c r="BZ12" i="58"/>
  <c r="BZ8" i="58"/>
  <c r="BZ6" i="58"/>
  <c r="BZ5" i="58"/>
  <c r="R13" i="32"/>
  <c r="BT57" i="58"/>
  <c r="BT41" i="58"/>
  <c r="BT37" i="58"/>
  <c r="BT27" i="58"/>
  <c r="BT19" i="58"/>
  <c r="BT65" i="58"/>
  <c r="U65" i="58" s="1"/>
  <c r="AV65" i="58"/>
  <c r="AW65" i="58" s="1"/>
  <c r="BZ117" i="58"/>
  <c r="BZ112" i="58"/>
  <c r="BZ101" i="58"/>
  <c r="BZ90" i="58"/>
  <c r="BZ89" i="58" s="1"/>
  <c r="BI88" i="58"/>
  <c r="BC88" i="58"/>
  <c r="AV88" i="58"/>
  <c r="BI87" i="58"/>
  <c r="BC87" i="58"/>
  <c r="AV87" i="58"/>
  <c r="BI86" i="58"/>
  <c r="BC86" i="58"/>
  <c r="AV86" i="58"/>
  <c r="BI85" i="58"/>
  <c r="BI84" i="58" s="1"/>
  <c r="BC85" i="58"/>
  <c r="AV85" i="58"/>
  <c r="BX84" i="58"/>
  <c r="BV84" i="58"/>
  <c r="BU84" i="58"/>
  <c r="BS84" i="58"/>
  <c r="BR84" i="58"/>
  <c r="BQ84" i="58"/>
  <c r="BP84" i="58"/>
  <c r="BO84" i="58"/>
  <c r="BN84" i="58"/>
  <c r="BM84" i="58"/>
  <c r="BL84" i="58"/>
  <c r="BK84" i="58"/>
  <c r="BJ84" i="58"/>
  <c r="BH84" i="58"/>
  <c r="BG84" i="58"/>
  <c r="BF84" i="58"/>
  <c r="BE84" i="58"/>
  <c r="BD84" i="58"/>
  <c r="BB84" i="58"/>
  <c r="BA84" i="58"/>
  <c r="AZ84" i="58"/>
  <c r="AY84" i="58"/>
  <c r="AX84" i="58"/>
  <c r="AW84" i="58"/>
  <c r="AU84" i="58"/>
  <c r="AT84" i="58"/>
  <c r="AS84" i="58"/>
  <c r="AR84" i="58"/>
  <c r="AI84" i="58"/>
  <c r="AG84" i="58"/>
  <c r="AF84" i="58"/>
  <c r="AE84" i="58"/>
  <c r="AA84" i="58"/>
  <c r="Z84" i="58"/>
  <c r="R84" i="58"/>
  <c r="P84" i="58"/>
  <c r="O84" i="58"/>
  <c r="L84" i="58"/>
  <c r="D84" i="58"/>
  <c r="C84" i="58"/>
  <c r="BI83" i="58"/>
  <c r="BC83" i="58"/>
  <c r="AV83" i="58"/>
  <c r="BI82" i="58"/>
  <c r="BC82" i="58"/>
  <c r="AV82" i="58"/>
  <c r="BI81" i="58"/>
  <c r="BC81" i="58"/>
  <c r="AV81" i="58"/>
  <c r="BI80" i="58"/>
  <c r="BC80" i="58"/>
  <c r="AV80" i="58"/>
  <c r="AH80" i="58"/>
  <c r="AG80" i="58"/>
  <c r="AF80" i="58"/>
  <c r="AE80" i="58"/>
  <c r="AB80" i="58"/>
  <c r="AA80" i="58"/>
  <c r="Z80" i="58"/>
  <c r="V80" i="58"/>
  <c r="U80" i="58"/>
  <c r="R80" i="58"/>
  <c r="P80" i="58"/>
  <c r="O80" i="58"/>
  <c r="M80" i="58"/>
  <c r="L80" i="58"/>
  <c r="K80" i="58"/>
  <c r="I80" i="58"/>
  <c r="F80" i="58"/>
  <c r="C80" i="58"/>
  <c r="BI79" i="58"/>
  <c r="BC79" i="58"/>
  <c r="AV79" i="58"/>
  <c r="BI78" i="58"/>
  <c r="BC78" i="58"/>
  <c r="AV78" i="58"/>
  <c r="N78" i="58"/>
  <c r="BI77" i="58"/>
  <c r="BC77" i="58"/>
  <c r="AV77" i="58"/>
  <c r="N77" i="58"/>
  <c r="BI76" i="58"/>
  <c r="BC76" i="58"/>
  <c r="AV76" i="58"/>
  <c r="N76" i="58"/>
  <c r="BI75" i="58"/>
  <c r="BC75" i="58"/>
  <c r="AV75" i="58"/>
  <c r="N75" i="58"/>
  <c r="BI74" i="58"/>
  <c r="BC74" i="58"/>
  <c r="AV74" i="58"/>
  <c r="N74" i="58"/>
  <c r="BI73" i="58"/>
  <c r="BC73" i="58"/>
  <c r="AV73" i="58"/>
  <c r="N73" i="58"/>
  <c r="BI72" i="58"/>
  <c r="BC72" i="58"/>
  <c r="BC70" i="58" s="1"/>
  <c r="AV72" i="58"/>
  <c r="T72" i="58"/>
  <c r="N72" i="58"/>
  <c r="BI71" i="58"/>
  <c r="BC71" i="58"/>
  <c r="AV71" i="58"/>
  <c r="N71" i="58"/>
  <c r="BX70" i="58"/>
  <c r="BV70" i="58"/>
  <c r="BV68" i="58" s="1"/>
  <c r="BU70" i="58"/>
  <c r="BT70" i="58"/>
  <c r="BS70" i="58"/>
  <c r="BS68" i="58" s="1"/>
  <c r="BR70" i="58"/>
  <c r="BR68" i="58" s="1"/>
  <c r="BQ70" i="58"/>
  <c r="BP70" i="58"/>
  <c r="BO70" i="58"/>
  <c r="BO68" i="58" s="1"/>
  <c r="BN70" i="58"/>
  <c r="BN68" i="58" s="1"/>
  <c r="BM70" i="58"/>
  <c r="BL70" i="58"/>
  <c r="BK70" i="58"/>
  <c r="BK68" i="58" s="1"/>
  <c r="BJ70" i="58"/>
  <c r="BJ68" i="58" s="1"/>
  <c r="BH70" i="58"/>
  <c r="BG70" i="58"/>
  <c r="BG68" i="58" s="1"/>
  <c r="BF70" i="58"/>
  <c r="BE70" i="58"/>
  <c r="BD70" i="58"/>
  <c r="BB70" i="58"/>
  <c r="BA70" i="58"/>
  <c r="AZ70" i="58"/>
  <c r="AY70" i="58"/>
  <c r="AY68" i="58" s="1"/>
  <c r="AX70" i="58"/>
  <c r="AW70" i="58"/>
  <c r="AU70" i="58"/>
  <c r="AU68" i="58" s="1"/>
  <c r="AT70" i="58"/>
  <c r="AT68" i="58" s="1"/>
  <c r="AS70" i="58"/>
  <c r="AR70" i="58"/>
  <c r="AI70" i="58"/>
  <c r="AI68" i="58" s="1"/>
  <c r="AH70" i="58"/>
  <c r="AG70" i="58"/>
  <c r="AF70" i="58"/>
  <c r="AD70" i="58"/>
  <c r="AA70" i="58"/>
  <c r="Z70" i="58"/>
  <c r="Z68" i="58" s="1"/>
  <c r="Y70" i="58"/>
  <c r="X70" i="58"/>
  <c r="W70" i="58"/>
  <c r="S70" i="58"/>
  <c r="R70" i="58"/>
  <c r="R68" i="58" s="1"/>
  <c r="BG67" i="58" s="1"/>
  <c r="Q70" i="58"/>
  <c r="P70" i="58"/>
  <c r="O70" i="58"/>
  <c r="O68" i="58" s="1"/>
  <c r="N70" i="58"/>
  <c r="J70" i="58"/>
  <c r="F70" i="58"/>
  <c r="D70" i="58"/>
  <c r="C70" i="58"/>
  <c r="BI69" i="58"/>
  <c r="BC69" i="58"/>
  <c r="AV69" i="58"/>
  <c r="AO69" i="58" s="1"/>
  <c r="T69" i="58"/>
  <c r="N69" i="58"/>
  <c r="BX68" i="58"/>
  <c r="BT68" i="58"/>
  <c r="BQ68" i="58"/>
  <c r="BP68" i="58"/>
  <c r="BM68" i="58"/>
  <c r="BH68" i="58"/>
  <c r="BE68" i="58"/>
  <c r="BD68" i="58"/>
  <c r="BA68" i="58"/>
  <c r="AZ68" i="58"/>
  <c r="AW68" i="58"/>
  <c r="AS68" i="58"/>
  <c r="AR68" i="58"/>
  <c r="AG68" i="58"/>
  <c r="AF68" i="58"/>
  <c r="P68" i="58"/>
  <c r="D68" i="58"/>
  <c r="BI67" i="58"/>
  <c r="BE67" i="58"/>
  <c r="BD67" i="58"/>
  <c r="AV67" i="58"/>
  <c r="AJ67" i="58"/>
  <c r="AP67" i="58" s="1"/>
  <c r="BI66" i="58"/>
  <c r="BC66" i="58"/>
  <c r="T66" i="58"/>
  <c r="N66" i="58"/>
  <c r="BI64" i="58"/>
  <c r="BC64" i="58"/>
  <c r="AV64" i="58"/>
  <c r="BI63" i="58"/>
  <c r="BC63" i="58"/>
  <c r="AV63" i="58"/>
  <c r="T63" i="58"/>
  <c r="N63" i="58"/>
  <c r="G63" i="58"/>
  <c r="BI62" i="58"/>
  <c r="BC62" i="58"/>
  <c r="AV62" i="58"/>
  <c r="T62" i="58"/>
  <c r="G62" i="58"/>
  <c r="BI61" i="58"/>
  <c r="BC61" i="58"/>
  <c r="AV61" i="58"/>
  <c r="T61" i="58"/>
  <c r="G61" i="58"/>
  <c r="BI60" i="58"/>
  <c r="BC60" i="58"/>
  <c r="AV60" i="58"/>
  <c r="T60" i="58"/>
  <c r="N60" i="58"/>
  <c r="G60" i="58"/>
  <c r="BI59" i="58"/>
  <c r="BC59" i="58"/>
  <c r="AV59" i="58"/>
  <c r="T59" i="58"/>
  <c r="G59" i="58"/>
  <c r="BI58" i="58"/>
  <c r="BC58" i="58"/>
  <c r="AV58" i="58"/>
  <c r="N58" i="58"/>
  <c r="BX57" i="58"/>
  <c r="BW57" i="58"/>
  <c r="BV57" i="58"/>
  <c r="BU57" i="58"/>
  <c r="BQ57" i="58"/>
  <c r="BP57" i="58"/>
  <c r="BO57" i="58"/>
  <c r="BN57" i="58"/>
  <c r="BM57" i="58"/>
  <c r="BL57" i="58"/>
  <c r="BK57" i="58"/>
  <c r="BJ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U57" i="58"/>
  <c r="AT57" i="58"/>
  <c r="AS57" i="58"/>
  <c r="AR57" i="58"/>
  <c r="AH57" i="58"/>
  <c r="AG57" i="58"/>
  <c r="AF57" i="58"/>
  <c r="AE57" i="58"/>
  <c r="AD57" i="58"/>
  <c r="P57" i="58"/>
  <c r="O57" i="58"/>
  <c r="L57" i="58"/>
  <c r="D57" i="58"/>
  <c r="AO56" i="58"/>
  <c r="BI55" i="58"/>
  <c r="BC55" i="58"/>
  <c r="AV55" i="58"/>
  <c r="AO55" i="58" s="1"/>
  <c r="AJ55" i="58" s="1"/>
  <c r="T55" i="58"/>
  <c r="N55" i="58"/>
  <c r="G55" i="58"/>
  <c r="BI54" i="58"/>
  <c r="BC54" i="58"/>
  <c r="AV54" i="58"/>
  <c r="T54" i="58"/>
  <c r="N54" i="58"/>
  <c r="G54" i="58"/>
  <c r="BI53" i="58"/>
  <c r="BC53" i="58"/>
  <c r="AV53" i="58"/>
  <c r="T53" i="58"/>
  <c r="N53" i="58"/>
  <c r="G53" i="58"/>
  <c r="BI52" i="58"/>
  <c r="BC52" i="58"/>
  <c r="AV52" i="58"/>
  <c r="T52" i="58"/>
  <c r="N52" i="58"/>
  <c r="G52" i="58"/>
  <c r="BI51" i="58"/>
  <c r="BC51" i="58"/>
  <c r="AV51" i="58"/>
  <c r="N51" i="58"/>
  <c r="BI50" i="58"/>
  <c r="BC50" i="58"/>
  <c r="AV50" i="58"/>
  <c r="N50" i="58"/>
  <c r="BI49" i="58"/>
  <c r="BC49" i="58"/>
  <c r="AV49" i="58"/>
  <c r="N49" i="58"/>
  <c r="G49" i="58"/>
  <c r="BI48" i="58"/>
  <c r="BC48" i="58"/>
  <c r="AV48" i="58"/>
  <c r="N48" i="58"/>
  <c r="BI47" i="58"/>
  <c r="BC47" i="58"/>
  <c r="AV47" i="58"/>
  <c r="N47" i="58"/>
  <c r="BV46" i="58"/>
  <c r="BU46" i="58"/>
  <c r="BT46" i="58"/>
  <c r="BQ46" i="58"/>
  <c r="BP46" i="58"/>
  <c r="BO46" i="58"/>
  <c r="BN46" i="58"/>
  <c r="BM46" i="58"/>
  <c r="BL46" i="58"/>
  <c r="BK46" i="58"/>
  <c r="BJ46" i="58"/>
  <c r="BH46" i="58"/>
  <c r="BG46" i="58"/>
  <c r="BF46" i="58"/>
  <c r="BE46" i="58"/>
  <c r="BD46" i="58"/>
  <c r="BB46" i="58"/>
  <c r="BA46" i="58"/>
  <c r="AZ46" i="58"/>
  <c r="AY46" i="58"/>
  <c r="AX46" i="58"/>
  <c r="AW46" i="58"/>
  <c r="AV46" i="58" s="1"/>
  <c r="AU46" i="58"/>
  <c r="AT46" i="58"/>
  <c r="AR46" i="58"/>
  <c r="AH46" i="58"/>
  <c r="AG46" i="58"/>
  <c r="AE46" i="58"/>
  <c r="AA46" i="58"/>
  <c r="Z46" i="58"/>
  <c r="S46" i="58"/>
  <c r="R46" i="58"/>
  <c r="Q46" i="58"/>
  <c r="P46" i="58"/>
  <c r="O46" i="58"/>
  <c r="L46" i="58"/>
  <c r="H46" i="58"/>
  <c r="F46" i="58"/>
  <c r="BI45" i="58"/>
  <c r="BC45" i="58"/>
  <c r="AV45" i="58"/>
  <c r="AO45" i="58" s="1"/>
  <c r="T45" i="58"/>
  <c r="N45" i="58"/>
  <c r="G45" i="58"/>
  <c r="BI44" i="58"/>
  <c r="BC44" i="58"/>
  <c r="AV44" i="58"/>
  <c r="N44" i="58"/>
  <c r="G44" i="58"/>
  <c r="BI43" i="58"/>
  <c r="BC43" i="58"/>
  <c r="AV43" i="58"/>
  <c r="N43" i="58"/>
  <c r="G43" i="58"/>
  <c r="BI42" i="58"/>
  <c r="BC42" i="58"/>
  <c r="AV42" i="58"/>
  <c r="N42" i="58"/>
  <c r="G42" i="58"/>
  <c r="BW41" i="58"/>
  <c r="BV41" i="58"/>
  <c r="BU41" i="58"/>
  <c r="BQ41" i="58"/>
  <c r="BP41" i="58"/>
  <c r="BO41" i="58"/>
  <c r="BN41" i="58"/>
  <c r="BM41" i="58"/>
  <c r="BL41" i="58"/>
  <c r="BK41" i="58"/>
  <c r="BJ41" i="58"/>
  <c r="BI41" i="58" s="1"/>
  <c r="BH41" i="58"/>
  <c r="BG41" i="58"/>
  <c r="BF41" i="58"/>
  <c r="BE41" i="58"/>
  <c r="BD41" i="58"/>
  <c r="BB41" i="58"/>
  <c r="BA41" i="58"/>
  <c r="AZ41" i="58"/>
  <c r="AY41" i="58"/>
  <c r="AX41" i="58"/>
  <c r="AW41" i="58"/>
  <c r="AU41" i="58"/>
  <c r="AT41" i="58"/>
  <c r="AR41" i="58"/>
  <c r="AH41" i="58"/>
  <c r="AG41" i="58"/>
  <c r="AF41" i="58"/>
  <c r="AE41" i="58"/>
  <c r="AD41" i="58"/>
  <c r="AC41" i="58"/>
  <c r="AB41" i="58"/>
  <c r="Y41" i="58"/>
  <c r="X41" i="58"/>
  <c r="W41" i="58"/>
  <c r="V41" i="58"/>
  <c r="U41" i="58"/>
  <c r="S41" i="58"/>
  <c r="R41" i="58"/>
  <c r="Q41" i="58"/>
  <c r="P41" i="58"/>
  <c r="O41" i="58"/>
  <c r="M41" i="58"/>
  <c r="L41" i="58"/>
  <c r="K41" i="58"/>
  <c r="J41" i="58"/>
  <c r="I41" i="58"/>
  <c r="H41" i="58"/>
  <c r="G41" i="58" s="1"/>
  <c r="E41" i="58"/>
  <c r="C41" i="58"/>
  <c r="BI40" i="58"/>
  <c r="BC40" i="58"/>
  <c r="AO40" i="58" s="1"/>
  <c r="AV40" i="58"/>
  <c r="T40" i="58"/>
  <c r="N40" i="58"/>
  <c r="G40" i="58"/>
  <c r="BI39" i="58"/>
  <c r="BC39" i="58"/>
  <c r="AV39" i="58"/>
  <c r="N39" i="58"/>
  <c r="BI38" i="58"/>
  <c r="BC38" i="58"/>
  <c r="AV38" i="58"/>
  <c r="N38" i="58"/>
  <c r="BW37" i="58"/>
  <c r="BV37" i="58"/>
  <c r="BU37" i="58"/>
  <c r="BQ37" i="58"/>
  <c r="BP37" i="58"/>
  <c r="BO37" i="58"/>
  <c r="BN37" i="58"/>
  <c r="BM37" i="58"/>
  <c r="BL37" i="58"/>
  <c r="BK37" i="58"/>
  <c r="BJ37" i="58"/>
  <c r="BH37" i="58"/>
  <c r="BG37" i="58"/>
  <c r="BF37" i="58"/>
  <c r="BE37" i="58"/>
  <c r="BD37" i="58"/>
  <c r="BC37" i="58" s="1"/>
  <c r="BB37" i="58"/>
  <c r="BA37" i="58"/>
  <c r="AZ37" i="58"/>
  <c r="AY37" i="58"/>
  <c r="AV37" i="58" s="1"/>
  <c r="AX37" i="58"/>
  <c r="AW37" i="58"/>
  <c r="AU37" i="58"/>
  <c r="AT37" i="58"/>
  <c r="AR37" i="58"/>
  <c r="AH37" i="58"/>
  <c r="AG37" i="58"/>
  <c r="AF37" i="58"/>
  <c r="AE37" i="58"/>
  <c r="AD37" i="58"/>
  <c r="AC37" i="58"/>
  <c r="AA37" i="58"/>
  <c r="Z37" i="58"/>
  <c r="S37" i="58"/>
  <c r="R37" i="58"/>
  <c r="Q37" i="58"/>
  <c r="P37" i="58"/>
  <c r="O37" i="58"/>
  <c r="N37" i="58"/>
  <c r="L37" i="58"/>
  <c r="H37" i="58"/>
  <c r="F37" i="58"/>
  <c r="BI36" i="58"/>
  <c r="BC36" i="58"/>
  <c r="AV36" i="58"/>
  <c r="AO36" i="58"/>
  <c r="T36" i="58"/>
  <c r="N36" i="58"/>
  <c r="G36" i="58"/>
  <c r="BI35" i="58"/>
  <c r="BC35" i="58"/>
  <c r="AV35" i="58"/>
  <c r="N35" i="58"/>
  <c r="BI34" i="58"/>
  <c r="BC34" i="58"/>
  <c r="AV34" i="58"/>
  <c r="T34" i="58"/>
  <c r="G34" i="58"/>
  <c r="BI33" i="58"/>
  <c r="BC33" i="58"/>
  <c r="AV33" i="58"/>
  <c r="T33" i="58"/>
  <c r="N33" i="58"/>
  <c r="G33" i="58"/>
  <c r="BI32" i="58"/>
  <c r="BC32" i="58"/>
  <c r="AV32" i="58"/>
  <c r="T32" i="58"/>
  <c r="G32" i="58"/>
  <c r="BI31" i="58"/>
  <c r="BC31" i="58"/>
  <c r="AV31" i="58"/>
  <c r="N31" i="58"/>
  <c r="BI30" i="58"/>
  <c r="BC30" i="58"/>
  <c r="AV30" i="58"/>
  <c r="N30" i="58"/>
  <c r="G30" i="58"/>
  <c r="BI29" i="58"/>
  <c r="BC29" i="58"/>
  <c r="AV29" i="58"/>
  <c r="N29" i="58"/>
  <c r="BI28" i="58"/>
  <c r="BC28" i="58"/>
  <c r="AV28" i="58"/>
  <c r="N28" i="58"/>
  <c r="BW27" i="58"/>
  <c r="BV27" i="58"/>
  <c r="BU27" i="58"/>
  <c r="BQ27" i="58"/>
  <c r="BP27" i="58"/>
  <c r="BO27" i="58"/>
  <c r="BN27" i="58"/>
  <c r="BM27" i="58"/>
  <c r="BL27" i="58"/>
  <c r="BI27" i="58" s="1"/>
  <c r="BK27" i="58"/>
  <c r="BJ27" i="58"/>
  <c r="BH27" i="58"/>
  <c r="BG27" i="58"/>
  <c r="BF27" i="58"/>
  <c r="BE27" i="58"/>
  <c r="BD27" i="58"/>
  <c r="BC27" i="58" s="1"/>
  <c r="BB27" i="58"/>
  <c r="BA27" i="58"/>
  <c r="AZ27" i="58"/>
  <c r="AY27" i="58"/>
  <c r="AX27" i="58"/>
  <c r="AW27" i="58"/>
  <c r="AU27" i="58"/>
  <c r="AT27" i="58"/>
  <c r="AR27" i="58"/>
  <c r="AH27" i="58"/>
  <c r="AG27" i="58"/>
  <c r="AF27" i="58"/>
  <c r="AE27" i="58"/>
  <c r="AD27" i="58"/>
  <c r="AA27" i="58"/>
  <c r="Z27" i="58"/>
  <c r="R27" i="58"/>
  <c r="P27" i="58"/>
  <c r="O27" i="58"/>
  <c r="L27" i="58"/>
  <c r="H27" i="58"/>
  <c r="F27" i="58"/>
  <c r="BI26" i="58"/>
  <c r="BC26" i="58"/>
  <c r="AV26" i="58"/>
  <c r="T26" i="58"/>
  <c r="N26" i="58"/>
  <c r="G26" i="58"/>
  <c r="BI25" i="58"/>
  <c r="BC25" i="58"/>
  <c r="AV25" i="58"/>
  <c r="T25" i="58"/>
  <c r="N25" i="58"/>
  <c r="G25" i="58"/>
  <c r="BI24" i="58"/>
  <c r="BC24" i="58"/>
  <c r="AV24" i="58"/>
  <c r="T24" i="58"/>
  <c r="G24" i="58"/>
  <c r="BI23" i="58"/>
  <c r="BC23" i="58"/>
  <c r="AV23" i="58"/>
  <c r="N23" i="58"/>
  <c r="BI22" i="58"/>
  <c r="BC22" i="58"/>
  <c r="AV22" i="58"/>
  <c r="N22" i="58"/>
  <c r="G22" i="58"/>
  <c r="BI21" i="58"/>
  <c r="BC21" i="58"/>
  <c r="AV21" i="58"/>
  <c r="N21" i="58"/>
  <c r="BI20" i="58"/>
  <c r="BI19" i="58" s="1"/>
  <c r="BC20" i="58"/>
  <c r="AV20" i="58"/>
  <c r="N20" i="58"/>
  <c r="BX19" i="58"/>
  <c r="BX18" i="58" s="1"/>
  <c r="BW19" i="58"/>
  <c r="BV19" i="58"/>
  <c r="BU19" i="58"/>
  <c r="BQ19" i="58"/>
  <c r="BP19" i="58"/>
  <c r="BP18" i="58" s="1"/>
  <c r="BO19" i="58"/>
  <c r="BO18" i="58" s="1"/>
  <c r="BN19" i="58"/>
  <c r="BM19" i="58"/>
  <c r="BL19" i="58"/>
  <c r="BK19" i="58"/>
  <c r="BJ19" i="58"/>
  <c r="BH19" i="58"/>
  <c r="BG19" i="58"/>
  <c r="BG18" i="58" s="1"/>
  <c r="BF19" i="58"/>
  <c r="BE19" i="58"/>
  <c r="BD19" i="58"/>
  <c r="BB19" i="58"/>
  <c r="BA19" i="58"/>
  <c r="AZ19" i="58"/>
  <c r="AY19" i="58"/>
  <c r="AY18" i="58" s="1"/>
  <c r="AX19" i="58"/>
  <c r="AW19" i="58"/>
  <c r="AU19" i="58"/>
  <c r="AT19" i="58"/>
  <c r="AS19" i="58"/>
  <c r="AS18" i="58" s="1"/>
  <c r="AR19" i="58"/>
  <c r="AI19" i="58"/>
  <c r="AI18" i="58" s="1"/>
  <c r="AH19" i="58"/>
  <c r="AG19" i="58"/>
  <c r="AF19" i="58"/>
  <c r="AE19" i="58"/>
  <c r="AD19" i="58"/>
  <c r="AA19" i="58"/>
  <c r="Z19" i="58"/>
  <c r="R19" i="58"/>
  <c r="Q19" i="58"/>
  <c r="P19" i="58"/>
  <c r="O19" i="58"/>
  <c r="L19" i="58"/>
  <c r="L18" i="58" s="1"/>
  <c r="H19" i="58"/>
  <c r="F19" i="58"/>
  <c r="D19" i="58"/>
  <c r="D18" i="58" s="1"/>
  <c r="BU18" i="58"/>
  <c r="BQ18" i="58"/>
  <c r="BM18" i="58"/>
  <c r="BL18" i="58"/>
  <c r="BK18" i="58"/>
  <c r="BE18" i="58"/>
  <c r="BA18" i="58"/>
  <c r="AZ18" i="58"/>
  <c r="AW18" i="58"/>
  <c r="AU18" i="58"/>
  <c r="R18" i="58"/>
  <c r="BI17" i="58"/>
  <c r="BC17" i="58"/>
  <c r="AV17" i="58"/>
  <c r="T17" i="58"/>
  <c r="N17" i="58"/>
  <c r="G17" i="58"/>
  <c r="BI16" i="58"/>
  <c r="BC16" i="58"/>
  <c r="AV16" i="58"/>
  <c r="T16" i="58"/>
  <c r="G16" i="58"/>
  <c r="BI15" i="58"/>
  <c r="BC15" i="58"/>
  <c r="AV15" i="58"/>
  <c r="T15" i="58"/>
  <c r="G15" i="58"/>
  <c r="BI14" i="58"/>
  <c r="BI13" i="58" s="1"/>
  <c r="BC14" i="58"/>
  <c r="AV14" i="58"/>
  <c r="T14" i="58"/>
  <c r="G14" i="58"/>
  <c r="G13" i="58" s="1"/>
  <c r="BX13" i="58"/>
  <c r="BW13" i="58"/>
  <c r="BV13" i="58"/>
  <c r="BV11" i="58" s="1"/>
  <c r="BU13" i="58"/>
  <c r="BT13" i="58"/>
  <c r="BS13" i="58"/>
  <c r="BQ13" i="58"/>
  <c r="BP13" i="58"/>
  <c r="BO13" i="58"/>
  <c r="BN13" i="58"/>
  <c r="BN11" i="58" s="1"/>
  <c r="BM13" i="58"/>
  <c r="BL13" i="58"/>
  <c r="BK13" i="58"/>
  <c r="BJ13" i="58"/>
  <c r="BJ11" i="58" s="1"/>
  <c r="BH13" i="58"/>
  <c r="BG13" i="58"/>
  <c r="BF13" i="58"/>
  <c r="BF11" i="58" s="1"/>
  <c r="BE13" i="58"/>
  <c r="BD13" i="58"/>
  <c r="BC13" i="58"/>
  <c r="BB13" i="58"/>
  <c r="BB11" i="58" s="1"/>
  <c r="BA13" i="58"/>
  <c r="AZ13" i="58"/>
  <c r="AY13" i="58"/>
  <c r="AY11" i="58" s="1"/>
  <c r="AX13" i="58"/>
  <c r="AX11" i="58" s="1"/>
  <c r="AW13" i="58"/>
  <c r="AU13" i="58"/>
  <c r="AU11" i="58" s="1"/>
  <c r="AT13" i="58"/>
  <c r="AT11" i="58" s="1"/>
  <c r="AS13" i="58"/>
  <c r="AR13" i="58"/>
  <c r="AI13" i="58"/>
  <c r="AH13" i="58"/>
  <c r="AG13" i="58"/>
  <c r="AF13" i="58"/>
  <c r="AE13" i="58"/>
  <c r="AD13" i="58"/>
  <c r="AC13" i="58"/>
  <c r="AB13" i="58"/>
  <c r="AA13" i="58"/>
  <c r="Z13" i="58"/>
  <c r="Y13" i="58"/>
  <c r="X13" i="58"/>
  <c r="W13" i="58"/>
  <c r="V13" i="58"/>
  <c r="U13" i="58"/>
  <c r="S13" i="58"/>
  <c r="R13" i="58"/>
  <c r="Q13" i="58"/>
  <c r="P13" i="58"/>
  <c r="M13" i="58"/>
  <c r="L13" i="58"/>
  <c r="K13" i="58"/>
  <c r="J13" i="58"/>
  <c r="I13" i="58"/>
  <c r="H13" i="58"/>
  <c r="F13" i="58"/>
  <c r="E13" i="58"/>
  <c r="D13" i="58"/>
  <c r="C13" i="58"/>
  <c r="BI12" i="58"/>
  <c r="BI11" i="58" s="1"/>
  <c r="BC12" i="58"/>
  <c r="AV12" i="58"/>
  <c r="T12" i="58"/>
  <c r="G12" i="58"/>
  <c r="BX11" i="58"/>
  <c r="BX9" i="58" s="1"/>
  <c r="BW11" i="58"/>
  <c r="BU11" i="58"/>
  <c r="BT11" i="58"/>
  <c r="BS11" i="58"/>
  <c r="BQ11" i="58"/>
  <c r="BP11" i="58"/>
  <c r="BO11" i="58"/>
  <c r="BM11" i="58"/>
  <c r="BL11" i="58"/>
  <c r="BK11" i="58"/>
  <c r="BH11" i="58"/>
  <c r="BG11" i="58"/>
  <c r="BE11" i="58"/>
  <c r="BD11" i="58"/>
  <c r="BA11" i="58"/>
  <c r="AZ11" i="58"/>
  <c r="AW11" i="58"/>
  <c r="AS11" i="58"/>
  <c r="AR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S11" i="58"/>
  <c r="R11" i="58"/>
  <c r="M11" i="58"/>
  <c r="L11" i="58"/>
  <c r="K11" i="58"/>
  <c r="J11" i="58"/>
  <c r="I11" i="58"/>
  <c r="H11" i="58"/>
  <c r="F11" i="58"/>
  <c r="E11" i="58"/>
  <c r="D11" i="58"/>
  <c r="C11" i="58"/>
  <c r="BI10" i="58"/>
  <c r="BC10" i="58"/>
  <c r="T10" i="58"/>
  <c r="N10" i="58"/>
  <c r="G10" i="58"/>
  <c r="BU9" i="58"/>
  <c r="BM9" i="58"/>
  <c r="BE9" i="58"/>
  <c r="AS9" i="58"/>
  <c r="BI8" i="58"/>
  <c r="AV8" i="58"/>
  <c r="AJ8" i="58"/>
  <c r="AP8" i="58" s="1"/>
  <c r="BC7" i="58"/>
  <c r="AV7" i="58"/>
  <c r="BC5" i="58"/>
  <c r="BB5" i="58"/>
  <c r="BA5" i="58"/>
  <c r="AZ5" i="58"/>
  <c r="AY5" i="58"/>
  <c r="AX5" i="58"/>
  <c r="AW5" i="58"/>
  <c r="AV5" i="58" s="1"/>
  <c r="AJ5" i="58"/>
  <c r="AP5" i="58" s="1"/>
  <c r="BI4" i="58"/>
  <c r="BC4" i="58"/>
  <c r="AV4" i="58"/>
  <c r="AQ4" i="58"/>
  <c r="BY4" i="58" s="1"/>
  <c r="T13" i="32"/>
  <c r="V13" i="32"/>
  <c r="BP9" i="58" l="1"/>
  <c r="BC19" i="58"/>
  <c r="P18" i="58"/>
  <c r="AV41" i="58"/>
  <c r="BQ9" i="58"/>
  <c r="N41" i="58"/>
  <c r="L9" i="58"/>
  <c r="AT18" i="58"/>
  <c r="AT9" i="58" s="1"/>
  <c r="AH18" i="58"/>
  <c r="AJ40" i="58"/>
  <c r="BY40" i="58" s="1"/>
  <c r="BC46" i="58"/>
  <c r="AV84" i="58"/>
  <c r="BC84" i="58"/>
  <c r="BC11" i="58"/>
  <c r="G11" i="58"/>
  <c r="BL9" i="58"/>
  <c r="AJ36" i="58"/>
  <c r="BY36" i="58" s="1"/>
  <c r="BI37" i="58"/>
  <c r="BC41" i="58"/>
  <c r="BL68" i="58"/>
  <c r="BU68" i="58"/>
  <c r="AA65" i="58"/>
  <c r="W65" i="58"/>
  <c r="Z65" i="58"/>
  <c r="V65" i="58"/>
  <c r="AB65" i="58"/>
  <c r="Y65" i="58"/>
  <c r="AC65" i="58"/>
  <c r="X65" i="58"/>
  <c r="BT18" i="58"/>
  <c r="AZ65" i="58"/>
  <c r="BA65" i="58"/>
  <c r="D65" i="58"/>
  <c r="D9" i="58" s="1"/>
  <c r="AS7" i="58" s="1"/>
  <c r="D7" i="58" s="1"/>
  <c r="AS5" i="58" s="1"/>
  <c r="BZ13" i="58"/>
  <c r="BZ11" i="58" s="1"/>
  <c r="AX65" i="58"/>
  <c r="BB65" i="58"/>
  <c r="AJ65" i="58"/>
  <c r="AY65" i="58"/>
  <c r="AU9" i="58"/>
  <c r="AJ10" i="58"/>
  <c r="AP10" i="58" s="1"/>
  <c r="BG9" i="58"/>
  <c r="AH9" i="58"/>
  <c r="BO9" i="58"/>
  <c r="AV13" i="58"/>
  <c r="BK9" i="58"/>
  <c r="O18" i="58"/>
  <c r="AR18" i="58"/>
  <c r="AV19" i="58"/>
  <c r="BD18" i="58"/>
  <c r="BD9" i="58" s="1"/>
  <c r="BH18" i="58"/>
  <c r="BH9" i="58" s="1"/>
  <c r="AP36" i="58"/>
  <c r="N46" i="58"/>
  <c r="BY55" i="58"/>
  <c r="AP55" i="58"/>
  <c r="T13" i="58"/>
  <c r="T11" i="58" s="1"/>
  <c r="H18" i="58"/>
  <c r="AE18" i="58"/>
  <c r="AE9" i="58" s="1"/>
  <c r="AX18" i="58"/>
  <c r="AV27" i="58"/>
  <c r="BB18" i="58"/>
  <c r="BI70" i="58"/>
  <c r="BI68" i="58" s="1"/>
  <c r="AG18" i="58"/>
  <c r="AG9" i="58" s="1"/>
  <c r="BV5" i="58" s="1"/>
  <c r="AO26" i="58"/>
  <c r="BF18" i="58"/>
  <c r="BF9" i="58" s="1"/>
  <c r="BJ18" i="58"/>
  <c r="BJ9" i="58" s="1"/>
  <c r="BN18" i="58"/>
  <c r="BN9" i="58" s="1"/>
  <c r="BV18" i="58"/>
  <c r="BV9" i="58" s="1"/>
  <c r="AJ45" i="58"/>
  <c r="BI46" i="58"/>
  <c r="AJ63" i="58"/>
  <c r="AV57" i="58"/>
  <c r="BC68" i="58"/>
  <c r="BI57" i="58"/>
  <c r="AA68" i="58"/>
  <c r="AO65" i="58"/>
  <c r="C68" i="58"/>
  <c r="AX68" i="58"/>
  <c r="BB68" i="58"/>
  <c r="BF68" i="58"/>
  <c r="AV70" i="58"/>
  <c r="AP40" i="58" l="1"/>
  <c r="BC18" i="58"/>
  <c r="BC9" i="58" s="1"/>
  <c r="T65" i="58"/>
  <c r="BY65" i="58"/>
  <c r="AV68" i="58"/>
  <c r="AP63" i="58"/>
  <c r="BY45" i="58"/>
  <c r="AP45" i="58"/>
  <c r="AV18" i="58"/>
  <c r="AV11" i="58"/>
  <c r="BI18" i="58"/>
  <c r="BI9" i="58" s="1"/>
  <c r="AR9" i="58"/>
  <c r="V676" i="32" l="1"/>
  <c r="V677" i="32"/>
  <c r="V678" i="32"/>
  <c r="V668" i="32"/>
  <c r="V669" i="32"/>
  <c r="V670" i="32"/>
  <c r="V671" i="32"/>
  <c r="V672" i="32"/>
  <c r="V673" i="32"/>
  <c r="V660" i="32"/>
  <c r="V661" i="32"/>
  <c r="V662" i="32"/>
  <c r="V663" i="32"/>
  <c r="V664" i="32"/>
  <c r="V665" i="32"/>
  <c r="V651" i="32"/>
  <c r="V652" i="32"/>
  <c r="V653" i="32"/>
  <c r="V654" i="32"/>
  <c r="V655" i="32"/>
  <c r="V656" i="32"/>
  <c r="V657" i="32"/>
  <c r="V261" i="32"/>
  <c r="V262" i="32"/>
  <c r="V263" i="32"/>
  <c r="V264" i="32"/>
  <c r="V266" i="32"/>
  <c r="V255" i="32"/>
  <c r="V256" i="32"/>
  <c r="V257" i="32"/>
  <c r="V259" i="32"/>
  <c r="V254" i="32"/>
  <c r="T255" i="32"/>
  <c r="T256" i="32"/>
  <c r="T257" i="32"/>
  <c r="T259" i="32"/>
  <c r="T254" i="32"/>
  <c r="V226" i="32"/>
  <c r="V227" i="32"/>
  <c r="V228" i="32"/>
  <c r="V230" i="32"/>
  <c r="V225" i="32"/>
  <c r="T226" i="32"/>
  <c r="T227" i="32"/>
  <c r="T228" i="32"/>
  <c r="T230" i="32"/>
  <c r="T225" i="32"/>
  <c r="V196" i="32"/>
  <c r="V197" i="32"/>
  <c r="V198" i="32"/>
  <c r="V200" i="32"/>
  <c r="V195" i="32"/>
  <c r="T196" i="32"/>
  <c r="T197" i="32"/>
  <c r="T198" i="32"/>
  <c r="T200" i="32"/>
  <c r="T195" i="32"/>
  <c r="V136" i="32"/>
  <c r="V137" i="32"/>
  <c r="V138" i="32"/>
  <c r="V140" i="32"/>
  <c r="V135" i="32"/>
  <c r="T136" i="32"/>
  <c r="T137" i="32"/>
  <c r="T138" i="32"/>
  <c r="T140" i="32"/>
  <c r="T135" i="32"/>
  <c r="V108" i="32"/>
  <c r="V109" i="32"/>
  <c r="V110" i="32"/>
  <c r="V112" i="32"/>
  <c r="V107" i="32"/>
  <c r="T108" i="32"/>
  <c r="T109" i="32"/>
  <c r="T110" i="32"/>
  <c r="T112" i="32"/>
  <c r="T107" i="32"/>
  <c r="V80" i="32"/>
  <c r="V81" i="32"/>
  <c r="V82" i="32"/>
  <c r="V84" i="32"/>
  <c r="V79" i="32"/>
  <c r="T80" i="32"/>
  <c r="T81" i="32"/>
  <c r="T82" i="32"/>
  <c r="T84" i="32"/>
  <c r="T79" i="32"/>
  <c r="U58" i="32"/>
  <c r="V52" i="32"/>
  <c r="V53" i="32"/>
  <c r="V54" i="32"/>
  <c r="V56" i="32"/>
  <c r="V51" i="32"/>
  <c r="T52" i="32"/>
  <c r="T53" i="32"/>
  <c r="T54" i="32"/>
  <c r="T56" i="32"/>
  <c r="T51" i="32"/>
  <c r="V42" i="32"/>
  <c r="V43" i="32"/>
  <c r="V44" i="32"/>
  <c r="V46" i="32"/>
  <c r="V47" i="32"/>
  <c r="V48" i="32"/>
  <c r="V49" i="32"/>
  <c r="V41" i="32"/>
  <c r="CB65" i="58" l="1"/>
  <c r="C70" i="47" l="1"/>
  <c r="V329" i="32" l="1"/>
  <c r="T329" i="32"/>
  <c r="R329" i="32"/>
  <c r="P329" i="32"/>
  <c r="N329" i="32"/>
  <c r="L329" i="32"/>
  <c r="J329" i="32"/>
  <c r="H329" i="32"/>
  <c r="F329" i="32"/>
  <c r="D329" i="32"/>
  <c r="B329" i="32"/>
  <c r="V325" i="32"/>
  <c r="BZ40" i="51" s="1"/>
  <c r="T325" i="32"/>
  <c r="BZ40" i="33" s="1"/>
  <c r="R325" i="32"/>
  <c r="BZ40" i="58" s="1"/>
  <c r="P325" i="32"/>
  <c r="BZ40" i="59" s="1"/>
  <c r="N325" i="32"/>
  <c r="BZ40" i="60" s="1"/>
  <c r="L325" i="32"/>
  <c r="BZ40" i="61" s="1"/>
  <c r="J325" i="32"/>
  <c r="BZ40" i="62" s="1"/>
  <c r="H325" i="32"/>
  <c r="BZ40" i="64" s="1"/>
  <c r="F325" i="32"/>
  <c r="BZ40" i="65" s="1"/>
  <c r="D325" i="32"/>
  <c r="BZ40" i="66" s="1"/>
  <c r="B325" i="32"/>
  <c r="V315" i="32"/>
  <c r="T315" i="32"/>
  <c r="R315" i="32"/>
  <c r="P315" i="32"/>
  <c r="N315" i="32"/>
  <c r="L315" i="32"/>
  <c r="J315" i="32"/>
  <c r="H315" i="32"/>
  <c r="F315" i="32"/>
  <c r="D315" i="32"/>
  <c r="B315" i="32"/>
  <c r="V336" i="32"/>
  <c r="T336" i="32"/>
  <c r="R336" i="32"/>
  <c r="P336" i="32"/>
  <c r="N336" i="32"/>
  <c r="L336" i="32"/>
  <c r="J336" i="32"/>
  <c r="H336" i="32"/>
  <c r="F336" i="32"/>
  <c r="D336" i="32"/>
  <c r="B336" i="32"/>
  <c r="V310" i="32"/>
  <c r="BZ45" i="51" s="1"/>
  <c r="T310" i="32"/>
  <c r="BZ45" i="33" s="1"/>
  <c r="R310" i="32"/>
  <c r="BZ45" i="58" s="1"/>
  <c r="P310" i="32"/>
  <c r="BZ45" i="59" s="1"/>
  <c r="N310" i="32"/>
  <c r="BZ45" i="60" s="1"/>
  <c r="L310" i="32"/>
  <c r="BZ45" i="61" s="1"/>
  <c r="J310" i="32"/>
  <c r="BZ45" i="62" s="1"/>
  <c r="H310" i="32"/>
  <c r="BZ45" i="64" s="1"/>
  <c r="F310" i="32"/>
  <c r="BZ45" i="65" s="1"/>
  <c r="D310" i="32"/>
  <c r="BZ45" i="66" s="1"/>
  <c r="B310" i="32"/>
  <c r="V301" i="32"/>
  <c r="T301" i="32"/>
  <c r="R301" i="32"/>
  <c r="P301" i="32"/>
  <c r="N301" i="32"/>
  <c r="L301" i="32"/>
  <c r="J301" i="32"/>
  <c r="H301" i="32"/>
  <c r="F301" i="32"/>
  <c r="D301" i="32"/>
  <c r="B301" i="32"/>
  <c r="C14" i="5"/>
  <c r="D14" i="5"/>
  <c r="E14" i="5"/>
  <c r="F14" i="5"/>
  <c r="G14" i="5"/>
  <c r="H14" i="5"/>
  <c r="J14" i="5"/>
  <c r="K14" i="5"/>
  <c r="B14" i="5"/>
  <c r="BZ54" i="65" l="1"/>
  <c r="BZ52" i="65"/>
  <c r="BZ55" i="65"/>
  <c r="BZ53" i="65"/>
  <c r="BZ34" i="59"/>
  <c r="BZ33" i="59"/>
  <c r="BZ36" i="59"/>
  <c r="BZ32" i="59"/>
  <c r="BZ60" i="66"/>
  <c r="BZ62" i="66"/>
  <c r="BZ61" i="66"/>
  <c r="BZ59" i="66"/>
  <c r="BZ63" i="66"/>
  <c r="BZ25" i="66"/>
  <c r="BZ24" i="66"/>
  <c r="BZ26" i="66"/>
  <c r="BZ26" i="61"/>
  <c r="BZ24" i="61"/>
  <c r="BZ25" i="61"/>
  <c r="BZ63" i="60"/>
  <c r="BZ59" i="60"/>
  <c r="BZ62" i="60"/>
  <c r="BZ60" i="60"/>
  <c r="BZ61" i="60"/>
  <c r="BZ25" i="65"/>
  <c r="BZ24" i="65"/>
  <c r="BZ26" i="65"/>
  <c r="BZ25" i="60"/>
  <c r="BZ24" i="60"/>
  <c r="BZ26" i="60"/>
  <c r="BZ52" i="62"/>
  <c r="BZ55" i="62"/>
  <c r="BZ54" i="62"/>
  <c r="BZ53" i="62"/>
  <c r="BZ32" i="66"/>
  <c r="BZ33" i="66"/>
  <c r="BZ34" i="66"/>
  <c r="BZ36" i="66"/>
  <c r="BZ34" i="61"/>
  <c r="BZ33" i="61"/>
  <c r="BZ36" i="61"/>
  <c r="BZ32" i="61"/>
  <c r="BZ62" i="64"/>
  <c r="BZ61" i="64"/>
  <c r="BZ60" i="64"/>
  <c r="BZ63" i="64"/>
  <c r="BZ59" i="64"/>
  <c r="BZ60" i="59"/>
  <c r="BZ63" i="59"/>
  <c r="BZ59" i="59"/>
  <c r="BZ62" i="59"/>
  <c r="BZ61" i="59"/>
  <c r="BZ24" i="62"/>
  <c r="BZ26" i="62"/>
  <c r="BZ25" i="62"/>
  <c r="BZ53" i="60"/>
  <c r="BZ52" i="60"/>
  <c r="BZ55" i="60"/>
  <c r="BZ54" i="60"/>
  <c r="BZ33" i="64"/>
  <c r="BZ36" i="64"/>
  <c r="BZ32" i="64"/>
  <c r="BZ34" i="64"/>
  <c r="BZ60" i="61"/>
  <c r="BZ62" i="61"/>
  <c r="BZ63" i="61"/>
  <c r="BZ59" i="61"/>
  <c r="BZ61" i="61"/>
  <c r="BZ52" i="64"/>
  <c r="BZ55" i="64"/>
  <c r="BZ54" i="64"/>
  <c r="BZ53" i="64"/>
  <c r="BZ54" i="59"/>
  <c r="BZ53" i="59"/>
  <c r="BZ52" i="59"/>
  <c r="BZ55" i="59"/>
  <c r="BZ33" i="62"/>
  <c r="BZ36" i="62"/>
  <c r="BZ32" i="62"/>
  <c r="BZ34" i="62"/>
  <c r="BZ59" i="65"/>
  <c r="BZ63" i="65"/>
  <c r="BZ60" i="65"/>
  <c r="BZ61" i="65"/>
  <c r="BZ62" i="65"/>
  <c r="BZ24" i="64"/>
  <c r="BZ26" i="64"/>
  <c r="BZ25" i="64"/>
  <c r="BZ26" i="59"/>
  <c r="BZ25" i="59"/>
  <c r="BZ24" i="59"/>
  <c r="BZ54" i="66"/>
  <c r="BZ53" i="66"/>
  <c r="BZ52" i="66"/>
  <c r="BZ55" i="66"/>
  <c r="BZ54" i="61"/>
  <c r="BZ53" i="61"/>
  <c r="BZ52" i="61"/>
  <c r="BZ55" i="61"/>
  <c r="BZ32" i="65"/>
  <c r="BZ34" i="65"/>
  <c r="BZ33" i="65"/>
  <c r="BZ36" i="65"/>
  <c r="BZ34" i="60"/>
  <c r="BZ33" i="60"/>
  <c r="BZ32" i="60"/>
  <c r="BZ36" i="60"/>
  <c r="BZ62" i="62"/>
  <c r="BZ61" i="62"/>
  <c r="BZ63" i="62"/>
  <c r="BZ60" i="62"/>
  <c r="BZ59" i="62"/>
  <c r="BZ53" i="51"/>
  <c r="BZ54" i="51"/>
  <c r="BZ52" i="51"/>
  <c r="BZ55" i="51"/>
  <c r="BZ63" i="33"/>
  <c r="BZ59" i="33"/>
  <c r="BZ62" i="33"/>
  <c r="BZ61" i="33"/>
  <c r="BZ60" i="33"/>
  <c r="BZ25" i="33"/>
  <c r="BZ24" i="33"/>
  <c r="BZ26" i="33"/>
  <c r="BZ60" i="51"/>
  <c r="BZ63" i="51"/>
  <c r="BZ59" i="51"/>
  <c r="BZ62" i="51"/>
  <c r="BZ61" i="51"/>
  <c r="BZ53" i="33"/>
  <c r="BZ52" i="33"/>
  <c r="BZ55" i="33"/>
  <c r="BZ54" i="33"/>
  <c r="BZ36" i="51"/>
  <c r="BZ34" i="51"/>
  <c r="BZ33" i="51"/>
  <c r="BZ32" i="51"/>
  <c r="BZ26" i="51"/>
  <c r="BZ25" i="51"/>
  <c r="BZ24" i="51"/>
  <c r="BZ34" i="33"/>
  <c r="BZ33" i="33"/>
  <c r="BZ36" i="33"/>
  <c r="BZ32" i="33"/>
  <c r="BZ60" i="58"/>
  <c r="BZ63" i="58"/>
  <c r="BZ59" i="58"/>
  <c r="BZ62" i="58"/>
  <c r="BZ61" i="58"/>
  <c r="BZ26" i="58"/>
  <c r="BZ25" i="58"/>
  <c r="BZ24" i="58"/>
  <c r="BZ34" i="58"/>
  <c r="BZ36" i="58"/>
  <c r="BZ33" i="58"/>
  <c r="BZ32" i="58"/>
  <c r="BZ54" i="58"/>
  <c r="BZ53" i="58"/>
  <c r="BZ55" i="58"/>
  <c r="BZ52" i="58"/>
  <c r="T71" i="40"/>
  <c r="R71" i="40"/>
  <c r="V712" i="32"/>
  <c r="V713" i="32"/>
  <c r="V714" i="32"/>
  <c r="V715" i="32"/>
  <c r="V716" i="32"/>
  <c r="V717" i="32"/>
  <c r="V718" i="32"/>
  <c r="T712" i="32"/>
  <c r="T713" i="32"/>
  <c r="T714" i="32"/>
  <c r="T715" i="32"/>
  <c r="T716" i="32"/>
  <c r="T717" i="32"/>
  <c r="T718" i="32"/>
  <c r="K20" i="55"/>
  <c r="V711" i="32" s="1"/>
  <c r="J20" i="55"/>
  <c r="T711" i="32" s="1"/>
  <c r="V702" i="32" l="1"/>
  <c r="V703" i="32"/>
  <c r="V704" i="32"/>
  <c r="V705" i="32"/>
  <c r="V706" i="32"/>
  <c r="V707" i="32"/>
  <c r="V708" i="32"/>
  <c r="V709" i="32"/>
  <c r="BT65" i="51" s="1"/>
  <c r="V710" i="32"/>
  <c r="V719" i="32"/>
  <c r="V720" i="32"/>
  <c r="V701" i="32"/>
  <c r="AV65" i="51" s="1"/>
  <c r="T702" i="32"/>
  <c r="T703" i="32"/>
  <c r="T704" i="32"/>
  <c r="T705" i="32"/>
  <c r="T706" i="32"/>
  <c r="T707" i="32"/>
  <c r="T708" i="32"/>
  <c r="T709" i="32"/>
  <c r="BT65" i="33" s="1"/>
  <c r="T710" i="32"/>
  <c r="T719" i="32"/>
  <c r="T720" i="32"/>
  <c r="T701" i="32"/>
  <c r="AV65" i="33" s="1"/>
  <c r="Z65" i="51" l="1"/>
  <c r="V65" i="51"/>
  <c r="Y65" i="51"/>
  <c r="U65" i="51"/>
  <c r="AB65" i="51"/>
  <c r="X65" i="51"/>
  <c r="AC65" i="51"/>
  <c r="AA65" i="51"/>
  <c r="W65" i="51"/>
  <c r="Y65" i="33"/>
  <c r="U65" i="33"/>
  <c r="AB65" i="33"/>
  <c r="X65" i="33"/>
  <c r="AA65" i="33"/>
  <c r="W65" i="33"/>
  <c r="AC65" i="33"/>
  <c r="Z65" i="33"/>
  <c r="V65" i="33"/>
  <c r="AZ65" i="33"/>
  <c r="AW65" i="33"/>
  <c r="BB65" i="33"/>
  <c r="BA65" i="33"/>
  <c r="D65" i="33"/>
  <c r="D9" i="33" s="1"/>
  <c r="AS7" i="33" s="1"/>
  <c r="D7" i="33" s="1"/>
  <c r="AS5" i="33" s="1"/>
  <c r="AX65" i="33"/>
  <c r="AJ65" i="33"/>
  <c r="AO65" i="33"/>
  <c r="AY65" i="33"/>
  <c r="AZ65" i="51"/>
  <c r="AW65" i="51"/>
  <c r="BA65" i="51"/>
  <c r="D65" i="51"/>
  <c r="D9" i="51" s="1"/>
  <c r="AS7" i="51" s="1"/>
  <c r="D7" i="51" s="1"/>
  <c r="AS5" i="51" s="1"/>
  <c r="BB65" i="51"/>
  <c r="AJ65" i="51"/>
  <c r="AY65" i="51"/>
  <c r="AO65" i="51"/>
  <c r="AX65" i="51"/>
  <c r="V639" i="32"/>
  <c r="T639" i="32"/>
  <c r="V647" i="32"/>
  <c r="T647" i="32"/>
  <c r="T656" i="32"/>
  <c r="T664" i="32"/>
  <c r="T672" i="32"/>
  <c r="T677" i="32"/>
  <c r="T683" i="32"/>
  <c r="T689" i="32"/>
  <c r="P62" i="40"/>
  <c r="P56" i="40"/>
  <c r="P51" i="40"/>
  <c r="P43" i="40"/>
  <c r="P26" i="40"/>
  <c r="N68" i="40"/>
  <c r="N62" i="40"/>
  <c r="N56" i="40"/>
  <c r="N51" i="40"/>
  <c r="N43" i="40"/>
  <c r="N35" i="40"/>
  <c r="N26" i="40"/>
  <c r="L68" i="40"/>
  <c r="L62" i="40"/>
  <c r="L56" i="40"/>
  <c r="L51" i="40"/>
  <c r="L43" i="40"/>
  <c r="L35" i="40"/>
  <c r="L26" i="40"/>
  <c r="J68" i="40"/>
  <c r="J62" i="40"/>
  <c r="J56" i="40"/>
  <c r="J51" i="40"/>
  <c r="J43" i="40"/>
  <c r="J35" i="40"/>
  <c r="J26" i="40"/>
  <c r="H68" i="40"/>
  <c r="H62" i="40"/>
  <c r="H56" i="40"/>
  <c r="H51" i="40"/>
  <c r="H43" i="40"/>
  <c r="H35" i="40"/>
  <c r="H26" i="40"/>
  <c r="F68" i="40"/>
  <c r="F62" i="40"/>
  <c r="F56" i="40"/>
  <c r="F51" i="40"/>
  <c r="F43" i="40"/>
  <c r="D68" i="40"/>
  <c r="D62" i="40"/>
  <c r="D56" i="40"/>
  <c r="D51" i="40"/>
  <c r="D43" i="40"/>
  <c r="D35" i="40"/>
  <c r="F35" i="40"/>
  <c r="F26" i="40"/>
  <c r="D26" i="40"/>
  <c r="B68" i="40"/>
  <c r="B62" i="40"/>
  <c r="B56" i="40"/>
  <c r="B51" i="40"/>
  <c r="B43" i="40"/>
  <c r="B35" i="40"/>
  <c r="B26" i="40"/>
  <c r="T65" i="40"/>
  <c r="R65" i="40"/>
  <c r="T59" i="40"/>
  <c r="R59" i="40"/>
  <c r="T54" i="40"/>
  <c r="R54" i="40"/>
  <c r="T46" i="40"/>
  <c r="R46" i="40"/>
  <c r="T38" i="40"/>
  <c r="R38" i="40"/>
  <c r="T29" i="40"/>
  <c r="T20" i="40"/>
  <c r="R29" i="40"/>
  <c r="R20" i="40"/>
  <c r="BY65" i="33" l="1"/>
  <c r="T65" i="51"/>
  <c r="BY65" i="51"/>
  <c r="T65" i="33"/>
  <c r="W239" i="32"/>
  <c r="W210" i="32"/>
  <c r="W180" i="32"/>
  <c r="W148" i="32"/>
  <c r="W120" i="32"/>
  <c r="W92" i="32"/>
  <c r="W64" i="32"/>
  <c r="W36" i="32"/>
  <c r="V295" i="32"/>
  <c r="U239" i="32"/>
  <c r="U210" i="32"/>
  <c r="U180" i="32"/>
  <c r="U148" i="32"/>
  <c r="U120" i="32"/>
  <c r="U92" i="32"/>
  <c r="U64" i="32"/>
  <c r="U36" i="32"/>
  <c r="T295" i="32"/>
  <c r="W411" i="32" l="1"/>
  <c r="W410" i="32"/>
  <c r="W409" i="32"/>
  <c r="W408" i="32"/>
  <c r="W407" i="32"/>
  <c r="W406" i="32"/>
  <c r="W405" i="32"/>
  <c r="W404" i="32"/>
  <c r="W403" i="32"/>
  <c r="W402" i="32"/>
  <c r="W401" i="32"/>
  <c r="W400" i="32"/>
  <c r="W398" i="32"/>
  <c r="W397" i="32"/>
  <c r="W396" i="32"/>
  <c r="W395" i="32"/>
  <c r="W394" i="32"/>
  <c r="W393" i="32"/>
  <c r="W392" i="32"/>
  <c r="W391" i="32"/>
  <c r="W390" i="32"/>
  <c r="W389" i="32"/>
  <c r="W388" i="32"/>
  <c r="W387" i="32"/>
  <c r="W386" i="32"/>
  <c r="W385" i="32"/>
  <c r="W384" i="32"/>
  <c r="W383" i="32"/>
  <c r="W382" i="32"/>
  <c r="W381" i="32"/>
  <c r="W380" i="32"/>
  <c r="W379" i="32"/>
  <c r="W378" i="32"/>
  <c r="W377" i="32"/>
  <c r="W376" i="32"/>
  <c r="W375" i="32"/>
  <c r="W374" i="32"/>
  <c r="W373" i="32"/>
  <c r="W372" i="32"/>
  <c r="W371" i="32"/>
  <c r="W370" i="32"/>
  <c r="W369" i="32"/>
  <c r="W368" i="32"/>
  <c r="W367" i="32"/>
  <c r="W366" i="32"/>
  <c r="W365" i="32"/>
  <c r="W364" i="32"/>
  <c r="W363" i="32"/>
  <c r="W362" i="32"/>
  <c r="W361" i="32"/>
  <c r="W360" i="32"/>
  <c r="W359" i="32"/>
  <c r="W358" i="32"/>
  <c r="W357" i="32"/>
  <c r="W356" i="32"/>
  <c r="W355" i="32"/>
  <c r="W354" i="32"/>
  <c r="W353" i="32"/>
  <c r="W352" i="32"/>
  <c r="W351" i="32"/>
  <c r="W350" i="32"/>
  <c r="W349" i="32"/>
  <c r="W348" i="32"/>
  <c r="W347" i="32"/>
  <c r="W346" i="32"/>
  <c r="W345" i="32"/>
  <c r="V411" i="32"/>
  <c r="V410" i="32"/>
  <c r="V409" i="32"/>
  <c r="V408" i="32"/>
  <c r="V407" i="32"/>
  <c r="V406" i="32"/>
  <c r="V405" i="32"/>
  <c r="V404" i="32"/>
  <c r="V402" i="32"/>
  <c r="V401" i="32"/>
  <c r="V400" i="32"/>
  <c r="V398" i="32"/>
  <c r="V397" i="32"/>
  <c r="V396" i="32"/>
  <c r="V395" i="32"/>
  <c r="V394" i="32"/>
  <c r="V393" i="32"/>
  <c r="V392" i="32"/>
  <c r="V391" i="32"/>
  <c r="V390" i="32"/>
  <c r="V389" i="32"/>
  <c r="V388" i="32"/>
  <c r="V387" i="32"/>
  <c r="V386" i="32"/>
  <c r="V385" i="32"/>
  <c r="V384" i="32"/>
  <c r="V383" i="32"/>
  <c r="V382" i="32"/>
  <c r="V381" i="32"/>
  <c r="V380" i="32"/>
  <c r="V379" i="32"/>
  <c r="V378" i="32"/>
  <c r="V377" i="32"/>
  <c r="V376" i="32"/>
  <c r="V375" i="32"/>
  <c r="V374" i="32"/>
  <c r="V373" i="32"/>
  <c r="V372" i="32"/>
  <c r="V371" i="32"/>
  <c r="V370" i="32"/>
  <c r="V369" i="32"/>
  <c r="V368" i="32"/>
  <c r="V367" i="32"/>
  <c r="V366" i="32"/>
  <c r="V365" i="32"/>
  <c r="V364" i="32"/>
  <c r="V363" i="32"/>
  <c r="V362" i="32"/>
  <c r="V361" i="32"/>
  <c r="V360" i="32"/>
  <c r="V359" i="32"/>
  <c r="V358" i="32"/>
  <c r="V357" i="32"/>
  <c r="V356" i="32"/>
  <c r="V355" i="32"/>
  <c r="V354" i="32"/>
  <c r="V353" i="32"/>
  <c r="V352" i="32"/>
  <c r="AJ26" i="51" s="1"/>
  <c r="V351" i="32"/>
  <c r="V350" i="32"/>
  <c r="V349" i="32"/>
  <c r="V348" i="32"/>
  <c r="V347" i="32"/>
  <c r="V346" i="32"/>
  <c r="V345" i="32"/>
  <c r="U411" i="32"/>
  <c r="U410" i="32"/>
  <c r="U409" i="32"/>
  <c r="U408" i="32"/>
  <c r="U407" i="32"/>
  <c r="U406" i="32"/>
  <c r="U405" i="32"/>
  <c r="U404" i="32"/>
  <c r="U403" i="32"/>
  <c r="U402" i="32"/>
  <c r="U401" i="32"/>
  <c r="U400" i="32"/>
  <c r="U398" i="32"/>
  <c r="U397" i="32"/>
  <c r="U396" i="32"/>
  <c r="U395" i="32"/>
  <c r="U394" i="32"/>
  <c r="U393" i="32"/>
  <c r="U392" i="32"/>
  <c r="U391" i="32"/>
  <c r="U390" i="32"/>
  <c r="U389" i="32"/>
  <c r="U388" i="32"/>
  <c r="U387" i="32"/>
  <c r="U386" i="32"/>
  <c r="U385" i="32"/>
  <c r="U384" i="32"/>
  <c r="U383" i="32"/>
  <c r="U382" i="32"/>
  <c r="U381" i="32"/>
  <c r="U380" i="32"/>
  <c r="U379" i="32"/>
  <c r="U378" i="32"/>
  <c r="U377" i="32"/>
  <c r="U376" i="32"/>
  <c r="U375" i="32"/>
  <c r="U374" i="32"/>
  <c r="U373" i="32"/>
  <c r="U372" i="32"/>
  <c r="U371" i="32"/>
  <c r="U370" i="32"/>
  <c r="U369" i="32"/>
  <c r="U368" i="32"/>
  <c r="U367" i="32"/>
  <c r="U366" i="32"/>
  <c r="U365" i="32"/>
  <c r="U364" i="32"/>
  <c r="U363" i="32"/>
  <c r="U362" i="32"/>
  <c r="U361" i="32"/>
  <c r="U360" i="32"/>
  <c r="U359" i="32"/>
  <c r="U358" i="32"/>
  <c r="U357" i="32"/>
  <c r="U356" i="32"/>
  <c r="U355" i="32"/>
  <c r="U354" i="32"/>
  <c r="U353" i="32"/>
  <c r="U352" i="32"/>
  <c r="U351" i="32"/>
  <c r="U350" i="32"/>
  <c r="U349" i="32"/>
  <c r="U348" i="32"/>
  <c r="U347" i="32"/>
  <c r="U346" i="32"/>
  <c r="U345" i="32"/>
  <c r="T411" i="32"/>
  <c r="T410" i="32"/>
  <c r="T409" i="32"/>
  <c r="T408" i="32"/>
  <c r="T407" i="32"/>
  <c r="T406" i="32"/>
  <c r="T405" i="32"/>
  <c r="T402" i="32"/>
  <c r="T401" i="32"/>
  <c r="T400" i="32"/>
  <c r="T398" i="32"/>
  <c r="T397" i="32"/>
  <c r="T396" i="32"/>
  <c r="T395" i="32"/>
  <c r="T394" i="32"/>
  <c r="T393" i="32"/>
  <c r="T392" i="32"/>
  <c r="T391" i="32"/>
  <c r="T390" i="32"/>
  <c r="T389" i="32"/>
  <c r="T388" i="32"/>
  <c r="T387" i="32"/>
  <c r="T386" i="32"/>
  <c r="T385" i="32"/>
  <c r="T384" i="32"/>
  <c r="T383" i="32"/>
  <c r="T382" i="32"/>
  <c r="T381" i="32"/>
  <c r="T380" i="32"/>
  <c r="T379" i="32"/>
  <c r="T378" i="32"/>
  <c r="T377" i="32"/>
  <c r="T376" i="32"/>
  <c r="T375" i="32"/>
  <c r="T374" i="32"/>
  <c r="T373" i="32"/>
  <c r="T372" i="32"/>
  <c r="T371" i="32"/>
  <c r="T370" i="32"/>
  <c r="T369" i="32"/>
  <c r="T368" i="32"/>
  <c r="T367" i="32"/>
  <c r="T366" i="32"/>
  <c r="T365" i="32"/>
  <c r="T364" i="32"/>
  <c r="T363" i="32"/>
  <c r="T362" i="32"/>
  <c r="T361" i="32"/>
  <c r="T360" i="32"/>
  <c r="T359" i="32"/>
  <c r="T358" i="32"/>
  <c r="T357" i="32"/>
  <c r="T356" i="32"/>
  <c r="T355" i="32"/>
  <c r="T354" i="32"/>
  <c r="T353" i="32"/>
  <c r="T352" i="32"/>
  <c r="AJ26" i="33" s="1"/>
  <c r="T351" i="32"/>
  <c r="T350" i="32"/>
  <c r="T349" i="32"/>
  <c r="T348" i="32"/>
  <c r="T347" i="32"/>
  <c r="T346" i="32"/>
  <c r="T345" i="32"/>
  <c r="V698" i="32"/>
  <c r="V697" i="32"/>
  <c r="V696" i="32"/>
  <c r="V695" i="32"/>
  <c r="V694" i="32"/>
  <c r="V693" i="32"/>
  <c r="V692" i="32"/>
  <c r="V690" i="32"/>
  <c r="V688" i="32"/>
  <c r="V687" i="32"/>
  <c r="V686" i="32"/>
  <c r="V684" i="32"/>
  <c r="V682" i="32"/>
  <c r="V681" i="32"/>
  <c r="V680" i="32"/>
  <c r="V675" i="32"/>
  <c r="V667" i="32"/>
  <c r="V659" i="32"/>
  <c r="V650" i="32"/>
  <c r="V646" i="32"/>
  <c r="V645" i="32"/>
  <c r="V643" i="32"/>
  <c r="V637" i="32"/>
  <c r="V636" i="32"/>
  <c r="U71" i="51" s="1"/>
  <c r="V635" i="32"/>
  <c r="V293" i="32"/>
  <c r="V292" i="32"/>
  <c r="V291" i="32"/>
  <c r="V290" i="32"/>
  <c r="V289" i="32"/>
  <c r="V288" i="32"/>
  <c r="V285" i="32"/>
  <c r="T698" i="32"/>
  <c r="T697" i="32"/>
  <c r="T696" i="32"/>
  <c r="T695" i="32"/>
  <c r="T694" i="32"/>
  <c r="T693" i="32"/>
  <c r="T692" i="32"/>
  <c r="T690" i="32"/>
  <c r="T688" i="32"/>
  <c r="T687" i="32"/>
  <c r="T686" i="32"/>
  <c r="T684" i="32"/>
  <c r="T682" i="32"/>
  <c r="T681" i="32"/>
  <c r="T680" i="32"/>
  <c r="T678" i="32"/>
  <c r="T676" i="32"/>
  <c r="T675" i="32"/>
  <c r="T673" i="32"/>
  <c r="T671" i="32"/>
  <c r="T670" i="32"/>
  <c r="T669" i="32"/>
  <c r="T668" i="32"/>
  <c r="T667" i="32"/>
  <c r="T665" i="32"/>
  <c r="T663" i="32"/>
  <c r="T662" i="32"/>
  <c r="T661" i="32"/>
  <c r="T660" i="32"/>
  <c r="T659" i="32"/>
  <c r="T657" i="32"/>
  <c r="T655" i="32"/>
  <c r="T654" i="32"/>
  <c r="T653" i="32"/>
  <c r="T652" i="32"/>
  <c r="T651" i="32"/>
  <c r="T650" i="32"/>
  <c r="T646" i="32"/>
  <c r="T645" i="32"/>
  <c r="T643" i="32"/>
  <c r="T637" i="32"/>
  <c r="T636" i="32"/>
  <c r="U71" i="33" s="1"/>
  <c r="T635" i="32"/>
  <c r="T293" i="32"/>
  <c r="T292" i="32"/>
  <c r="T291" i="32"/>
  <c r="T290" i="32"/>
  <c r="T289" i="32"/>
  <c r="T288" i="32"/>
  <c r="T285" i="32"/>
  <c r="W281" i="32"/>
  <c r="W280" i="32"/>
  <c r="W279" i="32"/>
  <c r="W278" i="32"/>
  <c r="W277" i="32"/>
  <c r="W276" i="32"/>
  <c r="W275" i="32"/>
  <c r="U281" i="32"/>
  <c r="U280" i="32"/>
  <c r="U279" i="32"/>
  <c r="U278" i="32"/>
  <c r="U277" i="32"/>
  <c r="U276" i="32"/>
  <c r="U275" i="32"/>
  <c r="V630" i="32"/>
  <c r="V629" i="32"/>
  <c r="V628" i="32"/>
  <c r="V627" i="32"/>
  <c r="V626" i="32"/>
  <c r="V625" i="32"/>
  <c r="V623" i="32"/>
  <c r="V622" i="32"/>
  <c r="V620" i="32"/>
  <c r="V619" i="32"/>
  <c r="V618" i="32"/>
  <c r="V616" i="32"/>
  <c r="V615" i="32"/>
  <c r="V614" i="32"/>
  <c r="V613" i="32"/>
  <c r="V612" i="32"/>
  <c r="V610" i="32"/>
  <c r="V609" i="32"/>
  <c r="V606" i="32"/>
  <c r="V605" i="32"/>
  <c r="V604" i="32"/>
  <c r="V603" i="32"/>
  <c r="W48" i="51" s="1"/>
  <c r="V602" i="32"/>
  <c r="V48" i="51" s="1"/>
  <c r="V601" i="32"/>
  <c r="V599" i="32"/>
  <c r="V598" i="32"/>
  <c r="V597" i="32"/>
  <c r="V596" i="32"/>
  <c r="V594" i="32"/>
  <c r="V593" i="32"/>
  <c r="V592" i="32"/>
  <c r="V591" i="32"/>
  <c r="V590" i="32"/>
  <c r="V589" i="32"/>
  <c r="V588" i="32"/>
  <c r="V586" i="32"/>
  <c r="V584" i="32"/>
  <c r="V583" i="32"/>
  <c r="V582" i="32"/>
  <c r="V581" i="32"/>
  <c r="V579" i="32"/>
  <c r="V578" i="32"/>
  <c r="V577" i="32"/>
  <c r="V576" i="32"/>
  <c r="V575" i="32"/>
  <c r="V574" i="32"/>
  <c r="V573" i="32"/>
  <c r="V572" i="32"/>
  <c r="V571" i="32"/>
  <c r="V570" i="32"/>
  <c r="V569" i="32"/>
  <c r="V568" i="32"/>
  <c r="V567" i="32"/>
  <c r="V566" i="32"/>
  <c r="V560" i="32"/>
  <c r="V559" i="32"/>
  <c r="V558" i="32"/>
  <c r="V556" i="32"/>
  <c r="V555" i="32"/>
  <c r="V554" i="32"/>
  <c r="V553" i="32"/>
  <c r="V552" i="32"/>
  <c r="V551" i="32"/>
  <c r="V549" i="32"/>
  <c r="AB39" i="51" s="1"/>
  <c r="V548" i="32"/>
  <c r="V546" i="32"/>
  <c r="V545" i="32"/>
  <c r="V544" i="32"/>
  <c r="V543" i="32"/>
  <c r="V542" i="32"/>
  <c r="V541" i="32"/>
  <c r="V540" i="32"/>
  <c r="V537" i="32"/>
  <c r="V536" i="32"/>
  <c r="X38" i="51" s="1"/>
  <c r="V535" i="32"/>
  <c r="V534" i="32"/>
  <c r="V38" i="51" s="1"/>
  <c r="V533" i="32"/>
  <c r="V532" i="32"/>
  <c r="V531" i="32"/>
  <c r="V530" i="32"/>
  <c r="V529" i="32"/>
  <c r="V528" i="32"/>
  <c r="V526" i="32"/>
  <c r="V525" i="32"/>
  <c r="V524" i="32"/>
  <c r="V523" i="32"/>
  <c r="V522" i="32"/>
  <c r="V521" i="32"/>
  <c r="V519" i="32"/>
  <c r="V518" i="32"/>
  <c r="V512" i="32"/>
  <c r="V511" i="32"/>
  <c r="V510" i="32"/>
  <c r="V508" i="32"/>
  <c r="V507" i="32"/>
  <c r="V506" i="32"/>
  <c r="V505" i="32"/>
  <c r="V504" i="32"/>
  <c r="V502" i="32"/>
  <c r="V501" i="32"/>
  <c r="V498" i="32"/>
  <c r="V497" i="32"/>
  <c r="Y29" i="51" s="1"/>
  <c r="V496" i="32"/>
  <c r="V495" i="32"/>
  <c r="V494" i="32"/>
  <c r="V493" i="32"/>
  <c r="V491" i="32"/>
  <c r="V490" i="32"/>
  <c r="V489" i="32"/>
  <c r="V488" i="32"/>
  <c r="V486" i="32"/>
  <c r="V485" i="32"/>
  <c r="V484" i="32"/>
  <c r="V483" i="32"/>
  <c r="V482" i="32"/>
  <c r="V480" i="32"/>
  <c r="V479" i="32"/>
  <c r="V477" i="32"/>
  <c r="V476" i="32"/>
  <c r="V473" i="32"/>
  <c r="V472" i="32"/>
  <c r="V469" i="32"/>
  <c r="V468" i="32"/>
  <c r="V463" i="32"/>
  <c r="V462" i="32"/>
  <c r="V461" i="32"/>
  <c r="V460" i="32"/>
  <c r="V459" i="32"/>
  <c r="V458" i="32"/>
  <c r="V457" i="32"/>
  <c r="V456" i="32"/>
  <c r="V453" i="32"/>
  <c r="V452" i="32"/>
  <c r="V449" i="32"/>
  <c r="V448" i="32"/>
  <c r="V447" i="32"/>
  <c r="V446" i="32"/>
  <c r="V445" i="32"/>
  <c r="V444" i="32"/>
  <c r="V443" i="32"/>
  <c r="V442" i="32"/>
  <c r="V441" i="32"/>
  <c r="V440" i="32"/>
  <c r="V437" i="32"/>
  <c r="V436" i="32"/>
  <c r="V435" i="32"/>
  <c r="V434" i="32"/>
  <c r="V433" i="32"/>
  <c r="V432" i="32"/>
  <c r="V431" i="32"/>
  <c r="V430" i="32"/>
  <c r="V343" i="32"/>
  <c r="V342" i="32"/>
  <c r="V341" i="32"/>
  <c r="V340" i="32"/>
  <c r="V339" i="32"/>
  <c r="V335" i="32"/>
  <c r="V334" i="32"/>
  <c r="V333" i="32"/>
  <c r="V332" i="32"/>
  <c r="V331" i="32"/>
  <c r="V327" i="32"/>
  <c r="V324" i="32"/>
  <c r="V323" i="32"/>
  <c r="V322" i="32"/>
  <c r="V321" i="32"/>
  <c r="V320" i="32"/>
  <c r="V319" i="32"/>
  <c r="V318" i="32"/>
  <c r="V313" i="32"/>
  <c r="V312" i="32"/>
  <c r="V307" i="32"/>
  <c r="V306" i="32"/>
  <c r="V305" i="32"/>
  <c r="V304" i="32"/>
  <c r="V303" i="32"/>
  <c r="T630" i="32"/>
  <c r="T629" i="32"/>
  <c r="T628" i="32"/>
  <c r="T627" i="32"/>
  <c r="T626" i="32"/>
  <c r="T625" i="32"/>
  <c r="T623" i="32"/>
  <c r="T622" i="32"/>
  <c r="T620" i="32"/>
  <c r="T619" i="32"/>
  <c r="T618" i="32"/>
  <c r="T616" i="32"/>
  <c r="T615" i="32"/>
  <c r="T614" i="32"/>
  <c r="T613" i="32"/>
  <c r="T612" i="32"/>
  <c r="T610" i="32"/>
  <c r="T609" i="32"/>
  <c r="T606" i="32"/>
  <c r="T605" i="32"/>
  <c r="T604" i="32"/>
  <c r="T603" i="32"/>
  <c r="W48" i="33" s="1"/>
  <c r="T602" i="32"/>
  <c r="V48" i="33" s="1"/>
  <c r="T601" i="32"/>
  <c r="T599" i="32"/>
  <c r="T598" i="32"/>
  <c r="T597" i="32"/>
  <c r="T596" i="32"/>
  <c r="T594" i="32"/>
  <c r="T593" i="32"/>
  <c r="T592" i="32"/>
  <c r="T591" i="32"/>
  <c r="T590" i="32"/>
  <c r="T589" i="32"/>
  <c r="T588" i="32"/>
  <c r="T586" i="32"/>
  <c r="T584" i="32"/>
  <c r="T583" i="32"/>
  <c r="T582" i="32"/>
  <c r="T581" i="32"/>
  <c r="T579" i="32"/>
  <c r="T578" i="32"/>
  <c r="T577" i="32"/>
  <c r="T576" i="32"/>
  <c r="T575" i="32"/>
  <c r="T574" i="32"/>
  <c r="T573" i="32"/>
  <c r="T572" i="32"/>
  <c r="T571" i="32"/>
  <c r="T570" i="32"/>
  <c r="T569" i="32"/>
  <c r="T568" i="32"/>
  <c r="T567" i="32"/>
  <c r="T566" i="32"/>
  <c r="T560" i="32"/>
  <c r="T559" i="32"/>
  <c r="T558" i="32"/>
  <c r="T556" i="32"/>
  <c r="T555" i="32"/>
  <c r="T554" i="32"/>
  <c r="T553" i="32"/>
  <c r="T552" i="32"/>
  <c r="T551" i="32"/>
  <c r="T549" i="32"/>
  <c r="AB39" i="33" s="1"/>
  <c r="T548" i="32"/>
  <c r="T546" i="32"/>
  <c r="T545" i="32"/>
  <c r="T544" i="32"/>
  <c r="T543" i="32"/>
  <c r="T542" i="32"/>
  <c r="T541" i="32"/>
  <c r="T540" i="32"/>
  <c r="T537" i="32"/>
  <c r="T536" i="32"/>
  <c r="X38" i="33" s="1"/>
  <c r="T535" i="32"/>
  <c r="T534" i="32"/>
  <c r="V38" i="33" s="1"/>
  <c r="T533" i="32"/>
  <c r="T532" i="32"/>
  <c r="T531" i="32"/>
  <c r="T530" i="32"/>
  <c r="T529" i="32"/>
  <c r="T528" i="32"/>
  <c r="T526" i="32"/>
  <c r="T525" i="32"/>
  <c r="T524" i="32"/>
  <c r="T523" i="32"/>
  <c r="T522" i="32"/>
  <c r="T521" i="32"/>
  <c r="T519" i="32"/>
  <c r="T518" i="32"/>
  <c r="T512" i="32"/>
  <c r="T511" i="32"/>
  <c r="T510" i="32"/>
  <c r="T508" i="32"/>
  <c r="T507" i="32"/>
  <c r="T506" i="32"/>
  <c r="T505" i="32"/>
  <c r="T504" i="32"/>
  <c r="T502" i="32"/>
  <c r="T501" i="32"/>
  <c r="T498" i="32"/>
  <c r="T497" i="32"/>
  <c r="Y29" i="33" s="1"/>
  <c r="T496" i="32"/>
  <c r="T495" i="32"/>
  <c r="T494" i="32"/>
  <c r="T493" i="32"/>
  <c r="T491" i="32"/>
  <c r="T490" i="32"/>
  <c r="T489" i="32"/>
  <c r="T488" i="32"/>
  <c r="T486" i="32"/>
  <c r="T485" i="32"/>
  <c r="T484" i="32"/>
  <c r="T483" i="32"/>
  <c r="T482" i="32"/>
  <c r="T480" i="32"/>
  <c r="T479" i="32"/>
  <c r="T477" i="32"/>
  <c r="T476" i="32"/>
  <c r="T473" i="32"/>
  <c r="T472" i="32"/>
  <c r="T469" i="32"/>
  <c r="T468" i="32"/>
  <c r="T463" i="32"/>
  <c r="T462" i="32"/>
  <c r="T461" i="32"/>
  <c r="T460" i="32"/>
  <c r="T459" i="32"/>
  <c r="T458" i="32"/>
  <c r="T457" i="32"/>
  <c r="T456" i="32"/>
  <c r="T453" i="32"/>
  <c r="T452" i="32"/>
  <c r="T449" i="32"/>
  <c r="T448" i="32"/>
  <c r="T447" i="32"/>
  <c r="T446" i="32"/>
  <c r="T445" i="32"/>
  <c r="T444" i="32"/>
  <c r="T443" i="32"/>
  <c r="T442" i="32"/>
  <c r="T441" i="32"/>
  <c r="T440" i="32"/>
  <c r="T437" i="32"/>
  <c r="T436" i="32"/>
  <c r="T435" i="32"/>
  <c r="T434" i="32"/>
  <c r="T433" i="32"/>
  <c r="T432" i="32"/>
  <c r="T431" i="32"/>
  <c r="T430" i="32"/>
  <c r="T343" i="32"/>
  <c r="T342" i="32"/>
  <c r="T341" i="32"/>
  <c r="T340" i="32"/>
  <c r="T339" i="32"/>
  <c r="T335" i="32"/>
  <c r="T334" i="32"/>
  <c r="T333" i="32"/>
  <c r="T332" i="32"/>
  <c r="T331" i="32"/>
  <c r="T327" i="32"/>
  <c r="T324" i="32"/>
  <c r="T323" i="32"/>
  <c r="T322" i="32"/>
  <c r="T321" i="32"/>
  <c r="T320" i="32"/>
  <c r="T319" i="32"/>
  <c r="T318" i="32"/>
  <c r="T313" i="32"/>
  <c r="T312" i="32"/>
  <c r="T307" i="32"/>
  <c r="T306" i="32"/>
  <c r="T305" i="32"/>
  <c r="T304" i="32"/>
  <c r="T303" i="32"/>
  <c r="T266" i="32"/>
  <c r="T264" i="32"/>
  <c r="T263" i="32"/>
  <c r="T262" i="32"/>
  <c r="T261" i="32"/>
  <c r="W238" i="32"/>
  <c r="W237" i="32"/>
  <c r="W236" i="32"/>
  <c r="W232" i="32"/>
  <c r="W209" i="32"/>
  <c r="W208" i="32"/>
  <c r="W204" i="32"/>
  <c r="W202" i="32"/>
  <c r="W201" i="32"/>
  <c r="W179" i="32"/>
  <c r="W178" i="32"/>
  <c r="W177" i="32"/>
  <c r="W176" i="32"/>
  <c r="W175" i="32"/>
  <c r="W170" i="32"/>
  <c r="V427" i="32"/>
  <c r="V425" i="32"/>
  <c r="V424" i="32"/>
  <c r="V422" i="32"/>
  <c r="AB6" i="51" s="1"/>
  <c r="V421" i="32"/>
  <c r="AA6" i="51" s="1"/>
  <c r="V420" i="32"/>
  <c r="Z6" i="51" s="1"/>
  <c r="V419" i="32"/>
  <c r="U6" i="51" s="1"/>
  <c r="V416" i="32"/>
  <c r="V413" i="32"/>
  <c r="V252" i="32"/>
  <c r="V251" i="32"/>
  <c r="V250" i="32"/>
  <c r="V249" i="32"/>
  <c r="V247" i="32"/>
  <c r="V246" i="32"/>
  <c r="V245" i="32"/>
  <c r="V244" i="32"/>
  <c r="V223" i="32"/>
  <c r="V222" i="32"/>
  <c r="V221" i="32"/>
  <c r="V220" i="32"/>
  <c r="V218" i="32"/>
  <c r="V217" i="32"/>
  <c r="V216" i="32"/>
  <c r="V215" i="32"/>
  <c r="V193" i="32"/>
  <c r="V192" i="32"/>
  <c r="V191" i="32"/>
  <c r="V190" i="32"/>
  <c r="V188" i="32"/>
  <c r="V187" i="32"/>
  <c r="V186" i="32"/>
  <c r="V185" i="32"/>
  <c r="T427" i="32"/>
  <c r="T425" i="32"/>
  <c r="T424" i="32"/>
  <c r="T422" i="32"/>
  <c r="AB6" i="33" s="1"/>
  <c r="T421" i="32"/>
  <c r="AA6" i="33" s="1"/>
  <c r="T420" i="32"/>
  <c r="Z6" i="33" s="1"/>
  <c r="T419" i="32"/>
  <c r="U6" i="33" s="1"/>
  <c r="T416" i="32"/>
  <c r="T413" i="32"/>
  <c r="T252" i="32"/>
  <c r="T251" i="32"/>
  <c r="T250" i="32"/>
  <c r="T249" i="32"/>
  <c r="T247" i="32"/>
  <c r="T246" i="32"/>
  <c r="T245" i="32"/>
  <c r="T244" i="32"/>
  <c r="T223" i="32"/>
  <c r="T222" i="32"/>
  <c r="T221" i="32"/>
  <c r="T220" i="32"/>
  <c r="T218" i="32"/>
  <c r="T217" i="32"/>
  <c r="T216" i="32"/>
  <c r="T215" i="32"/>
  <c r="T193" i="32"/>
  <c r="T192" i="32"/>
  <c r="T191" i="32"/>
  <c r="T190" i="32"/>
  <c r="T188" i="32"/>
  <c r="T187" i="32"/>
  <c r="T186" i="32"/>
  <c r="T185" i="32"/>
  <c r="U238" i="32"/>
  <c r="U237" i="32"/>
  <c r="U236" i="32"/>
  <c r="U232" i="32"/>
  <c r="U209" i="32"/>
  <c r="U208" i="32"/>
  <c r="U204" i="32"/>
  <c r="U202" i="32"/>
  <c r="U201" i="32"/>
  <c r="U179" i="32"/>
  <c r="U178" i="32"/>
  <c r="U177" i="32"/>
  <c r="U176" i="32"/>
  <c r="U175" i="32"/>
  <c r="U170" i="32"/>
  <c r="W147" i="32"/>
  <c r="W146" i="32"/>
  <c r="W145" i="32"/>
  <c r="W144" i="32"/>
  <c r="W143" i="32"/>
  <c r="W142" i="32"/>
  <c r="W119" i="32"/>
  <c r="W118" i="32"/>
  <c r="W117" i="32"/>
  <c r="W116" i="32"/>
  <c r="W115" i="32"/>
  <c r="W114" i="32"/>
  <c r="W91" i="32"/>
  <c r="W90" i="32"/>
  <c r="W86" i="32"/>
  <c r="W63" i="32"/>
  <c r="W62" i="32"/>
  <c r="W58" i="32"/>
  <c r="W35" i="32"/>
  <c r="W34" i="32"/>
  <c r="W29" i="32"/>
  <c r="V161" i="32"/>
  <c r="V160" i="32"/>
  <c r="V159" i="32"/>
  <c r="V158" i="32"/>
  <c r="V156" i="32"/>
  <c r="V155" i="32"/>
  <c r="V154" i="32"/>
  <c r="V153" i="32"/>
  <c r="V133" i="32"/>
  <c r="V132" i="32"/>
  <c r="V131" i="32"/>
  <c r="V130" i="32"/>
  <c r="V128" i="32"/>
  <c r="V127" i="32"/>
  <c r="V126" i="32"/>
  <c r="V125" i="32"/>
  <c r="V105" i="32"/>
  <c r="V104" i="32"/>
  <c r="V103" i="32"/>
  <c r="V102" i="32"/>
  <c r="V100" i="32"/>
  <c r="V99" i="32"/>
  <c r="V98" i="32"/>
  <c r="V97" i="32"/>
  <c r="V77" i="32"/>
  <c r="V76" i="32"/>
  <c r="V75" i="32"/>
  <c r="V74" i="32"/>
  <c r="V72" i="32"/>
  <c r="V71" i="32"/>
  <c r="V70" i="32"/>
  <c r="V69" i="32"/>
  <c r="U147" i="32"/>
  <c r="U146" i="32"/>
  <c r="U145" i="32"/>
  <c r="U144" i="32"/>
  <c r="U143" i="32"/>
  <c r="U142" i="32"/>
  <c r="U119" i="32"/>
  <c r="U118" i="32"/>
  <c r="U117" i="32"/>
  <c r="U116" i="32"/>
  <c r="U115" i="32"/>
  <c r="U114" i="32"/>
  <c r="U91" i="32"/>
  <c r="U90" i="32"/>
  <c r="U86" i="32"/>
  <c r="U63" i="32"/>
  <c r="U62" i="32"/>
  <c r="U35" i="32"/>
  <c r="U34" i="32"/>
  <c r="U29" i="32"/>
  <c r="T161" i="32"/>
  <c r="T160" i="32"/>
  <c r="T159" i="32"/>
  <c r="T158" i="32"/>
  <c r="T156" i="32"/>
  <c r="T155" i="32"/>
  <c r="T154" i="32"/>
  <c r="T153" i="32"/>
  <c r="T133" i="32"/>
  <c r="T132" i="32"/>
  <c r="T131" i="32"/>
  <c r="T130" i="32"/>
  <c r="T128" i="32"/>
  <c r="T127" i="32"/>
  <c r="T126" i="32"/>
  <c r="T125" i="32"/>
  <c r="T105" i="32"/>
  <c r="T104" i="32"/>
  <c r="T103" i="32"/>
  <c r="T102" i="32"/>
  <c r="T100" i="32"/>
  <c r="T99" i="32"/>
  <c r="T98" i="32"/>
  <c r="T97" i="32"/>
  <c r="T77" i="32"/>
  <c r="T76" i="32"/>
  <c r="T75" i="32"/>
  <c r="T74" i="32"/>
  <c r="T72" i="32"/>
  <c r="T71" i="32"/>
  <c r="T70" i="32"/>
  <c r="T69" i="32"/>
  <c r="T49" i="32"/>
  <c r="T48" i="32"/>
  <c r="T47" i="32"/>
  <c r="T46" i="32"/>
  <c r="T44" i="32"/>
  <c r="T43" i="32"/>
  <c r="T42" i="32"/>
  <c r="T41" i="32"/>
  <c r="T6" i="51" l="1"/>
  <c r="AJ6" i="51" s="1"/>
  <c r="BY26" i="51"/>
  <c r="AP26" i="51"/>
  <c r="BR63" i="51"/>
  <c r="AO63" i="51" s="1"/>
  <c r="BY63" i="51" s="1"/>
  <c r="BR63" i="33"/>
  <c r="AO63" i="33" s="1"/>
  <c r="BY63" i="33" s="1"/>
  <c r="T6" i="33"/>
  <c r="AJ6" i="33" s="1"/>
  <c r="AP26" i="33"/>
  <c r="BY26" i="33"/>
  <c r="S514" i="32"/>
  <c r="I144" i="43" s="1"/>
  <c r="Q514" i="32"/>
  <c r="H144" i="43" s="1"/>
  <c r="O514" i="32"/>
  <c r="G144" i="43" s="1"/>
  <c r="M514" i="32"/>
  <c r="F144" i="43" s="1"/>
  <c r="K514" i="32"/>
  <c r="E144" i="43" s="1"/>
  <c r="I514" i="32"/>
  <c r="D144" i="43" s="1"/>
  <c r="G514" i="32"/>
  <c r="C144" i="43" s="1"/>
  <c r="E514" i="32"/>
  <c r="B144" i="43" s="1"/>
  <c r="S465" i="32"/>
  <c r="I95" i="43" s="1"/>
  <c r="Q465" i="32"/>
  <c r="H95" i="43" s="1"/>
  <c r="O465" i="32"/>
  <c r="G95" i="43" s="1"/>
  <c r="M465" i="32"/>
  <c r="F95" i="43" s="1"/>
  <c r="K465" i="32"/>
  <c r="E95" i="43" s="1"/>
  <c r="I465" i="32"/>
  <c r="D95" i="43" s="1"/>
  <c r="G465" i="32"/>
  <c r="C95" i="43" s="1"/>
  <c r="E465" i="32"/>
  <c r="B95" i="43" s="1"/>
  <c r="W282" i="32" l="1"/>
  <c r="V294" i="32"/>
  <c r="V642" i="32"/>
  <c r="H262" i="43" l="1"/>
  <c r="G262" i="43"/>
  <c r="F262" i="43"/>
  <c r="E262" i="43"/>
  <c r="D262" i="43"/>
  <c r="C262" i="43"/>
  <c r="B262" i="43"/>
  <c r="H38" i="43"/>
  <c r="G38" i="43"/>
  <c r="F38" i="43"/>
  <c r="E38" i="43"/>
  <c r="D38" i="43"/>
  <c r="C38" i="43"/>
  <c r="B38" i="43"/>
  <c r="H28" i="43"/>
  <c r="G28" i="43"/>
  <c r="F28" i="43"/>
  <c r="E28" i="43"/>
  <c r="D28" i="43"/>
  <c r="C28" i="43"/>
  <c r="B28" i="43"/>
  <c r="H23" i="43"/>
  <c r="G23" i="43"/>
  <c r="F23" i="43"/>
  <c r="E23" i="43"/>
  <c r="D23" i="43"/>
  <c r="C23" i="43"/>
  <c r="B23" i="43"/>
  <c r="N16" i="45"/>
  <c r="L16" i="45"/>
  <c r="J16" i="45"/>
  <c r="H16" i="45"/>
  <c r="F16" i="45"/>
  <c r="D16" i="45"/>
  <c r="B16" i="45"/>
  <c r="M87" i="39" l="1"/>
  <c r="M69" i="39"/>
  <c r="M51" i="39"/>
  <c r="M33" i="39"/>
  <c r="N15" i="39"/>
  <c r="M15" i="39"/>
  <c r="M9" i="39"/>
  <c r="W30" i="32"/>
  <c r="M10" i="39"/>
  <c r="W31" i="32"/>
  <c r="M11" i="39"/>
  <c r="W32" i="32"/>
  <c r="M12" i="39"/>
  <c r="W33" i="32"/>
  <c r="W59" i="32"/>
  <c r="M29" i="39"/>
  <c r="W60" i="32"/>
  <c r="M30" i="39"/>
  <c r="W61" i="32"/>
  <c r="M46" i="39"/>
  <c r="O46" i="39"/>
  <c r="W87" i="32" s="1"/>
  <c r="M47" i="39"/>
  <c r="O47" i="39"/>
  <c r="W88" i="32" s="1"/>
  <c r="M48" i="39"/>
  <c r="O48" i="39"/>
  <c r="W89" i="32" s="1"/>
  <c r="U89" i="32" l="1"/>
  <c r="U87" i="32"/>
  <c r="U60" i="32"/>
  <c r="U33" i="32"/>
  <c r="U31" i="32"/>
  <c r="U88" i="32"/>
  <c r="U61" i="32"/>
  <c r="U59" i="32"/>
  <c r="U32" i="32"/>
  <c r="U30" i="32"/>
  <c r="R630" i="32" l="1"/>
  <c r="I260" i="43" s="1"/>
  <c r="R629" i="32"/>
  <c r="I259" i="43" s="1"/>
  <c r="R628" i="32"/>
  <c r="I258" i="43" s="1"/>
  <c r="R627" i="32"/>
  <c r="I257" i="43" s="1"/>
  <c r="R626" i="32"/>
  <c r="I256" i="43" s="1"/>
  <c r="R625" i="32"/>
  <c r="I255" i="43" s="1"/>
  <c r="R624" i="32"/>
  <c r="I254" i="43" s="1"/>
  <c r="R623" i="32"/>
  <c r="I253" i="43" s="1"/>
  <c r="R622" i="32"/>
  <c r="I252" i="43" s="1"/>
  <c r="R620" i="32"/>
  <c r="I250" i="43" s="1"/>
  <c r="R619" i="32"/>
  <c r="I249" i="43" s="1"/>
  <c r="R618" i="32"/>
  <c r="I248" i="43" s="1"/>
  <c r="R617" i="32"/>
  <c r="I247" i="43" s="1"/>
  <c r="R616" i="32"/>
  <c r="I246" i="43" s="1"/>
  <c r="R615" i="32"/>
  <c r="I245" i="43" s="1"/>
  <c r="R614" i="32"/>
  <c r="I244" i="43" s="1"/>
  <c r="R613" i="32"/>
  <c r="I243" i="43" s="1"/>
  <c r="R612" i="32"/>
  <c r="I242" i="43" s="1"/>
  <c r="R610" i="32"/>
  <c r="I240" i="43" s="1"/>
  <c r="R609" i="32"/>
  <c r="I239" i="43" s="1"/>
  <c r="R608" i="32"/>
  <c r="I238" i="43" s="1"/>
  <c r="R606" i="32"/>
  <c r="I236" i="43" s="1"/>
  <c r="R605" i="32"/>
  <c r="I235" i="43" s="1"/>
  <c r="R604" i="32"/>
  <c r="I234" i="43" s="1"/>
  <c r="R603" i="32"/>
  <c r="R602" i="32"/>
  <c r="R601" i="32"/>
  <c r="I231" i="43" s="1"/>
  <c r="R600" i="32"/>
  <c r="I230" i="43" s="1"/>
  <c r="R599" i="32"/>
  <c r="I229" i="43" s="1"/>
  <c r="R598" i="32"/>
  <c r="I228" i="43" s="1"/>
  <c r="R597" i="32"/>
  <c r="I227" i="43" s="1"/>
  <c r="R596" i="32"/>
  <c r="I226" i="43" s="1"/>
  <c r="R594" i="32"/>
  <c r="I224" i="43" s="1"/>
  <c r="R593" i="32"/>
  <c r="I223" i="43" s="1"/>
  <c r="R592" i="32"/>
  <c r="I222" i="43" s="1"/>
  <c r="R591" i="32"/>
  <c r="I221" i="43" s="1"/>
  <c r="R590" i="32"/>
  <c r="I220" i="43" s="1"/>
  <c r="R589" i="32"/>
  <c r="I219" i="43" s="1"/>
  <c r="R588" i="32"/>
  <c r="I218" i="43" s="1"/>
  <c r="R587" i="32"/>
  <c r="I217" i="43" s="1"/>
  <c r="R586" i="32"/>
  <c r="I216" i="43" s="1"/>
  <c r="R584" i="32"/>
  <c r="I214" i="43" s="1"/>
  <c r="R583" i="32"/>
  <c r="I213" i="43" s="1"/>
  <c r="R582" i="32"/>
  <c r="I212" i="43" s="1"/>
  <c r="R581" i="32"/>
  <c r="I211" i="43" s="1"/>
  <c r="R580" i="32"/>
  <c r="I210" i="43" s="1"/>
  <c r="R579" i="32"/>
  <c r="I209" i="43" s="1"/>
  <c r="R578" i="32"/>
  <c r="I208" i="43" s="1"/>
  <c r="R577" i="32"/>
  <c r="I207" i="43" s="1"/>
  <c r="R576" i="32"/>
  <c r="I206" i="43" s="1"/>
  <c r="R575" i="32"/>
  <c r="I205" i="43" s="1"/>
  <c r="R574" i="32"/>
  <c r="I204" i="43" s="1"/>
  <c r="R573" i="32"/>
  <c r="I203" i="43" s="1"/>
  <c r="R572" i="32"/>
  <c r="I202" i="43" s="1"/>
  <c r="R571" i="32"/>
  <c r="I201" i="43" s="1"/>
  <c r="R570" i="32"/>
  <c r="I200" i="43" s="1"/>
  <c r="R569" i="32"/>
  <c r="I199" i="43" s="1"/>
  <c r="R568" i="32"/>
  <c r="I198" i="43" s="1"/>
  <c r="R567" i="32"/>
  <c r="I197" i="43" s="1"/>
  <c r="R566" i="32"/>
  <c r="I196" i="43" s="1"/>
  <c r="R560" i="32"/>
  <c r="I190" i="43" s="1"/>
  <c r="R559" i="32"/>
  <c r="I189" i="43" s="1"/>
  <c r="R558" i="32"/>
  <c r="I188" i="43" s="1"/>
  <c r="R556" i="32"/>
  <c r="I186" i="43" s="1"/>
  <c r="R555" i="32"/>
  <c r="I185" i="43" s="1"/>
  <c r="R554" i="32"/>
  <c r="I184" i="43" s="1"/>
  <c r="R553" i="32"/>
  <c r="I183" i="43" s="1"/>
  <c r="R552" i="32"/>
  <c r="I182" i="43" s="1"/>
  <c r="R551" i="32"/>
  <c r="I181" i="43" s="1"/>
  <c r="R549" i="32"/>
  <c r="R548" i="32"/>
  <c r="I178" i="43" s="1"/>
  <c r="R547" i="32"/>
  <c r="I177" i="43" s="1"/>
  <c r="R546" i="32"/>
  <c r="I176" i="43" s="1"/>
  <c r="R545" i="32"/>
  <c r="I175" i="43" s="1"/>
  <c r="R544" i="32"/>
  <c r="I174" i="43" s="1"/>
  <c r="R543" i="32"/>
  <c r="I173" i="43" s="1"/>
  <c r="R542" i="32"/>
  <c r="I172" i="43" s="1"/>
  <c r="R541" i="32"/>
  <c r="I171" i="43" s="1"/>
  <c r="R540" i="32"/>
  <c r="I170" i="43" s="1"/>
  <c r="R538" i="32"/>
  <c r="I168" i="43" s="1"/>
  <c r="R537" i="32"/>
  <c r="I167" i="43" s="1"/>
  <c r="R536" i="32"/>
  <c r="R535" i="32"/>
  <c r="I165" i="43" s="1"/>
  <c r="R534" i="32"/>
  <c r="R533" i="32"/>
  <c r="I163" i="43" s="1"/>
  <c r="R532" i="32"/>
  <c r="I162" i="43" s="1"/>
  <c r="R531" i="32"/>
  <c r="I161" i="43" s="1"/>
  <c r="R530" i="32"/>
  <c r="I160" i="43" s="1"/>
  <c r="R529" i="32"/>
  <c r="I159" i="43" s="1"/>
  <c r="R528" i="32"/>
  <c r="I158" i="43" s="1"/>
  <c r="R526" i="32"/>
  <c r="I156" i="43" s="1"/>
  <c r="R525" i="32"/>
  <c r="I155" i="43" s="1"/>
  <c r="R524" i="32"/>
  <c r="I154" i="43" s="1"/>
  <c r="R523" i="32"/>
  <c r="I153" i="43" s="1"/>
  <c r="R522" i="32"/>
  <c r="I152" i="43" s="1"/>
  <c r="R521" i="32"/>
  <c r="I151" i="43" s="1"/>
  <c r="R520" i="32"/>
  <c r="I150" i="43" s="1"/>
  <c r="R519" i="32"/>
  <c r="I149" i="43" s="1"/>
  <c r="R518" i="32"/>
  <c r="I148" i="43" s="1"/>
  <c r="R512" i="32"/>
  <c r="I142" i="43" s="1"/>
  <c r="R511" i="32"/>
  <c r="I141" i="43" s="1"/>
  <c r="R510" i="32"/>
  <c r="I140" i="43" s="1"/>
  <c r="R509" i="32"/>
  <c r="I139" i="43" s="1"/>
  <c r="R508" i="32"/>
  <c r="I138" i="43" s="1"/>
  <c r="R507" i="32"/>
  <c r="I137" i="43" s="1"/>
  <c r="R506" i="32"/>
  <c r="I136" i="43" s="1"/>
  <c r="R505" i="32"/>
  <c r="I135" i="43" s="1"/>
  <c r="R504" i="32"/>
  <c r="I134" i="43" s="1"/>
  <c r="R502" i="32"/>
  <c r="I132" i="43" s="1"/>
  <c r="R501" i="32"/>
  <c r="I131" i="43" s="1"/>
  <c r="R500" i="32"/>
  <c r="I130" i="43" s="1"/>
  <c r="R498" i="32"/>
  <c r="I128" i="43" s="1"/>
  <c r="R497" i="32"/>
  <c r="R496" i="32"/>
  <c r="I126" i="43" s="1"/>
  <c r="R495" i="32"/>
  <c r="I125" i="43" s="1"/>
  <c r="R494" i="32"/>
  <c r="I124" i="43" s="1"/>
  <c r="R493" i="32"/>
  <c r="I123" i="43" s="1"/>
  <c r="R492" i="32"/>
  <c r="I122" i="43" s="1"/>
  <c r="R491" i="32"/>
  <c r="I121" i="43" s="1"/>
  <c r="R490" i="32"/>
  <c r="I120" i="43" s="1"/>
  <c r="R489" i="32"/>
  <c r="I119" i="43" s="1"/>
  <c r="R488" i="32"/>
  <c r="I118" i="43" s="1"/>
  <c r="R486" i="32"/>
  <c r="I116" i="43" s="1"/>
  <c r="R485" i="32"/>
  <c r="I115" i="43" s="1"/>
  <c r="R484" i="32"/>
  <c r="I114" i="43" s="1"/>
  <c r="R483" i="32"/>
  <c r="I113" i="43" s="1"/>
  <c r="R482" i="32"/>
  <c r="I112" i="43" s="1"/>
  <c r="R481" i="32"/>
  <c r="I111" i="43" s="1"/>
  <c r="R480" i="32"/>
  <c r="I110" i="43" s="1"/>
  <c r="R479" i="32"/>
  <c r="I109" i="43" s="1"/>
  <c r="R477" i="32"/>
  <c r="I107" i="43" s="1"/>
  <c r="R476" i="32"/>
  <c r="I106" i="43" s="1"/>
  <c r="R475" i="32"/>
  <c r="I105" i="43" s="1"/>
  <c r="R473" i="32"/>
  <c r="I103" i="43" s="1"/>
  <c r="R472" i="32"/>
  <c r="I102" i="43" s="1"/>
  <c r="R471" i="32"/>
  <c r="I101" i="43" s="1"/>
  <c r="R469" i="32"/>
  <c r="I99" i="43" s="1"/>
  <c r="R468" i="32"/>
  <c r="I98" i="43" s="1"/>
  <c r="R467" i="32"/>
  <c r="I97" i="43" s="1"/>
  <c r="R463" i="32"/>
  <c r="I93" i="43" s="1"/>
  <c r="R462" i="32"/>
  <c r="I92" i="43" s="1"/>
  <c r="R461" i="32"/>
  <c r="I91" i="43" s="1"/>
  <c r="R460" i="32"/>
  <c r="I90" i="43" s="1"/>
  <c r="R459" i="32"/>
  <c r="I89" i="43" s="1"/>
  <c r="R458" i="32"/>
  <c r="I88" i="43" s="1"/>
  <c r="R457" i="32"/>
  <c r="I87" i="43" s="1"/>
  <c r="R456" i="32"/>
  <c r="I86" i="43" s="1"/>
  <c r="R455" i="32"/>
  <c r="I85" i="43" s="1"/>
  <c r="R453" i="32"/>
  <c r="I83" i="43" s="1"/>
  <c r="R452" i="32"/>
  <c r="I82" i="43" s="1"/>
  <c r="R451" i="32"/>
  <c r="I81" i="43" s="1"/>
  <c r="R449" i="32"/>
  <c r="I79" i="43" s="1"/>
  <c r="R448" i="32"/>
  <c r="I78" i="43" s="1"/>
  <c r="R447" i="32"/>
  <c r="I77" i="43" s="1"/>
  <c r="R446" i="32"/>
  <c r="I76" i="43" s="1"/>
  <c r="R445" i="32"/>
  <c r="I75" i="43" s="1"/>
  <c r="R444" i="32"/>
  <c r="I74" i="43" s="1"/>
  <c r="R443" i="32"/>
  <c r="I73" i="43" s="1"/>
  <c r="R442" i="32"/>
  <c r="I72" i="43" s="1"/>
  <c r="R441" i="32"/>
  <c r="I71" i="43" s="1"/>
  <c r="R440" i="32"/>
  <c r="I70" i="43" s="1"/>
  <c r="R439" i="32"/>
  <c r="I69" i="43" s="1"/>
  <c r="R437" i="32"/>
  <c r="I67" i="43" s="1"/>
  <c r="R436" i="32"/>
  <c r="I66" i="43" s="1"/>
  <c r="R435" i="32"/>
  <c r="I65" i="43" s="1"/>
  <c r="R434" i="32"/>
  <c r="I64" i="43" s="1"/>
  <c r="R433" i="32"/>
  <c r="I63" i="43" s="1"/>
  <c r="R432" i="32"/>
  <c r="I62" i="43" s="1"/>
  <c r="R431" i="32"/>
  <c r="I61" i="43" s="1"/>
  <c r="R430" i="32"/>
  <c r="I60" i="43" s="1"/>
  <c r="R429" i="32"/>
  <c r="I59" i="43" s="1"/>
  <c r="R427" i="32"/>
  <c r="P73" i="44" s="1"/>
  <c r="R426" i="32"/>
  <c r="P72" i="44" s="1"/>
  <c r="R425" i="32"/>
  <c r="P71" i="44" s="1"/>
  <c r="R424" i="32"/>
  <c r="P70" i="44" s="1"/>
  <c r="R422" i="32"/>
  <c r="R421" i="32"/>
  <c r="R420" i="32"/>
  <c r="R419" i="32"/>
  <c r="R417" i="32"/>
  <c r="P81" i="44" s="1"/>
  <c r="R416" i="32"/>
  <c r="P80" i="44" s="1"/>
  <c r="R414" i="32"/>
  <c r="P77" i="44" s="1"/>
  <c r="R413" i="32"/>
  <c r="P76" i="44" s="1"/>
  <c r="R411" i="32"/>
  <c r="P69" i="42" s="1"/>
  <c r="R410" i="32"/>
  <c r="P68" i="42" s="1"/>
  <c r="R409" i="32"/>
  <c r="P67" i="42" s="1"/>
  <c r="R408" i="32"/>
  <c r="P66" i="42" s="1"/>
  <c r="R407" i="32"/>
  <c r="P65" i="42" s="1"/>
  <c r="R406" i="32"/>
  <c r="P64" i="42" s="1"/>
  <c r="R405" i="32"/>
  <c r="P63" i="42" s="1"/>
  <c r="R404" i="32"/>
  <c r="P62" i="42" s="1"/>
  <c r="R403" i="32"/>
  <c r="P61" i="42" s="1"/>
  <c r="R402" i="32"/>
  <c r="P60" i="42" s="1"/>
  <c r="R401" i="32"/>
  <c r="P59" i="42" s="1"/>
  <c r="S399" i="32"/>
  <c r="R399" i="32"/>
  <c r="S398" i="32"/>
  <c r="Q57" i="42" s="1"/>
  <c r="R398" i="32"/>
  <c r="P57" i="42" s="1"/>
  <c r="S397" i="32"/>
  <c r="Q56" i="42" s="1"/>
  <c r="R397" i="32"/>
  <c r="P56" i="42" s="1"/>
  <c r="S396" i="32"/>
  <c r="Q55" i="42" s="1"/>
  <c r="R396" i="32"/>
  <c r="P55" i="42" s="1"/>
  <c r="S395" i="32"/>
  <c r="Q54" i="42" s="1"/>
  <c r="R395" i="32"/>
  <c r="P54" i="42" s="1"/>
  <c r="S394" i="32"/>
  <c r="Q53" i="42" s="1"/>
  <c r="R394" i="32"/>
  <c r="P53" i="42" s="1"/>
  <c r="S393" i="32"/>
  <c r="Q52" i="42" s="1"/>
  <c r="R393" i="32"/>
  <c r="P52" i="42" s="1"/>
  <c r="S392" i="32"/>
  <c r="Q51" i="42" s="1"/>
  <c r="R392" i="32"/>
  <c r="P51" i="42" s="1"/>
  <c r="S391" i="32"/>
  <c r="Q50" i="42" s="1"/>
  <c r="R391" i="32"/>
  <c r="P50" i="42" s="1"/>
  <c r="S390" i="32"/>
  <c r="Q49" i="42" s="1"/>
  <c r="R390" i="32"/>
  <c r="P49" i="42" s="1"/>
  <c r="S389" i="32"/>
  <c r="Q48" i="42" s="1"/>
  <c r="S388" i="32"/>
  <c r="Q47" i="42" s="1"/>
  <c r="R388" i="32"/>
  <c r="P47" i="42" s="1"/>
  <c r="R387" i="32"/>
  <c r="P46" i="42" s="1"/>
  <c r="R386" i="32"/>
  <c r="P45" i="42" s="1"/>
  <c r="R385" i="32"/>
  <c r="P44" i="42" s="1"/>
  <c r="R384" i="32"/>
  <c r="P43" i="42" s="1"/>
  <c r="R383" i="32"/>
  <c r="P42" i="42" s="1"/>
  <c r="R382" i="32"/>
  <c r="P41" i="42" s="1"/>
  <c r="S380" i="32"/>
  <c r="Q39" i="42" s="1"/>
  <c r="R380" i="32"/>
  <c r="P39" i="42" s="1"/>
  <c r="S379" i="32"/>
  <c r="Q38" i="42" s="1"/>
  <c r="R379" i="32"/>
  <c r="P38" i="42" s="1"/>
  <c r="S378" i="32"/>
  <c r="Q37" i="42" s="1"/>
  <c r="R378" i="32"/>
  <c r="P37" i="42" s="1"/>
  <c r="S377" i="32"/>
  <c r="Q36" i="42" s="1"/>
  <c r="R377" i="32"/>
  <c r="P36" i="42" s="1"/>
  <c r="S376" i="32"/>
  <c r="Q35" i="42" s="1"/>
  <c r="R376" i="32"/>
  <c r="P35" i="42" s="1"/>
  <c r="S375" i="32"/>
  <c r="Q34" i="42" s="1"/>
  <c r="R375" i="32"/>
  <c r="P34" i="42" s="1"/>
  <c r="S373" i="32"/>
  <c r="Q31" i="42" s="1"/>
  <c r="R373" i="32"/>
  <c r="P31" i="42" s="1"/>
  <c r="S372" i="32"/>
  <c r="Q30" i="42" s="1"/>
  <c r="R372" i="32"/>
  <c r="P30" i="42" s="1"/>
  <c r="S371" i="32"/>
  <c r="Q29" i="42" s="1"/>
  <c r="R371" i="32"/>
  <c r="P29" i="42" s="1"/>
  <c r="S370" i="32"/>
  <c r="Q28" i="42" s="1"/>
  <c r="R370" i="32"/>
  <c r="P28" i="42" s="1"/>
  <c r="S369" i="32"/>
  <c r="Q27" i="42" s="1"/>
  <c r="R369" i="32"/>
  <c r="P27" i="42" s="1"/>
  <c r="S367" i="32"/>
  <c r="Q25" i="42" s="1"/>
  <c r="R367" i="32"/>
  <c r="P25" i="42" s="1"/>
  <c r="S366" i="32"/>
  <c r="Q24" i="42" s="1"/>
  <c r="R366" i="32"/>
  <c r="P24" i="42" s="1"/>
  <c r="S364" i="32"/>
  <c r="Q22" i="42" s="1"/>
  <c r="R364" i="32"/>
  <c r="P22" i="42" s="1"/>
  <c r="S363" i="32"/>
  <c r="R363" i="32"/>
  <c r="P21" i="42" s="1"/>
  <c r="S362" i="32"/>
  <c r="Q20" i="42" s="1"/>
  <c r="R362" i="32"/>
  <c r="P20" i="42" s="1"/>
  <c r="S361" i="32"/>
  <c r="Q19" i="42" s="1"/>
  <c r="R361" i="32"/>
  <c r="P19" i="42" s="1"/>
  <c r="S360" i="32"/>
  <c r="Q18" i="42" s="1"/>
  <c r="R360" i="32"/>
  <c r="P18" i="42" s="1"/>
  <c r="S359" i="32"/>
  <c r="Q17" i="42" s="1"/>
  <c r="R359" i="32"/>
  <c r="P17" i="42" s="1"/>
  <c r="S358" i="32"/>
  <c r="Q16" i="42" s="1"/>
  <c r="R358" i="32"/>
  <c r="P16" i="42" s="1"/>
  <c r="S357" i="32"/>
  <c r="Q15" i="42" s="1"/>
  <c r="R357" i="32"/>
  <c r="P15" i="42" s="1"/>
  <c r="R355" i="32"/>
  <c r="P13" i="42" s="1"/>
  <c r="R354" i="32"/>
  <c r="P12" i="42" s="1"/>
  <c r="R353" i="32"/>
  <c r="P11" i="42" s="1"/>
  <c r="R351" i="32"/>
  <c r="S350" i="32"/>
  <c r="Q9" i="42" s="1"/>
  <c r="R350" i="32"/>
  <c r="P9" i="42" s="1"/>
  <c r="S349" i="32"/>
  <c r="Q8" i="42" s="1"/>
  <c r="R349" i="32"/>
  <c r="P8" i="42" s="1"/>
  <c r="S348" i="32"/>
  <c r="Q7" i="42" s="1"/>
  <c r="R348" i="32"/>
  <c r="P7" i="42" s="1"/>
  <c r="S347" i="32"/>
  <c r="Q6" i="42" s="1"/>
  <c r="R347" i="32"/>
  <c r="P6" i="42" s="1"/>
  <c r="S346" i="32"/>
  <c r="Q5" i="42" s="1"/>
  <c r="R346" i="32"/>
  <c r="P5" i="42" s="1"/>
  <c r="S345" i="32"/>
  <c r="Q4" i="42" s="1"/>
  <c r="R345" i="32"/>
  <c r="P4" i="42" s="1"/>
  <c r="R343" i="32"/>
  <c r="I56" i="43" s="1"/>
  <c r="R342" i="32"/>
  <c r="I55" i="43" s="1"/>
  <c r="R341" i="32"/>
  <c r="I54" i="43" s="1"/>
  <c r="R340" i="32"/>
  <c r="I53" i="43" s="1"/>
  <c r="R339" i="32"/>
  <c r="I52" i="43" s="1"/>
  <c r="R338" i="32"/>
  <c r="I51" i="43" s="1"/>
  <c r="R335" i="32"/>
  <c r="I47" i="43" s="1"/>
  <c r="R334" i="32"/>
  <c r="I46" i="43" s="1"/>
  <c r="R333" i="32"/>
  <c r="I45" i="43" s="1"/>
  <c r="R332" i="32"/>
  <c r="I44" i="43" s="1"/>
  <c r="R331" i="32"/>
  <c r="I43" i="43" s="1"/>
  <c r="R328" i="32"/>
  <c r="I40" i="43" s="1"/>
  <c r="R327" i="32"/>
  <c r="I39" i="43" s="1"/>
  <c r="R324" i="32"/>
  <c r="I36" i="43" s="1"/>
  <c r="R323" i="32"/>
  <c r="I35" i="43" s="1"/>
  <c r="R322" i="32"/>
  <c r="I34" i="43" s="1"/>
  <c r="R321" i="32"/>
  <c r="I33" i="43" s="1"/>
  <c r="R320" i="32"/>
  <c r="I32" i="43" s="1"/>
  <c r="R319" i="32"/>
  <c r="I31" i="43" s="1"/>
  <c r="R318" i="32"/>
  <c r="I30" i="43" s="1"/>
  <c r="R317" i="32"/>
  <c r="I29" i="43" s="1"/>
  <c r="R314" i="32"/>
  <c r="I26" i="43" s="1"/>
  <c r="R313" i="32"/>
  <c r="I25" i="43" s="1"/>
  <c r="R312" i="32"/>
  <c r="I24" i="43" s="1"/>
  <c r="R309" i="32"/>
  <c r="I48" i="43" s="1"/>
  <c r="R308" i="32"/>
  <c r="I21" i="43" s="1"/>
  <c r="R307" i="32"/>
  <c r="I20" i="43" s="1"/>
  <c r="R306" i="32"/>
  <c r="I19" i="43" s="1"/>
  <c r="R305" i="32"/>
  <c r="I18" i="43" s="1"/>
  <c r="R304" i="32"/>
  <c r="I17" i="43" s="1"/>
  <c r="R303" i="32"/>
  <c r="I16" i="43" s="1"/>
  <c r="R300" i="32"/>
  <c r="R299" i="32"/>
  <c r="R298" i="32"/>
  <c r="R297" i="32"/>
  <c r="R296" i="32"/>
  <c r="R295" i="32"/>
  <c r="AJ26" i="58" s="1"/>
  <c r="R294" i="32"/>
  <c r="P5" i="45" s="1"/>
  <c r="T294" i="32" s="1"/>
  <c r="R293" i="32"/>
  <c r="P17" i="40" s="1"/>
  <c r="R292" i="32"/>
  <c r="P16" i="40" s="1"/>
  <c r="R291" i="32"/>
  <c r="P15" i="40" s="1"/>
  <c r="R290" i="32"/>
  <c r="P14" i="40" s="1"/>
  <c r="R289" i="32"/>
  <c r="P13" i="40" s="1"/>
  <c r="R288" i="32"/>
  <c r="P12" i="40" s="1"/>
  <c r="R287" i="32"/>
  <c r="R286" i="32"/>
  <c r="R285" i="32"/>
  <c r="P10" i="40" s="1"/>
  <c r="R284" i="32"/>
  <c r="R283" i="32"/>
  <c r="R282" i="32"/>
  <c r="R281" i="32"/>
  <c r="R280" i="32"/>
  <c r="BR16" i="58" s="1"/>
  <c r="AO16" i="58" s="1"/>
  <c r="AJ16" i="58" s="1"/>
  <c r="R279" i="32"/>
  <c r="BR12" i="58" s="1"/>
  <c r="R278" i="32"/>
  <c r="BR15" i="58" s="1"/>
  <c r="AO15" i="58" s="1"/>
  <c r="AJ15" i="58" s="1"/>
  <c r="R277" i="32"/>
  <c r="BR14" i="58" s="1"/>
  <c r="R276" i="32"/>
  <c r="BR17" i="58" s="1"/>
  <c r="AO17" i="58" s="1"/>
  <c r="AJ17" i="58" s="1"/>
  <c r="R275" i="32"/>
  <c r="BR38" i="58" s="1"/>
  <c r="R259" i="32"/>
  <c r="R258" i="32"/>
  <c r="R257" i="32"/>
  <c r="R256" i="32"/>
  <c r="R255" i="32"/>
  <c r="R254" i="32"/>
  <c r="R252" i="32"/>
  <c r="P67" i="44" s="1"/>
  <c r="R251" i="32"/>
  <c r="P66" i="44" s="1"/>
  <c r="R250" i="32"/>
  <c r="P65" i="44" s="1"/>
  <c r="R249" i="32"/>
  <c r="P64" i="44" s="1"/>
  <c r="R248" i="32"/>
  <c r="P63" i="44" s="1"/>
  <c r="R247" i="32"/>
  <c r="P62" i="44" s="1"/>
  <c r="R246" i="32"/>
  <c r="P61" i="44" s="1"/>
  <c r="R245" i="32"/>
  <c r="P60" i="44" s="1"/>
  <c r="R244" i="32"/>
  <c r="P59" i="44" s="1"/>
  <c r="R239" i="32"/>
  <c r="R238" i="32"/>
  <c r="R237" i="32"/>
  <c r="H88" i="58" s="1"/>
  <c r="R236" i="32"/>
  <c r="R235" i="32"/>
  <c r="R234" i="32"/>
  <c r="R233" i="32"/>
  <c r="R230" i="32"/>
  <c r="R229" i="32"/>
  <c r="R228" i="32"/>
  <c r="R227" i="32"/>
  <c r="R226" i="32"/>
  <c r="R225" i="32"/>
  <c r="R223" i="32"/>
  <c r="P48" i="44" s="1"/>
  <c r="R222" i="32"/>
  <c r="P47" i="44" s="1"/>
  <c r="R221" i="32"/>
  <c r="P46" i="44" s="1"/>
  <c r="R220" i="32"/>
  <c r="P45" i="44" s="1"/>
  <c r="R219" i="32"/>
  <c r="P44" i="44" s="1"/>
  <c r="R218" i="32"/>
  <c r="P43" i="44" s="1"/>
  <c r="R217" i="32"/>
  <c r="P42" i="44" s="1"/>
  <c r="R216" i="32"/>
  <c r="P41" i="44" s="1"/>
  <c r="R215" i="32"/>
  <c r="P40" i="44" s="1"/>
  <c r="R210" i="32"/>
  <c r="R209" i="32"/>
  <c r="R208" i="32"/>
  <c r="R207" i="32"/>
  <c r="R206" i="32"/>
  <c r="R205" i="32"/>
  <c r="R202" i="32"/>
  <c r="R201" i="32"/>
  <c r="R200" i="32"/>
  <c r="R199" i="32"/>
  <c r="R198" i="32"/>
  <c r="R197" i="32"/>
  <c r="R196" i="32"/>
  <c r="R195" i="32"/>
  <c r="R193" i="32"/>
  <c r="P28" i="44" s="1"/>
  <c r="R192" i="32"/>
  <c r="P27" i="44" s="1"/>
  <c r="R191" i="32"/>
  <c r="P26" i="44" s="1"/>
  <c r="R190" i="32"/>
  <c r="P25" i="44" s="1"/>
  <c r="R189" i="32"/>
  <c r="P24" i="44" s="1"/>
  <c r="R188" i="32"/>
  <c r="P23" i="44" s="1"/>
  <c r="R187" i="32"/>
  <c r="P22" i="44" s="1"/>
  <c r="R186" i="32"/>
  <c r="P21" i="44" s="1"/>
  <c r="R185" i="32"/>
  <c r="P20" i="44" s="1"/>
  <c r="R180" i="32"/>
  <c r="R179" i="32"/>
  <c r="R178" i="32"/>
  <c r="R177" i="32"/>
  <c r="R176" i="32"/>
  <c r="BW104" i="58" s="1"/>
  <c r="AO104" i="58" s="1"/>
  <c r="R175" i="32"/>
  <c r="R173" i="32"/>
  <c r="BW103" i="58" s="1"/>
  <c r="AO103" i="58" s="1"/>
  <c r="AJ103" i="58" s="1"/>
  <c r="R172" i="32"/>
  <c r="BW102" i="58" s="1"/>
  <c r="R171" i="32"/>
  <c r="R168" i="32"/>
  <c r="R167" i="32"/>
  <c r="R166" i="32"/>
  <c r="R165" i="32"/>
  <c r="R164" i="32"/>
  <c r="R163" i="32"/>
  <c r="R161" i="32"/>
  <c r="J97" i="39" s="1"/>
  <c r="R160" i="32"/>
  <c r="J96" i="39" s="1"/>
  <c r="R159" i="32"/>
  <c r="J95" i="39" s="1"/>
  <c r="R158" i="32"/>
  <c r="J94" i="39" s="1"/>
  <c r="R157" i="32"/>
  <c r="J93" i="39" s="1"/>
  <c r="R156" i="32"/>
  <c r="J92" i="39" s="1"/>
  <c r="R155" i="32"/>
  <c r="J91" i="39" s="1"/>
  <c r="R154" i="32"/>
  <c r="J90" i="39" s="1"/>
  <c r="R153" i="32"/>
  <c r="J89" i="39" s="1"/>
  <c r="R148" i="32"/>
  <c r="R147" i="32"/>
  <c r="R146" i="32"/>
  <c r="R145" i="32"/>
  <c r="R144" i="32"/>
  <c r="R143" i="32"/>
  <c r="R140" i="32"/>
  <c r="R139" i="32"/>
  <c r="R138" i="32"/>
  <c r="R137" i="32"/>
  <c r="R136" i="32"/>
  <c r="R135" i="32"/>
  <c r="R133" i="32"/>
  <c r="J79" i="39" s="1"/>
  <c r="R132" i="32"/>
  <c r="J78" i="39" s="1"/>
  <c r="R131" i="32"/>
  <c r="J77" i="39" s="1"/>
  <c r="R130" i="32"/>
  <c r="J76" i="39" s="1"/>
  <c r="R129" i="32"/>
  <c r="J75" i="39" s="1"/>
  <c r="R128" i="32"/>
  <c r="J74" i="39" s="1"/>
  <c r="R127" i="32"/>
  <c r="J73" i="39" s="1"/>
  <c r="R126" i="32"/>
  <c r="J72" i="39" s="1"/>
  <c r="R125" i="32"/>
  <c r="J71" i="39" s="1"/>
  <c r="R120" i="32"/>
  <c r="R119" i="32"/>
  <c r="R118" i="32"/>
  <c r="R117" i="32"/>
  <c r="R116" i="32"/>
  <c r="R115" i="32"/>
  <c r="R112" i="32"/>
  <c r="R111" i="32"/>
  <c r="R110" i="32"/>
  <c r="R109" i="32"/>
  <c r="R108" i="32"/>
  <c r="R107" i="32"/>
  <c r="R105" i="32"/>
  <c r="J61" i="39" s="1"/>
  <c r="R104" i="32"/>
  <c r="J60" i="39" s="1"/>
  <c r="R103" i="32"/>
  <c r="J59" i="39" s="1"/>
  <c r="R102" i="32"/>
  <c r="J58" i="39" s="1"/>
  <c r="R101" i="32"/>
  <c r="J57" i="39" s="1"/>
  <c r="R100" i="32"/>
  <c r="J56" i="39" s="1"/>
  <c r="R99" i="32"/>
  <c r="J55" i="39" s="1"/>
  <c r="R98" i="32"/>
  <c r="J54" i="39" s="1"/>
  <c r="R97" i="32"/>
  <c r="J53" i="39" s="1"/>
  <c r="R92" i="32"/>
  <c r="R91" i="32"/>
  <c r="R90" i="32"/>
  <c r="H82" i="58" s="1"/>
  <c r="R89" i="32"/>
  <c r="R88" i="32"/>
  <c r="R87" i="32"/>
  <c r="R84" i="32"/>
  <c r="R83" i="32"/>
  <c r="R82" i="32"/>
  <c r="R81" i="32"/>
  <c r="R80" i="32"/>
  <c r="R79" i="32"/>
  <c r="R77" i="32"/>
  <c r="J43" i="39" s="1"/>
  <c r="R76" i="32"/>
  <c r="J42" i="39" s="1"/>
  <c r="R75" i="32"/>
  <c r="J41" i="39" s="1"/>
  <c r="R74" i="32"/>
  <c r="J40" i="39" s="1"/>
  <c r="R73" i="32"/>
  <c r="J39" i="39" s="1"/>
  <c r="R72" i="32"/>
  <c r="J38" i="39" s="1"/>
  <c r="R71" i="32"/>
  <c r="J37" i="39" s="1"/>
  <c r="R70" i="32"/>
  <c r="J36" i="39" s="1"/>
  <c r="R69" i="32"/>
  <c r="J35" i="39" s="1"/>
  <c r="R64" i="32"/>
  <c r="R63" i="32"/>
  <c r="R62" i="32"/>
  <c r="H81" i="58" s="1"/>
  <c r="R61" i="32"/>
  <c r="R60" i="32"/>
  <c r="R59" i="32"/>
  <c r="R56" i="32"/>
  <c r="R55" i="32"/>
  <c r="R54" i="32"/>
  <c r="R53" i="32"/>
  <c r="R52" i="32"/>
  <c r="R51" i="32"/>
  <c r="R49" i="32"/>
  <c r="R48" i="32"/>
  <c r="J24" i="39" s="1"/>
  <c r="R47" i="32"/>
  <c r="J23" i="39" s="1"/>
  <c r="R46" i="32"/>
  <c r="J22" i="39" s="1"/>
  <c r="R45" i="32"/>
  <c r="J21" i="39" s="1"/>
  <c r="R44" i="32"/>
  <c r="J20" i="39" s="1"/>
  <c r="R43" i="32"/>
  <c r="J19" i="39" s="1"/>
  <c r="R42" i="32"/>
  <c r="J18" i="39" s="1"/>
  <c r="R41" i="32"/>
  <c r="J17" i="39" s="1"/>
  <c r="R36" i="32"/>
  <c r="R35" i="32"/>
  <c r="R34" i="32"/>
  <c r="R33" i="32"/>
  <c r="R32" i="32"/>
  <c r="R31" i="32"/>
  <c r="R30" i="32"/>
  <c r="BW114" i="58" s="1"/>
  <c r="P630" i="32"/>
  <c r="H260" i="43" s="1"/>
  <c r="P629" i="32"/>
  <c r="H259" i="43" s="1"/>
  <c r="P628" i="32"/>
  <c r="H258" i="43" s="1"/>
  <c r="P627" i="32"/>
  <c r="H257" i="43" s="1"/>
  <c r="P626" i="32"/>
  <c r="H256" i="43" s="1"/>
  <c r="P625" i="32"/>
  <c r="H255" i="43" s="1"/>
  <c r="P624" i="32"/>
  <c r="H254" i="43" s="1"/>
  <c r="P623" i="32"/>
  <c r="H253" i="43" s="1"/>
  <c r="P622" i="32"/>
  <c r="H252" i="43" s="1"/>
  <c r="P620" i="32"/>
  <c r="H250" i="43" s="1"/>
  <c r="P619" i="32"/>
  <c r="H249" i="43" s="1"/>
  <c r="P618" i="32"/>
  <c r="H248" i="43" s="1"/>
  <c r="P617" i="32"/>
  <c r="H247" i="43" s="1"/>
  <c r="P616" i="32"/>
  <c r="H246" i="43" s="1"/>
  <c r="P615" i="32"/>
  <c r="H245" i="43" s="1"/>
  <c r="P614" i="32"/>
  <c r="H244" i="43" s="1"/>
  <c r="P613" i="32"/>
  <c r="H243" i="43" s="1"/>
  <c r="P612" i="32"/>
  <c r="H242" i="43" s="1"/>
  <c r="P610" i="32"/>
  <c r="H240" i="43" s="1"/>
  <c r="P609" i="32"/>
  <c r="H239" i="43" s="1"/>
  <c r="P608" i="32"/>
  <c r="H238" i="43" s="1"/>
  <c r="P606" i="32"/>
  <c r="H236" i="43" s="1"/>
  <c r="P605" i="32"/>
  <c r="H235" i="43" s="1"/>
  <c r="P604" i="32"/>
  <c r="H234" i="43" s="1"/>
  <c r="P603" i="32"/>
  <c r="P602" i="32"/>
  <c r="P601" i="32"/>
  <c r="H231" i="43" s="1"/>
  <c r="P600" i="32"/>
  <c r="H230" i="43" s="1"/>
  <c r="P599" i="32"/>
  <c r="H229" i="43" s="1"/>
  <c r="P598" i="32"/>
  <c r="H228" i="43" s="1"/>
  <c r="P597" i="32"/>
  <c r="H227" i="43" s="1"/>
  <c r="P596" i="32"/>
  <c r="H226" i="43" s="1"/>
  <c r="P594" i="32"/>
  <c r="H224" i="43" s="1"/>
  <c r="P593" i="32"/>
  <c r="H223" i="43" s="1"/>
  <c r="P592" i="32"/>
  <c r="H222" i="43" s="1"/>
  <c r="P591" i="32"/>
  <c r="H221" i="43" s="1"/>
  <c r="P590" i="32"/>
  <c r="H220" i="43" s="1"/>
  <c r="P589" i="32"/>
  <c r="H219" i="43" s="1"/>
  <c r="P588" i="32"/>
  <c r="H218" i="43" s="1"/>
  <c r="P587" i="32"/>
  <c r="H217" i="43" s="1"/>
  <c r="P586" i="32"/>
  <c r="H216" i="43" s="1"/>
  <c r="P584" i="32"/>
  <c r="H214" i="43" s="1"/>
  <c r="P583" i="32"/>
  <c r="H213" i="43" s="1"/>
  <c r="P582" i="32"/>
  <c r="H212" i="43" s="1"/>
  <c r="P581" i="32"/>
  <c r="H211" i="43" s="1"/>
  <c r="P580" i="32"/>
  <c r="H210" i="43" s="1"/>
  <c r="P579" i="32"/>
  <c r="H209" i="43" s="1"/>
  <c r="P578" i="32"/>
  <c r="H208" i="43" s="1"/>
  <c r="P577" i="32"/>
  <c r="H207" i="43" s="1"/>
  <c r="P576" i="32"/>
  <c r="H206" i="43" s="1"/>
  <c r="P575" i="32"/>
  <c r="H205" i="43" s="1"/>
  <c r="P574" i="32"/>
  <c r="H204" i="43" s="1"/>
  <c r="P573" i="32"/>
  <c r="H203" i="43" s="1"/>
  <c r="P572" i="32"/>
  <c r="H202" i="43" s="1"/>
  <c r="P571" i="32"/>
  <c r="H201" i="43" s="1"/>
  <c r="P570" i="32"/>
  <c r="H200" i="43" s="1"/>
  <c r="P569" i="32"/>
  <c r="H199" i="43" s="1"/>
  <c r="P568" i="32"/>
  <c r="H198" i="43" s="1"/>
  <c r="P567" i="32"/>
  <c r="H197" i="43" s="1"/>
  <c r="P566" i="32"/>
  <c r="H196" i="43" s="1"/>
  <c r="P560" i="32"/>
  <c r="H190" i="43" s="1"/>
  <c r="P559" i="32"/>
  <c r="H189" i="43" s="1"/>
  <c r="P558" i="32"/>
  <c r="H188" i="43" s="1"/>
  <c r="P556" i="32"/>
  <c r="H186" i="43" s="1"/>
  <c r="P555" i="32"/>
  <c r="H185" i="43" s="1"/>
  <c r="P554" i="32"/>
  <c r="H184" i="43" s="1"/>
  <c r="P553" i="32"/>
  <c r="H183" i="43" s="1"/>
  <c r="P552" i="32"/>
  <c r="H182" i="43" s="1"/>
  <c r="P551" i="32"/>
  <c r="H181" i="43" s="1"/>
  <c r="P549" i="32"/>
  <c r="P548" i="32"/>
  <c r="H178" i="43" s="1"/>
  <c r="P547" i="32"/>
  <c r="H177" i="43" s="1"/>
  <c r="P546" i="32"/>
  <c r="H176" i="43" s="1"/>
  <c r="P545" i="32"/>
  <c r="H175" i="43" s="1"/>
  <c r="P544" i="32"/>
  <c r="H174" i="43" s="1"/>
  <c r="P543" i="32"/>
  <c r="H173" i="43" s="1"/>
  <c r="P542" i="32"/>
  <c r="H172" i="43" s="1"/>
  <c r="P541" i="32"/>
  <c r="H171" i="43" s="1"/>
  <c r="P540" i="32"/>
  <c r="H170" i="43" s="1"/>
  <c r="P538" i="32"/>
  <c r="H168" i="43" s="1"/>
  <c r="P537" i="32"/>
  <c r="H167" i="43" s="1"/>
  <c r="P536" i="32"/>
  <c r="P535" i="32"/>
  <c r="H165" i="43" s="1"/>
  <c r="P534" i="32"/>
  <c r="P533" i="32"/>
  <c r="H163" i="43" s="1"/>
  <c r="P532" i="32"/>
  <c r="H162" i="43" s="1"/>
  <c r="P531" i="32"/>
  <c r="H161" i="43" s="1"/>
  <c r="P530" i="32"/>
  <c r="H160" i="43" s="1"/>
  <c r="P529" i="32"/>
  <c r="H159" i="43" s="1"/>
  <c r="P528" i="32"/>
  <c r="H158" i="43" s="1"/>
  <c r="P526" i="32"/>
  <c r="H156" i="43" s="1"/>
  <c r="P525" i="32"/>
  <c r="H155" i="43" s="1"/>
  <c r="P524" i="32"/>
  <c r="H154" i="43" s="1"/>
  <c r="P523" i="32"/>
  <c r="H153" i="43" s="1"/>
  <c r="P522" i="32"/>
  <c r="H152" i="43" s="1"/>
  <c r="P521" i="32"/>
  <c r="H151" i="43" s="1"/>
  <c r="P520" i="32"/>
  <c r="H150" i="43" s="1"/>
  <c r="P519" i="32"/>
  <c r="H149" i="43" s="1"/>
  <c r="P518" i="32"/>
  <c r="H148" i="43" s="1"/>
  <c r="P512" i="32"/>
  <c r="H142" i="43" s="1"/>
  <c r="P511" i="32"/>
  <c r="H141" i="43" s="1"/>
  <c r="P510" i="32"/>
  <c r="H140" i="43" s="1"/>
  <c r="P509" i="32"/>
  <c r="H139" i="43" s="1"/>
  <c r="P508" i="32"/>
  <c r="H138" i="43" s="1"/>
  <c r="P507" i="32"/>
  <c r="H137" i="43" s="1"/>
  <c r="P506" i="32"/>
  <c r="H136" i="43" s="1"/>
  <c r="P505" i="32"/>
  <c r="H135" i="43" s="1"/>
  <c r="P504" i="32"/>
  <c r="H134" i="43" s="1"/>
  <c r="P502" i="32"/>
  <c r="H132" i="43" s="1"/>
  <c r="P501" i="32"/>
  <c r="H131" i="43" s="1"/>
  <c r="P500" i="32"/>
  <c r="H130" i="43" s="1"/>
  <c r="P498" i="32"/>
  <c r="H128" i="43" s="1"/>
  <c r="P497" i="32"/>
  <c r="P496" i="32"/>
  <c r="H126" i="43" s="1"/>
  <c r="P495" i="32"/>
  <c r="H125" i="43" s="1"/>
  <c r="P494" i="32"/>
  <c r="H124" i="43" s="1"/>
  <c r="P493" i="32"/>
  <c r="H123" i="43" s="1"/>
  <c r="P492" i="32"/>
  <c r="H122" i="43" s="1"/>
  <c r="P491" i="32"/>
  <c r="H121" i="43" s="1"/>
  <c r="P490" i="32"/>
  <c r="H120" i="43" s="1"/>
  <c r="P489" i="32"/>
  <c r="H119" i="43" s="1"/>
  <c r="P488" i="32"/>
  <c r="H118" i="43" s="1"/>
  <c r="P486" i="32"/>
  <c r="H116" i="43" s="1"/>
  <c r="P485" i="32"/>
  <c r="H115" i="43" s="1"/>
  <c r="P484" i="32"/>
  <c r="H114" i="43" s="1"/>
  <c r="P483" i="32"/>
  <c r="H113" i="43" s="1"/>
  <c r="P482" i="32"/>
  <c r="H112" i="43" s="1"/>
  <c r="P481" i="32"/>
  <c r="H111" i="43" s="1"/>
  <c r="P480" i="32"/>
  <c r="H110" i="43" s="1"/>
  <c r="P479" i="32"/>
  <c r="H109" i="43" s="1"/>
  <c r="P477" i="32"/>
  <c r="H107" i="43" s="1"/>
  <c r="P476" i="32"/>
  <c r="H106" i="43" s="1"/>
  <c r="P475" i="32"/>
  <c r="H105" i="43" s="1"/>
  <c r="P473" i="32"/>
  <c r="H103" i="43" s="1"/>
  <c r="P472" i="32"/>
  <c r="H102" i="43" s="1"/>
  <c r="P471" i="32"/>
  <c r="H101" i="43" s="1"/>
  <c r="P469" i="32"/>
  <c r="H99" i="43" s="1"/>
  <c r="P468" i="32"/>
  <c r="H98" i="43" s="1"/>
  <c r="P467" i="32"/>
  <c r="H97" i="43" s="1"/>
  <c r="P463" i="32"/>
  <c r="H93" i="43" s="1"/>
  <c r="P462" i="32"/>
  <c r="H92" i="43" s="1"/>
  <c r="P461" i="32"/>
  <c r="H91" i="43" s="1"/>
  <c r="P460" i="32"/>
  <c r="H90" i="43" s="1"/>
  <c r="P459" i="32"/>
  <c r="H89" i="43" s="1"/>
  <c r="P458" i="32"/>
  <c r="H88" i="43" s="1"/>
  <c r="P457" i="32"/>
  <c r="H87" i="43" s="1"/>
  <c r="P456" i="32"/>
  <c r="H86" i="43" s="1"/>
  <c r="P455" i="32"/>
  <c r="H85" i="43" s="1"/>
  <c r="P453" i="32"/>
  <c r="H83" i="43" s="1"/>
  <c r="P452" i="32"/>
  <c r="H82" i="43" s="1"/>
  <c r="P451" i="32"/>
  <c r="H81" i="43" s="1"/>
  <c r="P449" i="32"/>
  <c r="H79" i="43" s="1"/>
  <c r="P448" i="32"/>
  <c r="H78" i="43" s="1"/>
  <c r="P447" i="32"/>
  <c r="H77" i="43" s="1"/>
  <c r="P446" i="32"/>
  <c r="H76" i="43" s="1"/>
  <c r="P445" i="32"/>
  <c r="H75" i="43" s="1"/>
  <c r="P444" i="32"/>
  <c r="H74" i="43" s="1"/>
  <c r="P443" i="32"/>
  <c r="H73" i="43" s="1"/>
  <c r="P442" i="32"/>
  <c r="H72" i="43" s="1"/>
  <c r="P441" i="32"/>
  <c r="H71" i="43" s="1"/>
  <c r="P440" i="32"/>
  <c r="H70" i="43" s="1"/>
  <c r="P439" i="32"/>
  <c r="H69" i="43" s="1"/>
  <c r="P437" i="32"/>
  <c r="H67" i="43" s="1"/>
  <c r="P436" i="32"/>
  <c r="H66" i="43" s="1"/>
  <c r="P435" i="32"/>
  <c r="H65" i="43" s="1"/>
  <c r="P434" i="32"/>
  <c r="H64" i="43" s="1"/>
  <c r="P433" i="32"/>
  <c r="H63" i="43" s="1"/>
  <c r="P432" i="32"/>
  <c r="H62" i="43" s="1"/>
  <c r="P431" i="32"/>
  <c r="H61" i="43" s="1"/>
  <c r="P430" i="32"/>
  <c r="H60" i="43" s="1"/>
  <c r="P429" i="32"/>
  <c r="H59" i="43" s="1"/>
  <c r="P427" i="32"/>
  <c r="N73" i="44" s="1"/>
  <c r="P426" i="32"/>
  <c r="N72" i="44" s="1"/>
  <c r="P425" i="32"/>
  <c r="N71" i="44" s="1"/>
  <c r="P424" i="32"/>
  <c r="N70" i="44" s="1"/>
  <c r="P422" i="32"/>
  <c r="P421" i="32"/>
  <c r="P420" i="32"/>
  <c r="P419" i="32"/>
  <c r="P417" i="32"/>
  <c r="N81" i="44" s="1"/>
  <c r="P416" i="32"/>
  <c r="N80" i="44" s="1"/>
  <c r="P414" i="32"/>
  <c r="N77" i="44" s="1"/>
  <c r="P413" i="32"/>
  <c r="N76" i="44" s="1"/>
  <c r="P411" i="32"/>
  <c r="N69" i="42" s="1"/>
  <c r="P410" i="32"/>
  <c r="N68" i="42" s="1"/>
  <c r="P409" i="32"/>
  <c r="N67" i="42" s="1"/>
  <c r="P408" i="32"/>
  <c r="N66" i="42" s="1"/>
  <c r="P407" i="32"/>
  <c r="N65" i="42" s="1"/>
  <c r="P406" i="32"/>
  <c r="N64" i="42" s="1"/>
  <c r="P405" i="32"/>
  <c r="N63" i="42" s="1"/>
  <c r="P404" i="32"/>
  <c r="N62" i="42" s="1"/>
  <c r="P403" i="32"/>
  <c r="N61" i="42" s="1"/>
  <c r="P402" i="32"/>
  <c r="N60" i="42" s="1"/>
  <c r="P401" i="32"/>
  <c r="N59" i="42" s="1"/>
  <c r="Q399" i="32"/>
  <c r="P399" i="32"/>
  <c r="Q398" i="32"/>
  <c r="O57" i="42" s="1"/>
  <c r="P398" i="32"/>
  <c r="N57" i="42" s="1"/>
  <c r="Q397" i="32"/>
  <c r="O56" i="42" s="1"/>
  <c r="P397" i="32"/>
  <c r="N56" i="42" s="1"/>
  <c r="Q396" i="32"/>
  <c r="O55" i="42" s="1"/>
  <c r="P396" i="32"/>
  <c r="N55" i="42" s="1"/>
  <c r="Q395" i="32"/>
  <c r="O54" i="42" s="1"/>
  <c r="P395" i="32"/>
  <c r="N54" i="42" s="1"/>
  <c r="Q394" i="32"/>
  <c r="O53" i="42" s="1"/>
  <c r="P394" i="32"/>
  <c r="N53" i="42" s="1"/>
  <c r="Q393" i="32"/>
  <c r="O52" i="42" s="1"/>
  <c r="P393" i="32"/>
  <c r="N52" i="42" s="1"/>
  <c r="Q392" i="32"/>
  <c r="O51" i="42" s="1"/>
  <c r="P392" i="32"/>
  <c r="N51" i="42" s="1"/>
  <c r="Q391" i="32"/>
  <c r="O50" i="42" s="1"/>
  <c r="P391" i="32"/>
  <c r="N50" i="42" s="1"/>
  <c r="Q390" i="32"/>
  <c r="O49" i="42" s="1"/>
  <c r="P390" i="32"/>
  <c r="N49" i="42" s="1"/>
  <c r="Q389" i="32"/>
  <c r="O48" i="42" s="1"/>
  <c r="Q388" i="32"/>
  <c r="O47" i="42" s="1"/>
  <c r="P388" i="32"/>
  <c r="N47" i="42" s="1"/>
  <c r="P387" i="32"/>
  <c r="N46" i="42" s="1"/>
  <c r="P386" i="32"/>
  <c r="N45" i="42" s="1"/>
  <c r="P385" i="32"/>
  <c r="N44" i="42" s="1"/>
  <c r="P384" i="32"/>
  <c r="N43" i="42" s="1"/>
  <c r="P383" i="32"/>
  <c r="N42" i="42" s="1"/>
  <c r="P382" i="32"/>
  <c r="N41" i="42" s="1"/>
  <c r="Q380" i="32"/>
  <c r="O39" i="42" s="1"/>
  <c r="P380" i="32"/>
  <c r="N39" i="42" s="1"/>
  <c r="Q379" i="32"/>
  <c r="O38" i="42" s="1"/>
  <c r="P379" i="32"/>
  <c r="N38" i="42" s="1"/>
  <c r="Q378" i="32"/>
  <c r="O37" i="42" s="1"/>
  <c r="P378" i="32"/>
  <c r="N37" i="42" s="1"/>
  <c r="Q377" i="32"/>
  <c r="O36" i="42" s="1"/>
  <c r="P377" i="32"/>
  <c r="N36" i="42" s="1"/>
  <c r="Q376" i="32"/>
  <c r="O35" i="42" s="1"/>
  <c r="P376" i="32"/>
  <c r="N35" i="42" s="1"/>
  <c r="Q375" i="32"/>
  <c r="O34" i="42" s="1"/>
  <c r="P375" i="32"/>
  <c r="N34" i="42" s="1"/>
  <c r="Q373" i="32"/>
  <c r="O31" i="42" s="1"/>
  <c r="P373" i="32"/>
  <c r="N31" i="42" s="1"/>
  <c r="Q372" i="32"/>
  <c r="O30" i="42" s="1"/>
  <c r="P372" i="32"/>
  <c r="N30" i="42" s="1"/>
  <c r="Q371" i="32"/>
  <c r="O29" i="42" s="1"/>
  <c r="P371" i="32"/>
  <c r="N29" i="42" s="1"/>
  <c r="Q370" i="32"/>
  <c r="O28" i="42" s="1"/>
  <c r="P370" i="32"/>
  <c r="N28" i="42" s="1"/>
  <c r="Q369" i="32"/>
  <c r="O27" i="42" s="1"/>
  <c r="P369" i="32"/>
  <c r="N27" i="42" s="1"/>
  <c r="Q367" i="32"/>
  <c r="O25" i="42" s="1"/>
  <c r="P367" i="32"/>
  <c r="N25" i="42" s="1"/>
  <c r="Q366" i="32"/>
  <c r="O24" i="42" s="1"/>
  <c r="P366" i="32"/>
  <c r="N24" i="42" s="1"/>
  <c r="Q364" i="32"/>
  <c r="O22" i="42" s="1"/>
  <c r="P364" i="32"/>
  <c r="N22" i="42" s="1"/>
  <c r="Q363" i="32"/>
  <c r="P363" i="32"/>
  <c r="N21" i="42" s="1"/>
  <c r="Q362" i="32"/>
  <c r="O20" i="42" s="1"/>
  <c r="P362" i="32"/>
  <c r="N20" i="42" s="1"/>
  <c r="Q361" i="32"/>
  <c r="O19" i="42" s="1"/>
  <c r="P361" i="32"/>
  <c r="N19" i="42" s="1"/>
  <c r="Q360" i="32"/>
  <c r="O18" i="42" s="1"/>
  <c r="P360" i="32"/>
  <c r="N18" i="42" s="1"/>
  <c r="Q359" i="32"/>
  <c r="O17" i="42" s="1"/>
  <c r="P359" i="32"/>
  <c r="N17" i="42" s="1"/>
  <c r="Q358" i="32"/>
  <c r="O16" i="42" s="1"/>
  <c r="P358" i="32"/>
  <c r="N16" i="42" s="1"/>
  <c r="Q357" i="32"/>
  <c r="O15" i="42" s="1"/>
  <c r="P357" i="32"/>
  <c r="N15" i="42" s="1"/>
  <c r="P355" i="32"/>
  <c r="N13" i="42" s="1"/>
  <c r="P354" i="32"/>
  <c r="N12" i="42" s="1"/>
  <c r="P353" i="32"/>
  <c r="N11" i="42" s="1"/>
  <c r="Q351" i="32"/>
  <c r="P351" i="32"/>
  <c r="N32" i="42" s="1"/>
  <c r="Q350" i="32"/>
  <c r="O9" i="42" s="1"/>
  <c r="P350" i="32"/>
  <c r="N9" i="42" s="1"/>
  <c r="Q349" i="32"/>
  <c r="O8" i="42" s="1"/>
  <c r="P349" i="32"/>
  <c r="N8" i="42" s="1"/>
  <c r="Q348" i="32"/>
  <c r="O7" i="42" s="1"/>
  <c r="P348" i="32"/>
  <c r="N7" i="42" s="1"/>
  <c r="Q347" i="32"/>
  <c r="O6" i="42" s="1"/>
  <c r="P347" i="32"/>
  <c r="N6" i="42" s="1"/>
  <c r="Q346" i="32"/>
  <c r="O5" i="42" s="1"/>
  <c r="P346" i="32"/>
  <c r="N5" i="42" s="1"/>
  <c r="Q345" i="32"/>
  <c r="O4" i="42" s="1"/>
  <c r="P345" i="32"/>
  <c r="N4" i="42" s="1"/>
  <c r="P343" i="32"/>
  <c r="H56" i="43" s="1"/>
  <c r="P342" i="32"/>
  <c r="H55" i="43" s="1"/>
  <c r="P341" i="32"/>
  <c r="H54" i="43" s="1"/>
  <c r="P340" i="32"/>
  <c r="H53" i="43" s="1"/>
  <c r="P339" i="32"/>
  <c r="H52" i="43" s="1"/>
  <c r="P338" i="32"/>
  <c r="H51" i="43" s="1"/>
  <c r="P335" i="32"/>
  <c r="H47" i="43" s="1"/>
  <c r="P334" i="32"/>
  <c r="H46" i="43" s="1"/>
  <c r="P333" i="32"/>
  <c r="H45" i="43" s="1"/>
  <c r="P332" i="32"/>
  <c r="H44" i="43" s="1"/>
  <c r="P331" i="32"/>
  <c r="H43" i="43" s="1"/>
  <c r="P328" i="32"/>
  <c r="H40" i="43" s="1"/>
  <c r="P327" i="32"/>
  <c r="H39" i="43" s="1"/>
  <c r="P324" i="32"/>
  <c r="H36" i="43" s="1"/>
  <c r="P323" i="32"/>
  <c r="H35" i="43" s="1"/>
  <c r="P322" i="32"/>
  <c r="H34" i="43" s="1"/>
  <c r="P321" i="32"/>
  <c r="H33" i="43" s="1"/>
  <c r="P320" i="32"/>
  <c r="H32" i="43" s="1"/>
  <c r="P319" i="32"/>
  <c r="H31" i="43" s="1"/>
  <c r="P318" i="32"/>
  <c r="H30" i="43" s="1"/>
  <c r="P317" i="32"/>
  <c r="H29" i="43" s="1"/>
  <c r="P314" i="32"/>
  <c r="H26" i="43" s="1"/>
  <c r="P313" i="32"/>
  <c r="H25" i="43" s="1"/>
  <c r="P312" i="32"/>
  <c r="H24" i="43" s="1"/>
  <c r="P309" i="32"/>
  <c r="H48" i="43" s="1"/>
  <c r="P308" i="32"/>
  <c r="H21" i="43" s="1"/>
  <c r="P307" i="32"/>
  <c r="H20" i="43" s="1"/>
  <c r="P306" i="32"/>
  <c r="H19" i="43" s="1"/>
  <c r="P305" i="32"/>
  <c r="H18" i="43" s="1"/>
  <c r="P304" i="32"/>
  <c r="H17" i="43" s="1"/>
  <c r="P303" i="32"/>
  <c r="H16" i="43" s="1"/>
  <c r="P300" i="32"/>
  <c r="P299" i="32"/>
  <c r="P298" i="32"/>
  <c r="P297" i="32"/>
  <c r="P296" i="32"/>
  <c r="P295" i="32"/>
  <c r="P294" i="32"/>
  <c r="N5" i="45" s="1"/>
  <c r="P293" i="32"/>
  <c r="N17" i="40" s="1"/>
  <c r="P292" i="32"/>
  <c r="N16" i="40" s="1"/>
  <c r="P291" i="32"/>
  <c r="N15" i="40" s="1"/>
  <c r="P290" i="32"/>
  <c r="N14" i="40" s="1"/>
  <c r="P289" i="32"/>
  <c r="N13" i="40" s="1"/>
  <c r="P288" i="32"/>
  <c r="N12" i="40" s="1"/>
  <c r="P287" i="32"/>
  <c r="P286" i="32"/>
  <c r="P285" i="32"/>
  <c r="N10" i="40" s="1"/>
  <c r="P284" i="32"/>
  <c r="P283" i="32"/>
  <c r="P282" i="32"/>
  <c r="P281" i="32"/>
  <c r="N14" i="45" s="1"/>
  <c r="P280" i="32"/>
  <c r="P279" i="32"/>
  <c r="P278" i="32"/>
  <c r="P277" i="32"/>
  <c r="P276" i="32"/>
  <c r="P275" i="32"/>
  <c r="P259" i="32"/>
  <c r="P258" i="32"/>
  <c r="P257" i="32"/>
  <c r="P256" i="32"/>
  <c r="P255" i="32"/>
  <c r="P254" i="32"/>
  <c r="P252" i="32"/>
  <c r="N67" i="44" s="1"/>
  <c r="P251" i="32"/>
  <c r="N66" i="44" s="1"/>
  <c r="P250" i="32"/>
  <c r="N65" i="44" s="1"/>
  <c r="P249" i="32"/>
  <c r="N64" i="44" s="1"/>
  <c r="P248" i="32"/>
  <c r="N63" i="44" s="1"/>
  <c r="P247" i="32"/>
  <c r="N62" i="44" s="1"/>
  <c r="P246" i="32"/>
  <c r="N61" i="44" s="1"/>
  <c r="P245" i="32"/>
  <c r="N60" i="44" s="1"/>
  <c r="P244" i="32"/>
  <c r="N59" i="44" s="1"/>
  <c r="P239" i="32"/>
  <c r="P238" i="32"/>
  <c r="N56" i="44" s="1"/>
  <c r="P237" i="32"/>
  <c r="P236" i="32"/>
  <c r="P235" i="32"/>
  <c r="N53" i="44" s="1"/>
  <c r="P234" i="32"/>
  <c r="N52" i="44" s="1"/>
  <c r="P233" i="32"/>
  <c r="P230" i="32"/>
  <c r="P229" i="32"/>
  <c r="P228" i="32"/>
  <c r="P227" i="32"/>
  <c r="P226" i="32"/>
  <c r="P225" i="32"/>
  <c r="P223" i="32"/>
  <c r="N48" i="44" s="1"/>
  <c r="P222" i="32"/>
  <c r="N47" i="44" s="1"/>
  <c r="P221" i="32"/>
  <c r="N46" i="44" s="1"/>
  <c r="P220" i="32"/>
  <c r="N45" i="44" s="1"/>
  <c r="P219" i="32"/>
  <c r="N44" i="44" s="1"/>
  <c r="P218" i="32"/>
  <c r="N43" i="44" s="1"/>
  <c r="P217" i="32"/>
  <c r="N42" i="44" s="1"/>
  <c r="P216" i="32"/>
  <c r="N41" i="44" s="1"/>
  <c r="P215" i="32"/>
  <c r="N40" i="44" s="1"/>
  <c r="P210" i="32"/>
  <c r="P209" i="32"/>
  <c r="N37" i="44" s="1"/>
  <c r="P208" i="32"/>
  <c r="P207" i="32"/>
  <c r="N35" i="44" s="1"/>
  <c r="P206" i="32"/>
  <c r="N34" i="44" s="1"/>
  <c r="P205" i="32"/>
  <c r="P202" i="32"/>
  <c r="P201" i="32"/>
  <c r="P200" i="32"/>
  <c r="P199" i="32"/>
  <c r="P198" i="32"/>
  <c r="P197" i="32"/>
  <c r="P196" i="32"/>
  <c r="P195" i="32"/>
  <c r="P193" i="32"/>
  <c r="N28" i="44" s="1"/>
  <c r="P192" i="32"/>
  <c r="N27" i="44" s="1"/>
  <c r="P191" i="32"/>
  <c r="N26" i="44" s="1"/>
  <c r="P190" i="32"/>
  <c r="N25" i="44" s="1"/>
  <c r="P189" i="32"/>
  <c r="N24" i="44" s="1"/>
  <c r="P188" i="32"/>
  <c r="N23" i="44" s="1"/>
  <c r="P187" i="32"/>
  <c r="N22" i="44" s="1"/>
  <c r="P186" i="32"/>
  <c r="N21" i="44" s="1"/>
  <c r="P185" i="32"/>
  <c r="N20" i="44" s="1"/>
  <c r="P180" i="32"/>
  <c r="P179" i="32"/>
  <c r="N17" i="44" s="1"/>
  <c r="P178" i="32"/>
  <c r="P177" i="32"/>
  <c r="P176" i="32"/>
  <c r="P175" i="32"/>
  <c r="P173" i="32"/>
  <c r="P172" i="32"/>
  <c r="P171" i="32"/>
  <c r="P168" i="32"/>
  <c r="P167" i="32"/>
  <c r="P166" i="32"/>
  <c r="P165" i="32"/>
  <c r="P164" i="32"/>
  <c r="P163" i="32"/>
  <c r="P161" i="32"/>
  <c r="H97" i="39" s="1"/>
  <c r="P160" i="32"/>
  <c r="H96" i="39" s="1"/>
  <c r="P159" i="32"/>
  <c r="H95" i="39" s="1"/>
  <c r="P158" i="32"/>
  <c r="H94" i="39" s="1"/>
  <c r="P157" i="32"/>
  <c r="H93" i="39" s="1"/>
  <c r="P156" i="32"/>
  <c r="H92" i="39" s="1"/>
  <c r="P155" i="32"/>
  <c r="H91" i="39" s="1"/>
  <c r="P154" i="32"/>
  <c r="H90" i="39" s="1"/>
  <c r="P153" i="32"/>
  <c r="H89" i="39" s="1"/>
  <c r="P148" i="32"/>
  <c r="P147" i="32"/>
  <c r="H86" i="39" s="1"/>
  <c r="P146" i="32"/>
  <c r="P145" i="32"/>
  <c r="H84" i="39" s="1"/>
  <c r="P144" i="32"/>
  <c r="H83" i="39" s="1"/>
  <c r="P143" i="32"/>
  <c r="P140" i="32"/>
  <c r="P139" i="32"/>
  <c r="P138" i="32"/>
  <c r="P137" i="32"/>
  <c r="P136" i="32"/>
  <c r="P135" i="32"/>
  <c r="P133" i="32"/>
  <c r="H79" i="39" s="1"/>
  <c r="P132" i="32"/>
  <c r="H78" i="39" s="1"/>
  <c r="P131" i="32"/>
  <c r="H77" i="39" s="1"/>
  <c r="P130" i="32"/>
  <c r="H76" i="39" s="1"/>
  <c r="P129" i="32"/>
  <c r="H75" i="39" s="1"/>
  <c r="P128" i="32"/>
  <c r="H74" i="39" s="1"/>
  <c r="P127" i="32"/>
  <c r="H73" i="39" s="1"/>
  <c r="P126" i="32"/>
  <c r="H72" i="39" s="1"/>
  <c r="P125" i="32"/>
  <c r="H71" i="39" s="1"/>
  <c r="P120" i="32"/>
  <c r="P119" i="32"/>
  <c r="H68" i="39" s="1"/>
  <c r="P118" i="32"/>
  <c r="P117" i="32"/>
  <c r="H66" i="39" s="1"/>
  <c r="P116" i="32"/>
  <c r="H65" i="39" s="1"/>
  <c r="P115" i="32"/>
  <c r="P112" i="32"/>
  <c r="P111" i="32"/>
  <c r="P110" i="32"/>
  <c r="P109" i="32"/>
  <c r="P108" i="32"/>
  <c r="P107" i="32"/>
  <c r="P105" i="32"/>
  <c r="H61" i="39" s="1"/>
  <c r="P104" i="32"/>
  <c r="H60" i="39" s="1"/>
  <c r="P103" i="32"/>
  <c r="H59" i="39" s="1"/>
  <c r="P102" i="32"/>
  <c r="H58" i="39" s="1"/>
  <c r="P101" i="32"/>
  <c r="H57" i="39" s="1"/>
  <c r="P100" i="32"/>
  <c r="H56" i="39" s="1"/>
  <c r="P99" i="32"/>
  <c r="H55" i="39" s="1"/>
  <c r="P98" i="32"/>
  <c r="H54" i="39" s="1"/>
  <c r="P97" i="32"/>
  <c r="H53" i="39" s="1"/>
  <c r="P92" i="32"/>
  <c r="P91" i="32"/>
  <c r="H50" i="39" s="1"/>
  <c r="P90" i="32"/>
  <c r="P89" i="32"/>
  <c r="H48" i="39" s="1"/>
  <c r="P88" i="32"/>
  <c r="H47" i="39" s="1"/>
  <c r="P87" i="32"/>
  <c r="P84" i="32"/>
  <c r="P83" i="32"/>
  <c r="P82" i="32"/>
  <c r="P81" i="32"/>
  <c r="P80" i="32"/>
  <c r="P79" i="32"/>
  <c r="P77" i="32"/>
  <c r="H43" i="39" s="1"/>
  <c r="P76" i="32"/>
  <c r="H42" i="39" s="1"/>
  <c r="P75" i="32"/>
  <c r="H41" i="39" s="1"/>
  <c r="P74" i="32"/>
  <c r="H40" i="39" s="1"/>
  <c r="P73" i="32"/>
  <c r="H39" i="39" s="1"/>
  <c r="P72" i="32"/>
  <c r="H38" i="39" s="1"/>
  <c r="P71" i="32"/>
  <c r="H37" i="39" s="1"/>
  <c r="P70" i="32"/>
  <c r="H36" i="39" s="1"/>
  <c r="P69" i="32"/>
  <c r="H35" i="39" s="1"/>
  <c r="P64" i="32"/>
  <c r="P63" i="32"/>
  <c r="H32" i="39" s="1"/>
  <c r="P62" i="32"/>
  <c r="P61" i="32"/>
  <c r="H30" i="39" s="1"/>
  <c r="P60" i="32"/>
  <c r="H29" i="39" s="1"/>
  <c r="P59" i="32"/>
  <c r="P56" i="32"/>
  <c r="P55" i="32"/>
  <c r="P54" i="32"/>
  <c r="P53" i="32"/>
  <c r="P52" i="32"/>
  <c r="P51" i="32"/>
  <c r="P49" i="32"/>
  <c r="P48" i="32"/>
  <c r="H24" i="39" s="1"/>
  <c r="P47" i="32"/>
  <c r="H23" i="39" s="1"/>
  <c r="P46" i="32"/>
  <c r="H22" i="39" s="1"/>
  <c r="P45" i="32"/>
  <c r="H21" i="39" s="1"/>
  <c r="P44" i="32"/>
  <c r="H20" i="39" s="1"/>
  <c r="P43" i="32"/>
  <c r="H19" i="39" s="1"/>
  <c r="P42" i="32"/>
  <c r="H18" i="39" s="1"/>
  <c r="P41" i="32"/>
  <c r="H17" i="39" s="1"/>
  <c r="P36" i="32"/>
  <c r="P35" i="32"/>
  <c r="H14" i="39" s="1"/>
  <c r="P34" i="32"/>
  <c r="P33" i="32"/>
  <c r="P32" i="32"/>
  <c r="P31" i="32"/>
  <c r="P30" i="32"/>
  <c r="N630" i="32"/>
  <c r="G260" i="43" s="1"/>
  <c r="N629" i="32"/>
  <c r="G259" i="43" s="1"/>
  <c r="N628" i="32"/>
  <c r="G258" i="43" s="1"/>
  <c r="N627" i="32"/>
  <c r="G257" i="43" s="1"/>
  <c r="N626" i="32"/>
  <c r="G256" i="43" s="1"/>
  <c r="N625" i="32"/>
  <c r="G255" i="43" s="1"/>
  <c r="N624" i="32"/>
  <c r="G254" i="43" s="1"/>
  <c r="N623" i="32"/>
  <c r="G253" i="43" s="1"/>
  <c r="N622" i="32"/>
  <c r="G252" i="43" s="1"/>
  <c r="N620" i="32"/>
  <c r="G250" i="43" s="1"/>
  <c r="N619" i="32"/>
  <c r="G249" i="43" s="1"/>
  <c r="N618" i="32"/>
  <c r="G248" i="43" s="1"/>
  <c r="N617" i="32"/>
  <c r="G247" i="43" s="1"/>
  <c r="N616" i="32"/>
  <c r="G246" i="43" s="1"/>
  <c r="N615" i="32"/>
  <c r="G245" i="43" s="1"/>
  <c r="N614" i="32"/>
  <c r="G244" i="43" s="1"/>
  <c r="N613" i="32"/>
  <c r="G243" i="43" s="1"/>
  <c r="N612" i="32"/>
  <c r="G242" i="43" s="1"/>
  <c r="N610" i="32"/>
  <c r="G240" i="43" s="1"/>
  <c r="N609" i="32"/>
  <c r="G239" i="43" s="1"/>
  <c r="N608" i="32"/>
  <c r="G238" i="43" s="1"/>
  <c r="N606" i="32"/>
  <c r="G236" i="43" s="1"/>
  <c r="N605" i="32"/>
  <c r="G235" i="43" s="1"/>
  <c r="N604" i="32"/>
  <c r="G234" i="43" s="1"/>
  <c r="N603" i="32"/>
  <c r="N602" i="32"/>
  <c r="N601" i="32"/>
  <c r="G231" i="43" s="1"/>
  <c r="N600" i="32"/>
  <c r="G230" i="43" s="1"/>
  <c r="N599" i="32"/>
  <c r="G229" i="43" s="1"/>
  <c r="N598" i="32"/>
  <c r="G228" i="43" s="1"/>
  <c r="N597" i="32"/>
  <c r="G227" i="43" s="1"/>
  <c r="N596" i="32"/>
  <c r="G226" i="43" s="1"/>
  <c r="N594" i="32"/>
  <c r="G224" i="43" s="1"/>
  <c r="N593" i="32"/>
  <c r="G223" i="43" s="1"/>
  <c r="N592" i="32"/>
  <c r="G222" i="43" s="1"/>
  <c r="N591" i="32"/>
  <c r="G221" i="43" s="1"/>
  <c r="N590" i="32"/>
  <c r="G220" i="43" s="1"/>
  <c r="N589" i="32"/>
  <c r="G219" i="43" s="1"/>
  <c r="N588" i="32"/>
  <c r="G218" i="43" s="1"/>
  <c r="N587" i="32"/>
  <c r="G217" i="43" s="1"/>
  <c r="N586" i="32"/>
  <c r="G216" i="43" s="1"/>
  <c r="N584" i="32"/>
  <c r="G214" i="43" s="1"/>
  <c r="N583" i="32"/>
  <c r="G213" i="43" s="1"/>
  <c r="N582" i="32"/>
  <c r="G212" i="43" s="1"/>
  <c r="N581" i="32"/>
  <c r="G211" i="43" s="1"/>
  <c r="N580" i="32"/>
  <c r="G210" i="43" s="1"/>
  <c r="N579" i="32"/>
  <c r="G209" i="43" s="1"/>
  <c r="N578" i="32"/>
  <c r="G208" i="43" s="1"/>
  <c r="N577" i="32"/>
  <c r="G207" i="43" s="1"/>
  <c r="N576" i="32"/>
  <c r="G206" i="43" s="1"/>
  <c r="N575" i="32"/>
  <c r="G205" i="43" s="1"/>
  <c r="N574" i="32"/>
  <c r="G204" i="43" s="1"/>
  <c r="N573" i="32"/>
  <c r="G203" i="43" s="1"/>
  <c r="N572" i="32"/>
  <c r="G202" i="43" s="1"/>
  <c r="N571" i="32"/>
  <c r="G201" i="43" s="1"/>
  <c r="N570" i="32"/>
  <c r="G200" i="43" s="1"/>
  <c r="N569" i="32"/>
  <c r="G199" i="43" s="1"/>
  <c r="N568" i="32"/>
  <c r="G198" i="43" s="1"/>
  <c r="N567" i="32"/>
  <c r="G197" i="43" s="1"/>
  <c r="N566" i="32"/>
  <c r="G196" i="43" s="1"/>
  <c r="N560" i="32"/>
  <c r="G190" i="43" s="1"/>
  <c r="N559" i="32"/>
  <c r="G189" i="43" s="1"/>
  <c r="N558" i="32"/>
  <c r="G188" i="43" s="1"/>
  <c r="N556" i="32"/>
  <c r="G186" i="43" s="1"/>
  <c r="N555" i="32"/>
  <c r="G185" i="43" s="1"/>
  <c r="N554" i="32"/>
  <c r="G184" i="43" s="1"/>
  <c r="N553" i="32"/>
  <c r="G183" i="43" s="1"/>
  <c r="N552" i="32"/>
  <c r="G182" i="43" s="1"/>
  <c r="N551" i="32"/>
  <c r="G181" i="43" s="1"/>
  <c r="N549" i="32"/>
  <c r="N548" i="32"/>
  <c r="G178" i="43" s="1"/>
  <c r="N547" i="32"/>
  <c r="G177" i="43" s="1"/>
  <c r="N546" i="32"/>
  <c r="G176" i="43" s="1"/>
  <c r="N545" i="32"/>
  <c r="G175" i="43" s="1"/>
  <c r="N544" i="32"/>
  <c r="G174" i="43" s="1"/>
  <c r="N543" i="32"/>
  <c r="G173" i="43" s="1"/>
  <c r="N542" i="32"/>
  <c r="G172" i="43" s="1"/>
  <c r="N541" i="32"/>
  <c r="G171" i="43" s="1"/>
  <c r="N540" i="32"/>
  <c r="G170" i="43" s="1"/>
  <c r="N538" i="32"/>
  <c r="G168" i="43" s="1"/>
  <c r="N537" i="32"/>
  <c r="G167" i="43" s="1"/>
  <c r="N536" i="32"/>
  <c r="N535" i="32"/>
  <c r="G165" i="43" s="1"/>
  <c r="N534" i="32"/>
  <c r="N533" i="32"/>
  <c r="G163" i="43" s="1"/>
  <c r="N532" i="32"/>
  <c r="G162" i="43" s="1"/>
  <c r="N531" i="32"/>
  <c r="G161" i="43" s="1"/>
  <c r="N530" i="32"/>
  <c r="G160" i="43" s="1"/>
  <c r="N529" i="32"/>
  <c r="G159" i="43" s="1"/>
  <c r="N528" i="32"/>
  <c r="G158" i="43" s="1"/>
  <c r="N526" i="32"/>
  <c r="G156" i="43" s="1"/>
  <c r="N525" i="32"/>
  <c r="G155" i="43" s="1"/>
  <c r="N524" i="32"/>
  <c r="G154" i="43" s="1"/>
  <c r="N523" i="32"/>
  <c r="G153" i="43" s="1"/>
  <c r="N522" i="32"/>
  <c r="G152" i="43" s="1"/>
  <c r="N521" i="32"/>
  <c r="G151" i="43" s="1"/>
  <c r="N520" i="32"/>
  <c r="G150" i="43" s="1"/>
  <c r="N519" i="32"/>
  <c r="G149" i="43" s="1"/>
  <c r="N518" i="32"/>
  <c r="G148" i="43" s="1"/>
  <c r="N512" i="32"/>
  <c r="G142" i="43" s="1"/>
  <c r="N511" i="32"/>
  <c r="G141" i="43" s="1"/>
  <c r="N510" i="32"/>
  <c r="G140" i="43" s="1"/>
  <c r="N509" i="32"/>
  <c r="G139" i="43" s="1"/>
  <c r="N508" i="32"/>
  <c r="G138" i="43" s="1"/>
  <c r="N507" i="32"/>
  <c r="G137" i="43" s="1"/>
  <c r="N506" i="32"/>
  <c r="G136" i="43" s="1"/>
  <c r="N505" i="32"/>
  <c r="G135" i="43" s="1"/>
  <c r="N504" i="32"/>
  <c r="G134" i="43" s="1"/>
  <c r="N502" i="32"/>
  <c r="G132" i="43" s="1"/>
  <c r="N501" i="32"/>
  <c r="G131" i="43" s="1"/>
  <c r="N500" i="32"/>
  <c r="G130" i="43" s="1"/>
  <c r="N498" i="32"/>
  <c r="G128" i="43" s="1"/>
  <c r="N497" i="32"/>
  <c r="N496" i="32"/>
  <c r="G126" i="43" s="1"/>
  <c r="N495" i="32"/>
  <c r="G125" i="43" s="1"/>
  <c r="N494" i="32"/>
  <c r="G124" i="43" s="1"/>
  <c r="N493" i="32"/>
  <c r="G123" i="43" s="1"/>
  <c r="N492" i="32"/>
  <c r="G122" i="43" s="1"/>
  <c r="N491" i="32"/>
  <c r="G121" i="43" s="1"/>
  <c r="N490" i="32"/>
  <c r="G120" i="43" s="1"/>
  <c r="N489" i="32"/>
  <c r="G119" i="43" s="1"/>
  <c r="N488" i="32"/>
  <c r="G118" i="43" s="1"/>
  <c r="N486" i="32"/>
  <c r="G116" i="43" s="1"/>
  <c r="N485" i="32"/>
  <c r="G115" i="43" s="1"/>
  <c r="N484" i="32"/>
  <c r="G114" i="43" s="1"/>
  <c r="N483" i="32"/>
  <c r="G113" i="43" s="1"/>
  <c r="N482" i="32"/>
  <c r="G112" i="43" s="1"/>
  <c r="N481" i="32"/>
  <c r="G111" i="43" s="1"/>
  <c r="N480" i="32"/>
  <c r="G110" i="43" s="1"/>
  <c r="N479" i="32"/>
  <c r="G109" i="43" s="1"/>
  <c r="N477" i="32"/>
  <c r="G107" i="43" s="1"/>
  <c r="N476" i="32"/>
  <c r="G106" i="43" s="1"/>
  <c r="N475" i="32"/>
  <c r="G105" i="43" s="1"/>
  <c r="N473" i="32"/>
  <c r="G103" i="43" s="1"/>
  <c r="N472" i="32"/>
  <c r="G102" i="43" s="1"/>
  <c r="N471" i="32"/>
  <c r="G101" i="43" s="1"/>
  <c r="N469" i="32"/>
  <c r="G99" i="43" s="1"/>
  <c r="N468" i="32"/>
  <c r="G98" i="43" s="1"/>
  <c r="N467" i="32"/>
  <c r="G97" i="43" s="1"/>
  <c r="N463" i="32"/>
  <c r="G93" i="43" s="1"/>
  <c r="N462" i="32"/>
  <c r="G92" i="43" s="1"/>
  <c r="N461" i="32"/>
  <c r="G91" i="43" s="1"/>
  <c r="N460" i="32"/>
  <c r="G90" i="43" s="1"/>
  <c r="N459" i="32"/>
  <c r="G89" i="43" s="1"/>
  <c r="N458" i="32"/>
  <c r="G88" i="43" s="1"/>
  <c r="N457" i="32"/>
  <c r="G87" i="43" s="1"/>
  <c r="N456" i="32"/>
  <c r="G86" i="43" s="1"/>
  <c r="N455" i="32"/>
  <c r="G85" i="43" s="1"/>
  <c r="N453" i="32"/>
  <c r="G83" i="43" s="1"/>
  <c r="N452" i="32"/>
  <c r="G82" i="43" s="1"/>
  <c r="N451" i="32"/>
  <c r="G81" i="43" s="1"/>
  <c r="N449" i="32"/>
  <c r="G79" i="43" s="1"/>
  <c r="N448" i="32"/>
  <c r="G78" i="43" s="1"/>
  <c r="N447" i="32"/>
  <c r="G77" i="43" s="1"/>
  <c r="N446" i="32"/>
  <c r="G76" i="43" s="1"/>
  <c r="N445" i="32"/>
  <c r="G75" i="43" s="1"/>
  <c r="N444" i="32"/>
  <c r="G74" i="43" s="1"/>
  <c r="N443" i="32"/>
  <c r="G73" i="43" s="1"/>
  <c r="N442" i="32"/>
  <c r="G72" i="43" s="1"/>
  <c r="N441" i="32"/>
  <c r="G71" i="43" s="1"/>
  <c r="N440" i="32"/>
  <c r="G70" i="43" s="1"/>
  <c r="N439" i="32"/>
  <c r="G69" i="43" s="1"/>
  <c r="N437" i="32"/>
  <c r="G67" i="43" s="1"/>
  <c r="N436" i="32"/>
  <c r="G66" i="43" s="1"/>
  <c r="N435" i="32"/>
  <c r="G65" i="43" s="1"/>
  <c r="N434" i="32"/>
  <c r="G64" i="43" s="1"/>
  <c r="N433" i="32"/>
  <c r="G63" i="43" s="1"/>
  <c r="N432" i="32"/>
  <c r="G62" i="43" s="1"/>
  <c r="N431" i="32"/>
  <c r="G61" i="43" s="1"/>
  <c r="N430" i="32"/>
  <c r="G60" i="43" s="1"/>
  <c r="N429" i="32"/>
  <c r="G59" i="43" s="1"/>
  <c r="N427" i="32"/>
  <c r="L73" i="44" s="1"/>
  <c r="N426" i="32"/>
  <c r="L72" i="44" s="1"/>
  <c r="N425" i="32"/>
  <c r="L71" i="44" s="1"/>
  <c r="N424" i="32"/>
  <c r="L70" i="44" s="1"/>
  <c r="N422" i="32"/>
  <c r="N421" i="32"/>
  <c r="N420" i="32"/>
  <c r="N419" i="32"/>
  <c r="N417" i="32"/>
  <c r="L81" i="44" s="1"/>
  <c r="N416" i="32"/>
  <c r="L80" i="44" s="1"/>
  <c r="N414" i="32"/>
  <c r="L77" i="44" s="1"/>
  <c r="N413" i="32"/>
  <c r="L76" i="44" s="1"/>
  <c r="N411" i="32"/>
  <c r="L69" i="42" s="1"/>
  <c r="N410" i="32"/>
  <c r="L68" i="42" s="1"/>
  <c r="N409" i="32"/>
  <c r="L67" i="42" s="1"/>
  <c r="N408" i="32"/>
  <c r="L66" i="42" s="1"/>
  <c r="N407" i="32"/>
  <c r="L65" i="42" s="1"/>
  <c r="N406" i="32"/>
  <c r="L64" i="42" s="1"/>
  <c r="N405" i="32"/>
  <c r="L63" i="42" s="1"/>
  <c r="N404" i="32"/>
  <c r="L62" i="42" s="1"/>
  <c r="N403" i="32"/>
  <c r="L61" i="42" s="1"/>
  <c r="N402" i="32"/>
  <c r="L60" i="42" s="1"/>
  <c r="N401" i="32"/>
  <c r="L59" i="42" s="1"/>
  <c r="O399" i="32"/>
  <c r="N399" i="32"/>
  <c r="O398" i="32"/>
  <c r="M57" i="42" s="1"/>
  <c r="N398" i="32"/>
  <c r="L57" i="42" s="1"/>
  <c r="O397" i="32"/>
  <c r="M56" i="42" s="1"/>
  <c r="N397" i="32"/>
  <c r="L56" i="42" s="1"/>
  <c r="O396" i="32"/>
  <c r="M55" i="42" s="1"/>
  <c r="N396" i="32"/>
  <c r="L55" i="42" s="1"/>
  <c r="O395" i="32"/>
  <c r="M54" i="42" s="1"/>
  <c r="N395" i="32"/>
  <c r="L54" i="42" s="1"/>
  <c r="O394" i="32"/>
  <c r="M53" i="42" s="1"/>
  <c r="N394" i="32"/>
  <c r="L53" i="42" s="1"/>
  <c r="O393" i="32"/>
  <c r="M52" i="42" s="1"/>
  <c r="N393" i="32"/>
  <c r="L52" i="42" s="1"/>
  <c r="O392" i="32"/>
  <c r="M51" i="42" s="1"/>
  <c r="N392" i="32"/>
  <c r="L51" i="42" s="1"/>
  <c r="O391" i="32"/>
  <c r="M50" i="42" s="1"/>
  <c r="N391" i="32"/>
  <c r="L50" i="42" s="1"/>
  <c r="O390" i="32"/>
  <c r="M49" i="42" s="1"/>
  <c r="N390" i="32"/>
  <c r="L49" i="42" s="1"/>
  <c r="O389" i="32"/>
  <c r="M48" i="42" s="1"/>
  <c r="O388" i="32"/>
  <c r="M47" i="42" s="1"/>
  <c r="N388" i="32"/>
  <c r="L47" i="42" s="1"/>
  <c r="N387" i="32"/>
  <c r="L46" i="42" s="1"/>
  <c r="N386" i="32"/>
  <c r="L45" i="42" s="1"/>
  <c r="N385" i="32"/>
  <c r="L44" i="42" s="1"/>
  <c r="N384" i="32"/>
  <c r="L43" i="42" s="1"/>
  <c r="N383" i="32"/>
  <c r="L42" i="42" s="1"/>
  <c r="N382" i="32"/>
  <c r="L41" i="42" s="1"/>
  <c r="O380" i="32"/>
  <c r="M39" i="42" s="1"/>
  <c r="N380" i="32"/>
  <c r="L39" i="42" s="1"/>
  <c r="O379" i="32"/>
  <c r="M38" i="42" s="1"/>
  <c r="N379" i="32"/>
  <c r="L38" i="42" s="1"/>
  <c r="O378" i="32"/>
  <c r="M37" i="42" s="1"/>
  <c r="N378" i="32"/>
  <c r="L37" i="42" s="1"/>
  <c r="O377" i="32"/>
  <c r="M36" i="42" s="1"/>
  <c r="N377" i="32"/>
  <c r="L36" i="42" s="1"/>
  <c r="O376" i="32"/>
  <c r="M35" i="42" s="1"/>
  <c r="N376" i="32"/>
  <c r="L35" i="42" s="1"/>
  <c r="O375" i="32"/>
  <c r="M34" i="42" s="1"/>
  <c r="N375" i="32"/>
  <c r="L34" i="42" s="1"/>
  <c r="O373" i="32"/>
  <c r="M31" i="42" s="1"/>
  <c r="N373" i="32"/>
  <c r="L31" i="42" s="1"/>
  <c r="O372" i="32"/>
  <c r="M30" i="42" s="1"/>
  <c r="N372" i="32"/>
  <c r="L30" i="42" s="1"/>
  <c r="O371" i="32"/>
  <c r="M29" i="42" s="1"/>
  <c r="N371" i="32"/>
  <c r="L29" i="42" s="1"/>
  <c r="O370" i="32"/>
  <c r="M28" i="42" s="1"/>
  <c r="N370" i="32"/>
  <c r="L28" i="42" s="1"/>
  <c r="O369" i="32"/>
  <c r="M27" i="42" s="1"/>
  <c r="N369" i="32"/>
  <c r="L27" i="42" s="1"/>
  <c r="O367" i="32"/>
  <c r="M25" i="42" s="1"/>
  <c r="N367" i="32"/>
  <c r="L25" i="42" s="1"/>
  <c r="O366" i="32"/>
  <c r="M24" i="42" s="1"/>
  <c r="N366" i="32"/>
  <c r="L24" i="42" s="1"/>
  <c r="O364" i="32"/>
  <c r="M22" i="42" s="1"/>
  <c r="N364" i="32"/>
  <c r="L22" i="42" s="1"/>
  <c r="O363" i="32"/>
  <c r="M21" i="42" s="1"/>
  <c r="N363" i="32"/>
  <c r="L21" i="42" s="1"/>
  <c r="O362" i="32"/>
  <c r="M20" i="42" s="1"/>
  <c r="N362" i="32"/>
  <c r="L20" i="42" s="1"/>
  <c r="O361" i="32"/>
  <c r="M19" i="42" s="1"/>
  <c r="N361" i="32"/>
  <c r="L19" i="42" s="1"/>
  <c r="O360" i="32"/>
  <c r="M18" i="42" s="1"/>
  <c r="N360" i="32"/>
  <c r="L18" i="42" s="1"/>
  <c r="O359" i="32"/>
  <c r="M17" i="42" s="1"/>
  <c r="N359" i="32"/>
  <c r="L17" i="42" s="1"/>
  <c r="O358" i="32"/>
  <c r="M16" i="42" s="1"/>
  <c r="N358" i="32"/>
  <c r="L16" i="42" s="1"/>
  <c r="O357" i="32"/>
  <c r="M15" i="42" s="1"/>
  <c r="N357" i="32"/>
  <c r="L15" i="42" s="1"/>
  <c r="N355" i="32"/>
  <c r="L13" i="42" s="1"/>
  <c r="N354" i="32"/>
  <c r="L12" i="42" s="1"/>
  <c r="N353" i="32"/>
  <c r="L11" i="42" s="1"/>
  <c r="O351" i="32"/>
  <c r="N351" i="32"/>
  <c r="L32" i="42" s="1"/>
  <c r="O350" i="32"/>
  <c r="M9" i="42" s="1"/>
  <c r="N350" i="32"/>
  <c r="L9" i="42" s="1"/>
  <c r="O349" i="32"/>
  <c r="M8" i="42" s="1"/>
  <c r="N349" i="32"/>
  <c r="L8" i="42" s="1"/>
  <c r="O348" i="32"/>
  <c r="M7" i="42" s="1"/>
  <c r="N348" i="32"/>
  <c r="L7" i="42" s="1"/>
  <c r="O347" i="32"/>
  <c r="M6" i="42" s="1"/>
  <c r="N347" i="32"/>
  <c r="L6" i="42" s="1"/>
  <c r="O346" i="32"/>
  <c r="M5" i="42" s="1"/>
  <c r="N346" i="32"/>
  <c r="L5" i="42" s="1"/>
  <c r="O345" i="32"/>
  <c r="M4" i="42" s="1"/>
  <c r="N345" i="32"/>
  <c r="L4" i="42" s="1"/>
  <c r="N343" i="32"/>
  <c r="G56" i="43" s="1"/>
  <c r="N342" i="32"/>
  <c r="G55" i="43" s="1"/>
  <c r="N341" i="32"/>
  <c r="G54" i="43" s="1"/>
  <c r="N340" i="32"/>
  <c r="G53" i="43" s="1"/>
  <c r="N339" i="32"/>
  <c r="G52" i="43" s="1"/>
  <c r="N338" i="32"/>
  <c r="G51" i="43" s="1"/>
  <c r="N335" i="32"/>
  <c r="G47" i="43" s="1"/>
  <c r="N334" i="32"/>
  <c r="G46" i="43" s="1"/>
  <c r="N333" i="32"/>
  <c r="G45" i="43" s="1"/>
  <c r="N332" i="32"/>
  <c r="G44" i="43" s="1"/>
  <c r="N331" i="32"/>
  <c r="G43" i="43" s="1"/>
  <c r="N328" i="32"/>
  <c r="G40" i="43" s="1"/>
  <c r="N327" i="32"/>
  <c r="G39" i="43" s="1"/>
  <c r="N324" i="32"/>
  <c r="G36" i="43" s="1"/>
  <c r="N323" i="32"/>
  <c r="G35" i="43" s="1"/>
  <c r="N322" i="32"/>
  <c r="G34" i="43" s="1"/>
  <c r="N321" i="32"/>
  <c r="G33" i="43" s="1"/>
  <c r="N320" i="32"/>
  <c r="G32" i="43" s="1"/>
  <c r="N319" i="32"/>
  <c r="G31" i="43" s="1"/>
  <c r="N318" i="32"/>
  <c r="G30" i="43" s="1"/>
  <c r="N317" i="32"/>
  <c r="G29" i="43" s="1"/>
  <c r="N314" i="32"/>
  <c r="G26" i="43" s="1"/>
  <c r="N313" i="32"/>
  <c r="G25" i="43" s="1"/>
  <c r="N312" i="32"/>
  <c r="G24" i="43" s="1"/>
  <c r="N309" i="32"/>
  <c r="G48" i="43" s="1"/>
  <c r="N308" i="32"/>
  <c r="G21" i="43" s="1"/>
  <c r="N307" i="32"/>
  <c r="G20" i="43" s="1"/>
  <c r="N306" i="32"/>
  <c r="G19" i="43" s="1"/>
  <c r="N305" i="32"/>
  <c r="G18" i="43" s="1"/>
  <c r="N304" i="32"/>
  <c r="G17" i="43" s="1"/>
  <c r="N303" i="32"/>
  <c r="G16" i="43" s="1"/>
  <c r="N300" i="32"/>
  <c r="N299" i="32"/>
  <c r="N298" i="32"/>
  <c r="N297" i="32"/>
  <c r="N296" i="32"/>
  <c r="N295" i="32"/>
  <c r="N294" i="32"/>
  <c r="L5" i="45" s="1"/>
  <c r="N293" i="32"/>
  <c r="L17" i="40" s="1"/>
  <c r="N292" i="32"/>
  <c r="L16" i="40" s="1"/>
  <c r="N291" i="32"/>
  <c r="L15" i="40" s="1"/>
  <c r="N290" i="32"/>
  <c r="L14" i="40" s="1"/>
  <c r="N289" i="32"/>
  <c r="L13" i="40" s="1"/>
  <c r="N288" i="32"/>
  <c r="L12" i="40" s="1"/>
  <c r="N287" i="32"/>
  <c r="N286" i="32"/>
  <c r="N285" i="32"/>
  <c r="L10" i="40" s="1"/>
  <c r="N284" i="32"/>
  <c r="N283" i="32"/>
  <c r="N282" i="32"/>
  <c r="N281" i="32"/>
  <c r="L14" i="45" s="1"/>
  <c r="N280" i="32"/>
  <c r="N279" i="32"/>
  <c r="N278" i="32"/>
  <c r="N277" i="32"/>
  <c r="N276" i="32"/>
  <c r="N275" i="32"/>
  <c r="N259" i="32"/>
  <c r="N258" i="32"/>
  <c r="N257" i="32"/>
  <c r="N256" i="32"/>
  <c r="N255" i="32"/>
  <c r="N254" i="32"/>
  <c r="N252" i="32"/>
  <c r="L67" i="44" s="1"/>
  <c r="N251" i="32"/>
  <c r="L66" i="44" s="1"/>
  <c r="N250" i="32"/>
  <c r="L65" i="44" s="1"/>
  <c r="N249" i="32"/>
  <c r="L64" i="44" s="1"/>
  <c r="N248" i="32"/>
  <c r="L63" i="44" s="1"/>
  <c r="N247" i="32"/>
  <c r="L62" i="44" s="1"/>
  <c r="N246" i="32"/>
  <c r="L61" i="44" s="1"/>
  <c r="N245" i="32"/>
  <c r="L60" i="44" s="1"/>
  <c r="N244" i="32"/>
  <c r="L59" i="44" s="1"/>
  <c r="N239" i="32"/>
  <c r="N238" i="32"/>
  <c r="L56" i="44" s="1"/>
  <c r="N237" i="32"/>
  <c r="N236" i="32"/>
  <c r="N235" i="32"/>
  <c r="L53" i="44" s="1"/>
  <c r="N234" i="32"/>
  <c r="L52" i="44" s="1"/>
  <c r="N233" i="32"/>
  <c r="N230" i="32"/>
  <c r="N229" i="32"/>
  <c r="N228" i="32"/>
  <c r="N227" i="32"/>
  <c r="N226" i="32"/>
  <c r="N225" i="32"/>
  <c r="N223" i="32"/>
  <c r="L48" i="44" s="1"/>
  <c r="N222" i="32"/>
  <c r="L47" i="44" s="1"/>
  <c r="N221" i="32"/>
  <c r="L46" i="44" s="1"/>
  <c r="N220" i="32"/>
  <c r="L45" i="44" s="1"/>
  <c r="N219" i="32"/>
  <c r="L44" i="44" s="1"/>
  <c r="N218" i="32"/>
  <c r="L43" i="44" s="1"/>
  <c r="N217" i="32"/>
  <c r="L42" i="44" s="1"/>
  <c r="N216" i="32"/>
  <c r="L41" i="44" s="1"/>
  <c r="N215" i="32"/>
  <c r="L40" i="44" s="1"/>
  <c r="N210" i="32"/>
  <c r="N209" i="32"/>
  <c r="L37" i="44" s="1"/>
  <c r="N208" i="32"/>
  <c r="N207" i="32"/>
  <c r="L35" i="44" s="1"/>
  <c r="N206" i="32"/>
  <c r="L34" i="44" s="1"/>
  <c r="N205" i="32"/>
  <c r="N202" i="32"/>
  <c r="N201" i="32"/>
  <c r="N200" i="32"/>
  <c r="N199" i="32"/>
  <c r="N198" i="32"/>
  <c r="N197" i="32"/>
  <c r="N196" i="32"/>
  <c r="N195" i="32"/>
  <c r="N193" i="32"/>
  <c r="L28" i="44" s="1"/>
  <c r="N192" i="32"/>
  <c r="L27" i="44" s="1"/>
  <c r="N191" i="32"/>
  <c r="L26" i="44" s="1"/>
  <c r="N190" i="32"/>
  <c r="L25" i="44" s="1"/>
  <c r="N189" i="32"/>
  <c r="L24" i="44" s="1"/>
  <c r="N188" i="32"/>
  <c r="L23" i="44" s="1"/>
  <c r="N187" i="32"/>
  <c r="L22" i="44" s="1"/>
  <c r="N186" i="32"/>
  <c r="L21" i="44" s="1"/>
  <c r="N185" i="32"/>
  <c r="L20" i="44" s="1"/>
  <c r="N180" i="32"/>
  <c r="L16" i="41" s="1"/>
  <c r="N179" i="32"/>
  <c r="L17" i="44" s="1"/>
  <c r="N178" i="32"/>
  <c r="N177" i="32"/>
  <c r="N176" i="32"/>
  <c r="N175" i="32"/>
  <c r="N173" i="32"/>
  <c r="N172" i="32"/>
  <c r="N171" i="32"/>
  <c r="N168" i="32"/>
  <c r="N167" i="32"/>
  <c r="N166" i="32"/>
  <c r="N165" i="32"/>
  <c r="N164" i="32"/>
  <c r="N163" i="32"/>
  <c r="N161" i="32"/>
  <c r="G97" i="39" s="1"/>
  <c r="N160" i="32"/>
  <c r="G96" i="39" s="1"/>
  <c r="N159" i="32"/>
  <c r="G95" i="39" s="1"/>
  <c r="N158" i="32"/>
  <c r="G94" i="39" s="1"/>
  <c r="N157" i="32"/>
  <c r="G93" i="39" s="1"/>
  <c r="N156" i="32"/>
  <c r="G92" i="39" s="1"/>
  <c r="N155" i="32"/>
  <c r="G91" i="39" s="1"/>
  <c r="N154" i="32"/>
  <c r="G90" i="39" s="1"/>
  <c r="N153" i="32"/>
  <c r="G89" i="39" s="1"/>
  <c r="N148" i="32"/>
  <c r="L14" i="41" s="1"/>
  <c r="N147" i="32"/>
  <c r="N146" i="32"/>
  <c r="H85" i="60" s="1"/>
  <c r="N145" i="32"/>
  <c r="N144" i="32"/>
  <c r="N143" i="32"/>
  <c r="N140" i="32"/>
  <c r="N139" i="32"/>
  <c r="N138" i="32"/>
  <c r="N137" i="32"/>
  <c r="N136" i="32"/>
  <c r="N135" i="32"/>
  <c r="N133" i="32"/>
  <c r="G79" i="39" s="1"/>
  <c r="N132" i="32"/>
  <c r="G78" i="39" s="1"/>
  <c r="N131" i="32"/>
  <c r="G77" i="39" s="1"/>
  <c r="N130" i="32"/>
  <c r="G76" i="39" s="1"/>
  <c r="N129" i="32"/>
  <c r="G75" i="39" s="1"/>
  <c r="N128" i="32"/>
  <c r="G74" i="39" s="1"/>
  <c r="N127" i="32"/>
  <c r="G73" i="39" s="1"/>
  <c r="N126" i="32"/>
  <c r="G72" i="39" s="1"/>
  <c r="N125" i="32"/>
  <c r="G71" i="39" s="1"/>
  <c r="N120" i="32"/>
  <c r="L12" i="41" s="1"/>
  <c r="N119" i="32"/>
  <c r="N118" i="32"/>
  <c r="H83" i="60" s="1"/>
  <c r="N117" i="32"/>
  <c r="N116" i="32"/>
  <c r="N115" i="32"/>
  <c r="N112" i="32"/>
  <c r="N111" i="32"/>
  <c r="N110" i="32"/>
  <c r="N109" i="32"/>
  <c r="N108" i="32"/>
  <c r="N107" i="32"/>
  <c r="N105" i="32"/>
  <c r="G61" i="39" s="1"/>
  <c r="N104" i="32"/>
  <c r="G60" i="39" s="1"/>
  <c r="N103" i="32"/>
  <c r="G59" i="39" s="1"/>
  <c r="N102" i="32"/>
  <c r="G58" i="39" s="1"/>
  <c r="N101" i="32"/>
  <c r="G57" i="39" s="1"/>
  <c r="N100" i="32"/>
  <c r="G56" i="39" s="1"/>
  <c r="N99" i="32"/>
  <c r="G55" i="39" s="1"/>
  <c r="N98" i="32"/>
  <c r="G54" i="39" s="1"/>
  <c r="N97" i="32"/>
  <c r="G53" i="39" s="1"/>
  <c r="N92" i="32"/>
  <c r="L10" i="41" s="1"/>
  <c r="N91" i="32"/>
  <c r="N90" i="32"/>
  <c r="H82" i="60" s="1"/>
  <c r="N89" i="32"/>
  <c r="N88" i="32"/>
  <c r="N87" i="32"/>
  <c r="N84" i="32"/>
  <c r="N83" i="32"/>
  <c r="N82" i="32"/>
  <c r="N81" i="32"/>
  <c r="N80" i="32"/>
  <c r="N79" i="32"/>
  <c r="N77" i="32"/>
  <c r="G43" i="39" s="1"/>
  <c r="N76" i="32"/>
  <c r="G42" i="39" s="1"/>
  <c r="N75" i="32"/>
  <c r="G41" i="39" s="1"/>
  <c r="N74" i="32"/>
  <c r="G40" i="39" s="1"/>
  <c r="N73" i="32"/>
  <c r="G39" i="39" s="1"/>
  <c r="N72" i="32"/>
  <c r="G38" i="39" s="1"/>
  <c r="N71" i="32"/>
  <c r="G37" i="39" s="1"/>
  <c r="N70" i="32"/>
  <c r="G36" i="39" s="1"/>
  <c r="N69" i="32"/>
  <c r="G35" i="39" s="1"/>
  <c r="N64" i="32"/>
  <c r="L8" i="41" s="1"/>
  <c r="N63" i="32"/>
  <c r="N62" i="32"/>
  <c r="H81" i="60" s="1"/>
  <c r="N61" i="32"/>
  <c r="N60" i="32"/>
  <c r="N59" i="32"/>
  <c r="N56" i="32"/>
  <c r="N55" i="32"/>
  <c r="N54" i="32"/>
  <c r="N53" i="32"/>
  <c r="N52" i="32"/>
  <c r="N51" i="32"/>
  <c r="N49" i="32"/>
  <c r="N48" i="32"/>
  <c r="G24" i="39" s="1"/>
  <c r="N47" i="32"/>
  <c r="G23" i="39" s="1"/>
  <c r="N46" i="32"/>
  <c r="G22" i="39" s="1"/>
  <c r="N45" i="32"/>
  <c r="G21" i="39" s="1"/>
  <c r="N44" i="32"/>
  <c r="G20" i="39" s="1"/>
  <c r="N43" i="32"/>
  <c r="G19" i="39" s="1"/>
  <c r="N42" i="32"/>
  <c r="G18" i="39" s="1"/>
  <c r="N41" i="32"/>
  <c r="G17" i="39" s="1"/>
  <c r="N36" i="32"/>
  <c r="L6" i="41" s="1"/>
  <c r="N35" i="32"/>
  <c r="N34" i="32"/>
  <c r="N33" i="32"/>
  <c r="N32" i="32"/>
  <c r="N31" i="32"/>
  <c r="N30" i="32"/>
  <c r="BW114" i="60" s="1"/>
  <c r="AO114" i="60" s="1"/>
  <c r="AJ114" i="60" s="1"/>
  <c r="L630" i="32"/>
  <c r="F260" i="43" s="1"/>
  <c r="L629" i="32"/>
  <c r="F259" i="43" s="1"/>
  <c r="L628" i="32"/>
  <c r="F258" i="43" s="1"/>
  <c r="L627" i="32"/>
  <c r="F257" i="43" s="1"/>
  <c r="L626" i="32"/>
  <c r="F256" i="43" s="1"/>
  <c r="L625" i="32"/>
  <c r="F255" i="43" s="1"/>
  <c r="L624" i="32"/>
  <c r="F254" i="43" s="1"/>
  <c r="L623" i="32"/>
  <c r="F253" i="43" s="1"/>
  <c r="L622" i="32"/>
  <c r="F252" i="43" s="1"/>
  <c r="L620" i="32"/>
  <c r="F250" i="43" s="1"/>
  <c r="L619" i="32"/>
  <c r="F249" i="43" s="1"/>
  <c r="L618" i="32"/>
  <c r="F248" i="43" s="1"/>
  <c r="L617" i="32"/>
  <c r="F247" i="43" s="1"/>
  <c r="L616" i="32"/>
  <c r="F246" i="43" s="1"/>
  <c r="L615" i="32"/>
  <c r="F245" i="43" s="1"/>
  <c r="L614" i="32"/>
  <c r="F244" i="43" s="1"/>
  <c r="L613" i="32"/>
  <c r="F243" i="43" s="1"/>
  <c r="L612" i="32"/>
  <c r="F242" i="43" s="1"/>
  <c r="L610" i="32"/>
  <c r="F240" i="43" s="1"/>
  <c r="L609" i="32"/>
  <c r="F239" i="43" s="1"/>
  <c r="L608" i="32"/>
  <c r="F238" i="43" s="1"/>
  <c r="L606" i="32"/>
  <c r="F236" i="43" s="1"/>
  <c r="L605" i="32"/>
  <c r="F235" i="43" s="1"/>
  <c r="L604" i="32"/>
  <c r="F234" i="43" s="1"/>
  <c r="L603" i="32"/>
  <c r="L602" i="32"/>
  <c r="L601" i="32"/>
  <c r="F231" i="43" s="1"/>
  <c r="L600" i="32"/>
  <c r="F230" i="43" s="1"/>
  <c r="L599" i="32"/>
  <c r="F229" i="43" s="1"/>
  <c r="L598" i="32"/>
  <c r="F228" i="43" s="1"/>
  <c r="L597" i="32"/>
  <c r="F227" i="43" s="1"/>
  <c r="L596" i="32"/>
  <c r="F226" i="43" s="1"/>
  <c r="L594" i="32"/>
  <c r="F224" i="43" s="1"/>
  <c r="L593" i="32"/>
  <c r="F223" i="43" s="1"/>
  <c r="L592" i="32"/>
  <c r="F222" i="43" s="1"/>
  <c r="L591" i="32"/>
  <c r="F221" i="43" s="1"/>
  <c r="L590" i="32"/>
  <c r="F220" i="43" s="1"/>
  <c r="L589" i="32"/>
  <c r="F219" i="43" s="1"/>
  <c r="L588" i="32"/>
  <c r="F218" i="43" s="1"/>
  <c r="L587" i="32"/>
  <c r="F217" i="43" s="1"/>
  <c r="L586" i="32"/>
  <c r="F216" i="43" s="1"/>
  <c r="L584" i="32"/>
  <c r="F214" i="43" s="1"/>
  <c r="L583" i="32"/>
  <c r="F213" i="43" s="1"/>
  <c r="L582" i="32"/>
  <c r="F212" i="43" s="1"/>
  <c r="L581" i="32"/>
  <c r="F211" i="43" s="1"/>
  <c r="L580" i="32"/>
  <c r="F210" i="43" s="1"/>
  <c r="L579" i="32"/>
  <c r="F209" i="43" s="1"/>
  <c r="L578" i="32"/>
  <c r="F208" i="43" s="1"/>
  <c r="L577" i="32"/>
  <c r="F207" i="43" s="1"/>
  <c r="L576" i="32"/>
  <c r="F206" i="43" s="1"/>
  <c r="L575" i="32"/>
  <c r="F205" i="43" s="1"/>
  <c r="L574" i="32"/>
  <c r="F204" i="43" s="1"/>
  <c r="L573" i="32"/>
  <c r="F203" i="43" s="1"/>
  <c r="L572" i="32"/>
  <c r="F202" i="43" s="1"/>
  <c r="L571" i="32"/>
  <c r="F201" i="43" s="1"/>
  <c r="L570" i="32"/>
  <c r="F200" i="43" s="1"/>
  <c r="L569" i="32"/>
  <c r="F199" i="43" s="1"/>
  <c r="L568" i="32"/>
  <c r="F198" i="43" s="1"/>
  <c r="L567" i="32"/>
  <c r="F197" i="43" s="1"/>
  <c r="L566" i="32"/>
  <c r="F196" i="43" s="1"/>
  <c r="L560" i="32"/>
  <c r="F190" i="43" s="1"/>
  <c r="L559" i="32"/>
  <c r="F189" i="43" s="1"/>
  <c r="L558" i="32"/>
  <c r="F188" i="43" s="1"/>
  <c r="L556" i="32"/>
  <c r="F186" i="43" s="1"/>
  <c r="L555" i="32"/>
  <c r="F185" i="43" s="1"/>
  <c r="L554" i="32"/>
  <c r="F184" i="43" s="1"/>
  <c r="L553" i="32"/>
  <c r="F183" i="43" s="1"/>
  <c r="L552" i="32"/>
  <c r="F182" i="43" s="1"/>
  <c r="L551" i="32"/>
  <c r="F181" i="43" s="1"/>
  <c r="L549" i="32"/>
  <c r="L548" i="32"/>
  <c r="F178" i="43" s="1"/>
  <c r="L547" i="32"/>
  <c r="F177" i="43" s="1"/>
  <c r="L546" i="32"/>
  <c r="F176" i="43" s="1"/>
  <c r="L545" i="32"/>
  <c r="F175" i="43" s="1"/>
  <c r="L544" i="32"/>
  <c r="F174" i="43" s="1"/>
  <c r="L543" i="32"/>
  <c r="F173" i="43" s="1"/>
  <c r="L542" i="32"/>
  <c r="F172" i="43" s="1"/>
  <c r="L541" i="32"/>
  <c r="F171" i="43" s="1"/>
  <c r="L540" i="32"/>
  <c r="F170" i="43" s="1"/>
  <c r="L538" i="32"/>
  <c r="F168" i="43" s="1"/>
  <c r="L537" i="32"/>
  <c r="F167" i="43" s="1"/>
  <c r="L536" i="32"/>
  <c r="L535" i="32"/>
  <c r="F165" i="43" s="1"/>
  <c r="L534" i="32"/>
  <c r="L533" i="32"/>
  <c r="F163" i="43" s="1"/>
  <c r="L532" i="32"/>
  <c r="F162" i="43" s="1"/>
  <c r="L531" i="32"/>
  <c r="F161" i="43" s="1"/>
  <c r="L530" i="32"/>
  <c r="F160" i="43" s="1"/>
  <c r="L529" i="32"/>
  <c r="F159" i="43" s="1"/>
  <c r="L528" i="32"/>
  <c r="F158" i="43" s="1"/>
  <c r="L526" i="32"/>
  <c r="F156" i="43" s="1"/>
  <c r="L525" i="32"/>
  <c r="F155" i="43" s="1"/>
  <c r="L524" i="32"/>
  <c r="F154" i="43" s="1"/>
  <c r="L523" i="32"/>
  <c r="F153" i="43" s="1"/>
  <c r="L522" i="32"/>
  <c r="F152" i="43" s="1"/>
  <c r="L521" i="32"/>
  <c r="F151" i="43" s="1"/>
  <c r="L520" i="32"/>
  <c r="F150" i="43" s="1"/>
  <c r="L519" i="32"/>
  <c r="F149" i="43" s="1"/>
  <c r="L518" i="32"/>
  <c r="F148" i="43" s="1"/>
  <c r="L512" i="32"/>
  <c r="F142" i="43" s="1"/>
  <c r="L511" i="32"/>
  <c r="F141" i="43" s="1"/>
  <c r="L510" i="32"/>
  <c r="F140" i="43" s="1"/>
  <c r="L509" i="32"/>
  <c r="F139" i="43" s="1"/>
  <c r="L508" i="32"/>
  <c r="F138" i="43" s="1"/>
  <c r="L507" i="32"/>
  <c r="F137" i="43" s="1"/>
  <c r="L506" i="32"/>
  <c r="F136" i="43" s="1"/>
  <c r="L505" i="32"/>
  <c r="F135" i="43" s="1"/>
  <c r="L504" i="32"/>
  <c r="F134" i="43" s="1"/>
  <c r="L502" i="32"/>
  <c r="F132" i="43" s="1"/>
  <c r="L501" i="32"/>
  <c r="F131" i="43" s="1"/>
  <c r="L500" i="32"/>
  <c r="F130" i="43" s="1"/>
  <c r="L498" i="32"/>
  <c r="F128" i="43" s="1"/>
  <c r="L497" i="32"/>
  <c r="L496" i="32"/>
  <c r="F126" i="43" s="1"/>
  <c r="L495" i="32"/>
  <c r="F125" i="43" s="1"/>
  <c r="L494" i="32"/>
  <c r="F124" i="43" s="1"/>
  <c r="L493" i="32"/>
  <c r="F123" i="43" s="1"/>
  <c r="L492" i="32"/>
  <c r="F122" i="43" s="1"/>
  <c r="L491" i="32"/>
  <c r="F121" i="43" s="1"/>
  <c r="L490" i="32"/>
  <c r="F120" i="43" s="1"/>
  <c r="L489" i="32"/>
  <c r="F119" i="43" s="1"/>
  <c r="L488" i="32"/>
  <c r="F118" i="43" s="1"/>
  <c r="L486" i="32"/>
  <c r="F116" i="43" s="1"/>
  <c r="L485" i="32"/>
  <c r="F115" i="43" s="1"/>
  <c r="L484" i="32"/>
  <c r="F114" i="43" s="1"/>
  <c r="L483" i="32"/>
  <c r="F113" i="43" s="1"/>
  <c r="L482" i="32"/>
  <c r="F112" i="43" s="1"/>
  <c r="L481" i="32"/>
  <c r="F111" i="43" s="1"/>
  <c r="L480" i="32"/>
  <c r="F110" i="43" s="1"/>
  <c r="L479" i="32"/>
  <c r="F109" i="43" s="1"/>
  <c r="L477" i="32"/>
  <c r="F107" i="43" s="1"/>
  <c r="L476" i="32"/>
  <c r="F106" i="43" s="1"/>
  <c r="L475" i="32"/>
  <c r="F105" i="43" s="1"/>
  <c r="L473" i="32"/>
  <c r="F103" i="43" s="1"/>
  <c r="L472" i="32"/>
  <c r="F102" i="43" s="1"/>
  <c r="L471" i="32"/>
  <c r="F101" i="43" s="1"/>
  <c r="L469" i="32"/>
  <c r="F99" i="43" s="1"/>
  <c r="L468" i="32"/>
  <c r="F98" i="43" s="1"/>
  <c r="L467" i="32"/>
  <c r="F97" i="43" s="1"/>
  <c r="L463" i="32"/>
  <c r="F93" i="43" s="1"/>
  <c r="L462" i="32"/>
  <c r="F92" i="43" s="1"/>
  <c r="L461" i="32"/>
  <c r="F91" i="43" s="1"/>
  <c r="L460" i="32"/>
  <c r="F90" i="43" s="1"/>
  <c r="L459" i="32"/>
  <c r="F89" i="43" s="1"/>
  <c r="L458" i="32"/>
  <c r="F88" i="43" s="1"/>
  <c r="L457" i="32"/>
  <c r="F87" i="43" s="1"/>
  <c r="L456" i="32"/>
  <c r="F86" i="43" s="1"/>
  <c r="L455" i="32"/>
  <c r="F85" i="43" s="1"/>
  <c r="L453" i="32"/>
  <c r="F83" i="43" s="1"/>
  <c r="L452" i="32"/>
  <c r="F82" i="43" s="1"/>
  <c r="L451" i="32"/>
  <c r="F81" i="43" s="1"/>
  <c r="L449" i="32"/>
  <c r="F79" i="43" s="1"/>
  <c r="L448" i="32"/>
  <c r="F78" i="43" s="1"/>
  <c r="L447" i="32"/>
  <c r="F77" i="43" s="1"/>
  <c r="L446" i="32"/>
  <c r="F76" i="43" s="1"/>
  <c r="L445" i="32"/>
  <c r="F75" i="43" s="1"/>
  <c r="L444" i="32"/>
  <c r="F74" i="43" s="1"/>
  <c r="L443" i="32"/>
  <c r="F73" i="43" s="1"/>
  <c r="L442" i="32"/>
  <c r="F72" i="43" s="1"/>
  <c r="L441" i="32"/>
  <c r="F71" i="43" s="1"/>
  <c r="L440" i="32"/>
  <c r="F70" i="43" s="1"/>
  <c r="L439" i="32"/>
  <c r="F69" i="43" s="1"/>
  <c r="L437" i="32"/>
  <c r="F67" i="43" s="1"/>
  <c r="L436" i="32"/>
  <c r="F66" i="43" s="1"/>
  <c r="L435" i="32"/>
  <c r="F65" i="43" s="1"/>
  <c r="L434" i="32"/>
  <c r="F64" i="43" s="1"/>
  <c r="L433" i="32"/>
  <c r="F63" i="43" s="1"/>
  <c r="L432" i="32"/>
  <c r="F62" i="43" s="1"/>
  <c r="L431" i="32"/>
  <c r="F61" i="43" s="1"/>
  <c r="L430" i="32"/>
  <c r="F60" i="43" s="1"/>
  <c r="L429" i="32"/>
  <c r="F59" i="43" s="1"/>
  <c r="L427" i="32"/>
  <c r="J73" i="44" s="1"/>
  <c r="L426" i="32"/>
  <c r="J72" i="44" s="1"/>
  <c r="L425" i="32"/>
  <c r="J71" i="44" s="1"/>
  <c r="L424" i="32"/>
  <c r="J70" i="44" s="1"/>
  <c r="L422" i="32"/>
  <c r="L421" i="32"/>
  <c r="L420" i="32"/>
  <c r="L419" i="32"/>
  <c r="L417" i="32"/>
  <c r="J81" i="44" s="1"/>
  <c r="L416" i="32"/>
  <c r="J80" i="44" s="1"/>
  <c r="L414" i="32"/>
  <c r="J77" i="44" s="1"/>
  <c r="L413" i="32"/>
  <c r="J76" i="44" s="1"/>
  <c r="L411" i="32"/>
  <c r="J69" i="42" s="1"/>
  <c r="L410" i="32"/>
  <c r="J68" i="42" s="1"/>
  <c r="L409" i="32"/>
  <c r="J67" i="42" s="1"/>
  <c r="L408" i="32"/>
  <c r="J66" i="42" s="1"/>
  <c r="L407" i="32"/>
  <c r="J65" i="42" s="1"/>
  <c r="L406" i="32"/>
  <c r="J64" i="42" s="1"/>
  <c r="L405" i="32"/>
  <c r="J63" i="42" s="1"/>
  <c r="L404" i="32"/>
  <c r="J62" i="42" s="1"/>
  <c r="L403" i="32"/>
  <c r="J61" i="42" s="1"/>
  <c r="L402" i="32"/>
  <c r="J60" i="42" s="1"/>
  <c r="L401" i="32"/>
  <c r="J59" i="42" s="1"/>
  <c r="M399" i="32"/>
  <c r="L399" i="32"/>
  <c r="M398" i="32"/>
  <c r="K57" i="42" s="1"/>
  <c r="L398" i="32"/>
  <c r="J57" i="42" s="1"/>
  <c r="M397" i="32"/>
  <c r="K56" i="42" s="1"/>
  <c r="L397" i="32"/>
  <c r="J56" i="42" s="1"/>
  <c r="M396" i="32"/>
  <c r="K55" i="42" s="1"/>
  <c r="L396" i="32"/>
  <c r="J55" i="42" s="1"/>
  <c r="M395" i="32"/>
  <c r="K54" i="42" s="1"/>
  <c r="L395" i="32"/>
  <c r="J54" i="42" s="1"/>
  <c r="M394" i="32"/>
  <c r="K53" i="42" s="1"/>
  <c r="L394" i="32"/>
  <c r="J53" i="42" s="1"/>
  <c r="M393" i="32"/>
  <c r="K52" i="42" s="1"/>
  <c r="L393" i="32"/>
  <c r="J52" i="42" s="1"/>
  <c r="M392" i="32"/>
  <c r="K51" i="42" s="1"/>
  <c r="L392" i="32"/>
  <c r="J51" i="42" s="1"/>
  <c r="M391" i="32"/>
  <c r="K50" i="42" s="1"/>
  <c r="L391" i="32"/>
  <c r="J50" i="42" s="1"/>
  <c r="M390" i="32"/>
  <c r="K49" i="42" s="1"/>
  <c r="L390" i="32"/>
  <c r="J49" i="42" s="1"/>
  <c r="M389" i="32"/>
  <c r="K48" i="42" s="1"/>
  <c r="M388" i="32"/>
  <c r="K47" i="42" s="1"/>
  <c r="L388" i="32"/>
  <c r="J47" i="42" s="1"/>
  <c r="L387" i="32"/>
  <c r="J46" i="42" s="1"/>
  <c r="L386" i="32"/>
  <c r="J45" i="42" s="1"/>
  <c r="L385" i="32"/>
  <c r="J44" i="42" s="1"/>
  <c r="L384" i="32"/>
  <c r="J43" i="42" s="1"/>
  <c r="L383" i="32"/>
  <c r="J42" i="42" s="1"/>
  <c r="L382" i="32"/>
  <c r="J41" i="42" s="1"/>
  <c r="M380" i="32"/>
  <c r="K39" i="42" s="1"/>
  <c r="L380" i="32"/>
  <c r="J39" i="42" s="1"/>
  <c r="M379" i="32"/>
  <c r="K38" i="42" s="1"/>
  <c r="L379" i="32"/>
  <c r="J38" i="42" s="1"/>
  <c r="M378" i="32"/>
  <c r="K37" i="42" s="1"/>
  <c r="L378" i="32"/>
  <c r="J37" i="42" s="1"/>
  <c r="M377" i="32"/>
  <c r="K36" i="42" s="1"/>
  <c r="L377" i="32"/>
  <c r="J36" i="42" s="1"/>
  <c r="M376" i="32"/>
  <c r="K35" i="42" s="1"/>
  <c r="L376" i="32"/>
  <c r="J35" i="42" s="1"/>
  <c r="M375" i="32"/>
  <c r="K34" i="42" s="1"/>
  <c r="L375" i="32"/>
  <c r="J34" i="42" s="1"/>
  <c r="M373" i="32"/>
  <c r="K31" i="42" s="1"/>
  <c r="L373" i="32"/>
  <c r="J31" i="42" s="1"/>
  <c r="M372" i="32"/>
  <c r="K30" i="42" s="1"/>
  <c r="L372" i="32"/>
  <c r="J30" i="42" s="1"/>
  <c r="M371" i="32"/>
  <c r="K29" i="42" s="1"/>
  <c r="L371" i="32"/>
  <c r="J29" i="42" s="1"/>
  <c r="M370" i="32"/>
  <c r="K28" i="42" s="1"/>
  <c r="L370" i="32"/>
  <c r="J28" i="42" s="1"/>
  <c r="M369" i="32"/>
  <c r="K27" i="42" s="1"/>
  <c r="L369" i="32"/>
  <c r="J27" i="42" s="1"/>
  <c r="M367" i="32"/>
  <c r="K25" i="42" s="1"/>
  <c r="L367" i="32"/>
  <c r="J25" i="42" s="1"/>
  <c r="M366" i="32"/>
  <c r="K24" i="42" s="1"/>
  <c r="L366" i="32"/>
  <c r="J24" i="42" s="1"/>
  <c r="M364" i="32"/>
  <c r="K22" i="42" s="1"/>
  <c r="L364" i="32"/>
  <c r="J22" i="42" s="1"/>
  <c r="M363" i="32"/>
  <c r="K21" i="42" s="1"/>
  <c r="L363" i="32"/>
  <c r="J21" i="42" s="1"/>
  <c r="M362" i="32"/>
  <c r="K20" i="42" s="1"/>
  <c r="L362" i="32"/>
  <c r="J20" i="42" s="1"/>
  <c r="M361" i="32"/>
  <c r="K19" i="42" s="1"/>
  <c r="L361" i="32"/>
  <c r="J19" i="42" s="1"/>
  <c r="M360" i="32"/>
  <c r="K18" i="42" s="1"/>
  <c r="L360" i="32"/>
  <c r="J18" i="42" s="1"/>
  <c r="M359" i="32"/>
  <c r="K17" i="42" s="1"/>
  <c r="L359" i="32"/>
  <c r="J17" i="42" s="1"/>
  <c r="M358" i="32"/>
  <c r="K16" i="42" s="1"/>
  <c r="L358" i="32"/>
  <c r="J16" i="42" s="1"/>
  <c r="M357" i="32"/>
  <c r="K15" i="42" s="1"/>
  <c r="L357" i="32"/>
  <c r="J15" i="42" s="1"/>
  <c r="L355" i="32"/>
  <c r="J13" i="42" s="1"/>
  <c r="L354" i="32"/>
  <c r="J12" i="42" s="1"/>
  <c r="L353" i="32"/>
  <c r="J11" i="42" s="1"/>
  <c r="M351" i="32"/>
  <c r="L351" i="32"/>
  <c r="J32" i="42" s="1"/>
  <c r="M350" i="32"/>
  <c r="K9" i="42" s="1"/>
  <c r="L350" i="32"/>
  <c r="J9" i="42" s="1"/>
  <c r="M349" i="32"/>
  <c r="K8" i="42" s="1"/>
  <c r="L349" i="32"/>
  <c r="J8" i="42" s="1"/>
  <c r="M348" i="32"/>
  <c r="K7" i="42" s="1"/>
  <c r="L348" i="32"/>
  <c r="J7" i="42" s="1"/>
  <c r="M347" i="32"/>
  <c r="K6" i="42" s="1"/>
  <c r="L347" i="32"/>
  <c r="J6" i="42" s="1"/>
  <c r="M346" i="32"/>
  <c r="K5" i="42" s="1"/>
  <c r="L346" i="32"/>
  <c r="J5" i="42" s="1"/>
  <c r="M345" i="32"/>
  <c r="K4" i="42" s="1"/>
  <c r="L345" i="32"/>
  <c r="J4" i="42" s="1"/>
  <c r="L343" i="32"/>
  <c r="F56" i="43" s="1"/>
  <c r="L342" i="32"/>
  <c r="F55" i="43" s="1"/>
  <c r="L341" i="32"/>
  <c r="F54" i="43" s="1"/>
  <c r="L340" i="32"/>
  <c r="F53" i="43" s="1"/>
  <c r="L339" i="32"/>
  <c r="F52" i="43" s="1"/>
  <c r="L338" i="32"/>
  <c r="F51" i="43" s="1"/>
  <c r="L335" i="32"/>
  <c r="F47" i="43" s="1"/>
  <c r="L334" i="32"/>
  <c r="F46" i="43" s="1"/>
  <c r="L333" i="32"/>
  <c r="F45" i="43" s="1"/>
  <c r="L332" i="32"/>
  <c r="F44" i="43" s="1"/>
  <c r="L331" i="32"/>
  <c r="F43" i="43" s="1"/>
  <c r="L328" i="32"/>
  <c r="F40" i="43" s="1"/>
  <c r="L327" i="32"/>
  <c r="F39" i="43" s="1"/>
  <c r="L324" i="32"/>
  <c r="F36" i="43" s="1"/>
  <c r="L323" i="32"/>
  <c r="F35" i="43" s="1"/>
  <c r="L322" i="32"/>
  <c r="F34" i="43" s="1"/>
  <c r="L321" i="32"/>
  <c r="F33" i="43" s="1"/>
  <c r="L320" i="32"/>
  <c r="F32" i="43" s="1"/>
  <c r="L319" i="32"/>
  <c r="F31" i="43" s="1"/>
  <c r="L318" i="32"/>
  <c r="F30" i="43" s="1"/>
  <c r="L317" i="32"/>
  <c r="F29" i="43" s="1"/>
  <c r="L314" i="32"/>
  <c r="F26" i="43" s="1"/>
  <c r="L313" i="32"/>
  <c r="F25" i="43" s="1"/>
  <c r="L312" i="32"/>
  <c r="F24" i="43" s="1"/>
  <c r="L309" i="32"/>
  <c r="F48" i="43" s="1"/>
  <c r="L308" i="32"/>
  <c r="F21" i="43" s="1"/>
  <c r="L307" i="32"/>
  <c r="F20" i="43" s="1"/>
  <c r="L306" i="32"/>
  <c r="F19" i="43" s="1"/>
  <c r="L305" i="32"/>
  <c r="F18" i="43" s="1"/>
  <c r="L304" i="32"/>
  <c r="F17" i="43" s="1"/>
  <c r="L303" i="32"/>
  <c r="F16" i="43" s="1"/>
  <c r="L300" i="32"/>
  <c r="L299" i="32"/>
  <c r="L298" i="32"/>
  <c r="L297" i="32"/>
  <c r="L296" i="32"/>
  <c r="L295" i="32"/>
  <c r="L294" i="32"/>
  <c r="J5" i="45" s="1"/>
  <c r="L293" i="32"/>
  <c r="J17" i="40" s="1"/>
  <c r="L292" i="32"/>
  <c r="J16" i="40" s="1"/>
  <c r="L291" i="32"/>
  <c r="J15" i="40" s="1"/>
  <c r="L290" i="32"/>
  <c r="J14" i="40" s="1"/>
  <c r="L289" i="32"/>
  <c r="J13" i="40" s="1"/>
  <c r="L288" i="32"/>
  <c r="J12" i="40" s="1"/>
  <c r="L287" i="32"/>
  <c r="L286" i="32"/>
  <c r="L285" i="32"/>
  <c r="J10" i="40" s="1"/>
  <c r="L284" i="32"/>
  <c r="L283" i="32"/>
  <c r="L282" i="32"/>
  <c r="L281" i="32"/>
  <c r="J14" i="45" s="1"/>
  <c r="L280" i="32"/>
  <c r="L279" i="32"/>
  <c r="L278" i="32"/>
  <c r="L277" i="32"/>
  <c r="L276" i="32"/>
  <c r="L275" i="32"/>
  <c r="L259" i="32"/>
  <c r="L258" i="32"/>
  <c r="L257" i="32"/>
  <c r="L256" i="32"/>
  <c r="L255" i="32"/>
  <c r="L254" i="32"/>
  <c r="L252" i="32"/>
  <c r="J67" i="44" s="1"/>
  <c r="L251" i="32"/>
  <c r="J66" i="44" s="1"/>
  <c r="L250" i="32"/>
  <c r="J65" i="44" s="1"/>
  <c r="L249" i="32"/>
  <c r="J64" i="44" s="1"/>
  <c r="L248" i="32"/>
  <c r="J63" i="44" s="1"/>
  <c r="L247" i="32"/>
  <c r="J62" i="44" s="1"/>
  <c r="L246" i="32"/>
  <c r="J61" i="44" s="1"/>
  <c r="L245" i="32"/>
  <c r="J60" i="44" s="1"/>
  <c r="L244" i="32"/>
  <c r="J59" i="44" s="1"/>
  <c r="L239" i="32"/>
  <c r="L238" i="32"/>
  <c r="J56" i="44" s="1"/>
  <c r="L237" i="32"/>
  <c r="L236" i="32"/>
  <c r="L235" i="32"/>
  <c r="J53" i="44" s="1"/>
  <c r="L234" i="32"/>
  <c r="J52" i="44" s="1"/>
  <c r="L233" i="32"/>
  <c r="L230" i="32"/>
  <c r="L229" i="32"/>
  <c r="L228" i="32"/>
  <c r="L227" i="32"/>
  <c r="L226" i="32"/>
  <c r="L225" i="32"/>
  <c r="L223" i="32"/>
  <c r="J48" i="44" s="1"/>
  <c r="L222" i="32"/>
  <c r="J47" i="44" s="1"/>
  <c r="L221" i="32"/>
  <c r="J46" i="44" s="1"/>
  <c r="L220" i="32"/>
  <c r="J45" i="44" s="1"/>
  <c r="L219" i="32"/>
  <c r="J44" i="44" s="1"/>
  <c r="L218" i="32"/>
  <c r="J43" i="44" s="1"/>
  <c r="L217" i="32"/>
  <c r="J42" i="44" s="1"/>
  <c r="L216" i="32"/>
  <c r="J41" i="44" s="1"/>
  <c r="L215" i="32"/>
  <c r="J40" i="44" s="1"/>
  <c r="L210" i="32"/>
  <c r="L209" i="32"/>
  <c r="J37" i="44" s="1"/>
  <c r="L208" i="32"/>
  <c r="L207" i="32"/>
  <c r="J35" i="44" s="1"/>
  <c r="L206" i="32"/>
  <c r="J34" i="44" s="1"/>
  <c r="L205" i="32"/>
  <c r="L202" i="32"/>
  <c r="L201" i="32"/>
  <c r="L200" i="32"/>
  <c r="L199" i="32"/>
  <c r="L198" i="32"/>
  <c r="L197" i="32"/>
  <c r="L196" i="32"/>
  <c r="L195" i="32"/>
  <c r="L193" i="32"/>
  <c r="J28" i="44" s="1"/>
  <c r="L192" i="32"/>
  <c r="J27" i="44" s="1"/>
  <c r="L191" i="32"/>
  <c r="J26" i="44" s="1"/>
  <c r="L190" i="32"/>
  <c r="J25" i="44" s="1"/>
  <c r="L189" i="32"/>
  <c r="J24" i="44" s="1"/>
  <c r="L188" i="32"/>
  <c r="J23" i="44" s="1"/>
  <c r="L187" i="32"/>
  <c r="J22" i="44" s="1"/>
  <c r="L186" i="32"/>
  <c r="J21" i="44" s="1"/>
  <c r="L185" i="32"/>
  <c r="J20" i="44" s="1"/>
  <c r="L180" i="32"/>
  <c r="L179" i="32"/>
  <c r="J17" i="44" s="1"/>
  <c r="L178" i="32"/>
  <c r="L177" i="32"/>
  <c r="L176" i="32"/>
  <c r="L175" i="32"/>
  <c r="L173" i="32"/>
  <c r="L172" i="32"/>
  <c r="L171" i="32"/>
  <c r="L168" i="32"/>
  <c r="L167" i="32"/>
  <c r="L166" i="32"/>
  <c r="L165" i="32"/>
  <c r="L164" i="32"/>
  <c r="L163" i="32"/>
  <c r="L161" i="32"/>
  <c r="F97" i="39" s="1"/>
  <c r="L160" i="32"/>
  <c r="F96" i="39" s="1"/>
  <c r="L159" i="32"/>
  <c r="F95" i="39" s="1"/>
  <c r="L158" i="32"/>
  <c r="F94" i="39" s="1"/>
  <c r="L157" i="32"/>
  <c r="F93" i="39" s="1"/>
  <c r="L156" i="32"/>
  <c r="F92" i="39" s="1"/>
  <c r="L155" i="32"/>
  <c r="F91" i="39" s="1"/>
  <c r="L154" i="32"/>
  <c r="F90" i="39" s="1"/>
  <c r="L153" i="32"/>
  <c r="F89" i="39" s="1"/>
  <c r="L148" i="32"/>
  <c r="J14" i="41" s="1"/>
  <c r="L147" i="32"/>
  <c r="L146" i="32"/>
  <c r="L145" i="32"/>
  <c r="L144" i="32"/>
  <c r="L143" i="32"/>
  <c r="L140" i="32"/>
  <c r="L139" i="32"/>
  <c r="L138" i="32"/>
  <c r="L137" i="32"/>
  <c r="L136" i="32"/>
  <c r="L135" i="32"/>
  <c r="L133" i="32"/>
  <c r="F79" i="39" s="1"/>
  <c r="L132" i="32"/>
  <c r="F78" i="39" s="1"/>
  <c r="L131" i="32"/>
  <c r="F77" i="39" s="1"/>
  <c r="L130" i="32"/>
  <c r="F76" i="39" s="1"/>
  <c r="L129" i="32"/>
  <c r="F75" i="39" s="1"/>
  <c r="L128" i="32"/>
  <c r="F74" i="39" s="1"/>
  <c r="L127" i="32"/>
  <c r="F73" i="39" s="1"/>
  <c r="L126" i="32"/>
  <c r="F72" i="39" s="1"/>
  <c r="L125" i="32"/>
  <c r="F71" i="39" s="1"/>
  <c r="L120" i="32"/>
  <c r="J12" i="41" s="1"/>
  <c r="L119" i="32"/>
  <c r="L118" i="32"/>
  <c r="H83" i="61" s="1"/>
  <c r="L117" i="32"/>
  <c r="L116" i="32"/>
  <c r="L115" i="32"/>
  <c r="L112" i="32"/>
  <c r="L111" i="32"/>
  <c r="L110" i="32"/>
  <c r="L109" i="32"/>
  <c r="L108" i="32"/>
  <c r="L107" i="32"/>
  <c r="L105" i="32"/>
  <c r="F61" i="39" s="1"/>
  <c r="L104" i="32"/>
  <c r="F60" i="39" s="1"/>
  <c r="L103" i="32"/>
  <c r="F59" i="39" s="1"/>
  <c r="L102" i="32"/>
  <c r="F58" i="39" s="1"/>
  <c r="L101" i="32"/>
  <c r="F57" i="39" s="1"/>
  <c r="L100" i="32"/>
  <c r="F56" i="39" s="1"/>
  <c r="L99" i="32"/>
  <c r="F55" i="39" s="1"/>
  <c r="L98" i="32"/>
  <c r="F54" i="39" s="1"/>
  <c r="L97" i="32"/>
  <c r="F53" i="39" s="1"/>
  <c r="L92" i="32"/>
  <c r="J10" i="41" s="1"/>
  <c r="L91" i="32"/>
  <c r="L90" i="32"/>
  <c r="L89" i="32"/>
  <c r="L88" i="32"/>
  <c r="L87" i="32"/>
  <c r="L84" i="32"/>
  <c r="L83" i="32"/>
  <c r="L82" i="32"/>
  <c r="L81" i="32"/>
  <c r="L80" i="32"/>
  <c r="L79" i="32"/>
  <c r="L77" i="32"/>
  <c r="F43" i="39" s="1"/>
  <c r="L76" i="32"/>
  <c r="F42" i="39" s="1"/>
  <c r="L75" i="32"/>
  <c r="F41" i="39" s="1"/>
  <c r="L74" i="32"/>
  <c r="F40" i="39" s="1"/>
  <c r="L73" i="32"/>
  <c r="F39" i="39" s="1"/>
  <c r="L72" i="32"/>
  <c r="F38" i="39" s="1"/>
  <c r="L71" i="32"/>
  <c r="F37" i="39" s="1"/>
  <c r="L70" i="32"/>
  <c r="F36" i="39" s="1"/>
  <c r="L69" i="32"/>
  <c r="F35" i="39" s="1"/>
  <c r="L64" i="32"/>
  <c r="J8" i="41" s="1"/>
  <c r="L63" i="32"/>
  <c r="L62" i="32"/>
  <c r="L61" i="32"/>
  <c r="L60" i="32"/>
  <c r="L59" i="32"/>
  <c r="L56" i="32"/>
  <c r="L55" i="32"/>
  <c r="L54" i="32"/>
  <c r="L53" i="32"/>
  <c r="L52" i="32"/>
  <c r="L51" i="32"/>
  <c r="L49" i="32"/>
  <c r="L48" i="32"/>
  <c r="F24" i="39" s="1"/>
  <c r="L47" i="32"/>
  <c r="F23" i="39" s="1"/>
  <c r="L46" i="32"/>
  <c r="F22" i="39" s="1"/>
  <c r="L45" i="32"/>
  <c r="F21" i="39" s="1"/>
  <c r="L44" i="32"/>
  <c r="F20" i="39" s="1"/>
  <c r="L43" i="32"/>
  <c r="F19" i="39" s="1"/>
  <c r="L42" i="32"/>
  <c r="F18" i="39" s="1"/>
  <c r="L41" i="32"/>
  <c r="F17" i="39" s="1"/>
  <c r="L36" i="32"/>
  <c r="J6" i="41" s="1"/>
  <c r="L35" i="32"/>
  <c r="L34" i="32"/>
  <c r="L33" i="32"/>
  <c r="BW116" i="61" s="1"/>
  <c r="L32" i="32"/>
  <c r="L31" i="32"/>
  <c r="L30" i="32"/>
  <c r="BW114" i="61" s="1"/>
  <c r="J630" i="32"/>
  <c r="E260" i="43" s="1"/>
  <c r="J629" i="32"/>
  <c r="E259" i="43" s="1"/>
  <c r="J628" i="32"/>
  <c r="E258" i="43" s="1"/>
  <c r="J627" i="32"/>
  <c r="E257" i="43" s="1"/>
  <c r="J626" i="32"/>
  <c r="E256" i="43" s="1"/>
  <c r="J625" i="32"/>
  <c r="E255" i="43" s="1"/>
  <c r="J624" i="32"/>
  <c r="E254" i="43" s="1"/>
  <c r="J623" i="32"/>
  <c r="E253" i="43" s="1"/>
  <c r="J622" i="32"/>
  <c r="E252" i="43" s="1"/>
  <c r="J620" i="32"/>
  <c r="E250" i="43" s="1"/>
  <c r="J619" i="32"/>
  <c r="E249" i="43" s="1"/>
  <c r="J618" i="32"/>
  <c r="E248" i="43" s="1"/>
  <c r="J617" i="32"/>
  <c r="E247" i="43" s="1"/>
  <c r="J616" i="32"/>
  <c r="E246" i="43" s="1"/>
  <c r="J615" i="32"/>
  <c r="E245" i="43" s="1"/>
  <c r="J614" i="32"/>
  <c r="E244" i="43" s="1"/>
  <c r="J613" i="32"/>
  <c r="E243" i="43" s="1"/>
  <c r="J612" i="32"/>
  <c r="E242" i="43" s="1"/>
  <c r="J610" i="32"/>
  <c r="E240" i="43" s="1"/>
  <c r="J609" i="32"/>
  <c r="E239" i="43" s="1"/>
  <c r="J608" i="32"/>
  <c r="E238" i="43" s="1"/>
  <c r="J606" i="32"/>
  <c r="E236" i="43" s="1"/>
  <c r="J605" i="32"/>
  <c r="E235" i="43" s="1"/>
  <c r="J604" i="32"/>
  <c r="E234" i="43" s="1"/>
  <c r="J603" i="32"/>
  <c r="J602" i="32"/>
  <c r="J601" i="32"/>
  <c r="E231" i="43" s="1"/>
  <c r="J600" i="32"/>
  <c r="E230" i="43" s="1"/>
  <c r="J599" i="32"/>
  <c r="E229" i="43" s="1"/>
  <c r="J598" i="32"/>
  <c r="E228" i="43" s="1"/>
  <c r="J597" i="32"/>
  <c r="E227" i="43" s="1"/>
  <c r="J596" i="32"/>
  <c r="E226" i="43" s="1"/>
  <c r="J594" i="32"/>
  <c r="E224" i="43" s="1"/>
  <c r="J593" i="32"/>
  <c r="E223" i="43" s="1"/>
  <c r="J592" i="32"/>
  <c r="E222" i="43" s="1"/>
  <c r="J591" i="32"/>
  <c r="E221" i="43" s="1"/>
  <c r="J590" i="32"/>
  <c r="E220" i="43" s="1"/>
  <c r="J589" i="32"/>
  <c r="E219" i="43" s="1"/>
  <c r="J588" i="32"/>
  <c r="E218" i="43" s="1"/>
  <c r="J587" i="32"/>
  <c r="E217" i="43" s="1"/>
  <c r="J586" i="32"/>
  <c r="E216" i="43" s="1"/>
  <c r="J584" i="32"/>
  <c r="E214" i="43" s="1"/>
  <c r="J583" i="32"/>
  <c r="E213" i="43" s="1"/>
  <c r="J582" i="32"/>
  <c r="E212" i="43" s="1"/>
  <c r="J581" i="32"/>
  <c r="E211" i="43" s="1"/>
  <c r="J580" i="32"/>
  <c r="E210" i="43" s="1"/>
  <c r="J579" i="32"/>
  <c r="E209" i="43" s="1"/>
  <c r="J578" i="32"/>
  <c r="E208" i="43" s="1"/>
  <c r="J577" i="32"/>
  <c r="E207" i="43" s="1"/>
  <c r="J576" i="32"/>
  <c r="E206" i="43" s="1"/>
  <c r="J575" i="32"/>
  <c r="E205" i="43" s="1"/>
  <c r="J574" i="32"/>
  <c r="E204" i="43" s="1"/>
  <c r="J573" i="32"/>
  <c r="E203" i="43" s="1"/>
  <c r="J572" i="32"/>
  <c r="E202" i="43" s="1"/>
  <c r="J571" i="32"/>
  <c r="E201" i="43" s="1"/>
  <c r="J570" i="32"/>
  <c r="E200" i="43" s="1"/>
  <c r="J569" i="32"/>
  <c r="E199" i="43" s="1"/>
  <c r="J568" i="32"/>
  <c r="E198" i="43" s="1"/>
  <c r="J567" i="32"/>
  <c r="E197" i="43" s="1"/>
  <c r="J566" i="32"/>
  <c r="E196" i="43" s="1"/>
  <c r="J560" i="32"/>
  <c r="E190" i="43" s="1"/>
  <c r="J559" i="32"/>
  <c r="E189" i="43" s="1"/>
  <c r="J558" i="32"/>
  <c r="E188" i="43" s="1"/>
  <c r="J556" i="32"/>
  <c r="E186" i="43" s="1"/>
  <c r="J555" i="32"/>
  <c r="E185" i="43" s="1"/>
  <c r="J554" i="32"/>
  <c r="E184" i="43" s="1"/>
  <c r="J553" i="32"/>
  <c r="E183" i="43" s="1"/>
  <c r="J552" i="32"/>
  <c r="E182" i="43" s="1"/>
  <c r="J551" i="32"/>
  <c r="E181" i="43" s="1"/>
  <c r="J549" i="32"/>
  <c r="J548" i="32"/>
  <c r="E178" i="43" s="1"/>
  <c r="J547" i="32"/>
  <c r="E177" i="43" s="1"/>
  <c r="J546" i="32"/>
  <c r="E176" i="43" s="1"/>
  <c r="J545" i="32"/>
  <c r="E175" i="43" s="1"/>
  <c r="J544" i="32"/>
  <c r="E174" i="43" s="1"/>
  <c r="J543" i="32"/>
  <c r="E173" i="43" s="1"/>
  <c r="J542" i="32"/>
  <c r="E172" i="43" s="1"/>
  <c r="J541" i="32"/>
  <c r="E171" i="43" s="1"/>
  <c r="J540" i="32"/>
  <c r="E170" i="43" s="1"/>
  <c r="J538" i="32"/>
  <c r="E168" i="43" s="1"/>
  <c r="J537" i="32"/>
  <c r="E167" i="43" s="1"/>
  <c r="J536" i="32"/>
  <c r="J535" i="32"/>
  <c r="E165" i="43" s="1"/>
  <c r="J534" i="32"/>
  <c r="J533" i="32"/>
  <c r="E163" i="43" s="1"/>
  <c r="J532" i="32"/>
  <c r="E162" i="43" s="1"/>
  <c r="J531" i="32"/>
  <c r="E161" i="43" s="1"/>
  <c r="J530" i="32"/>
  <c r="E160" i="43" s="1"/>
  <c r="J529" i="32"/>
  <c r="E159" i="43" s="1"/>
  <c r="J528" i="32"/>
  <c r="E158" i="43" s="1"/>
  <c r="J526" i="32"/>
  <c r="E156" i="43" s="1"/>
  <c r="J525" i="32"/>
  <c r="E155" i="43" s="1"/>
  <c r="J524" i="32"/>
  <c r="E154" i="43" s="1"/>
  <c r="J523" i="32"/>
  <c r="E153" i="43" s="1"/>
  <c r="J522" i="32"/>
  <c r="E152" i="43" s="1"/>
  <c r="J521" i="32"/>
  <c r="E151" i="43" s="1"/>
  <c r="J520" i="32"/>
  <c r="E150" i="43" s="1"/>
  <c r="J519" i="32"/>
  <c r="E149" i="43" s="1"/>
  <c r="J518" i="32"/>
  <c r="E148" i="43" s="1"/>
  <c r="J512" i="32"/>
  <c r="E142" i="43" s="1"/>
  <c r="J511" i="32"/>
  <c r="E141" i="43" s="1"/>
  <c r="J510" i="32"/>
  <c r="E140" i="43" s="1"/>
  <c r="J509" i="32"/>
  <c r="E139" i="43" s="1"/>
  <c r="J508" i="32"/>
  <c r="E138" i="43" s="1"/>
  <c r="J507" i="32"/>
  <c r="E137" i="43" s="1"/>
  <c r="J506" i="32"/>
  <c r="E136" i="43" s="1"/>
  <c r="J505" i="32"/>
  <c r="E135" i="43" s="1"/>
  <c r="J504" i="32"/>
  <c r="E134" i="43" s="1"/>
  <c r="J502" i="32"/>
  <c r="E132" i="43" s="1"/>
  <c r="J501" i="32"/>
  <c r="E131" i="43" s="1"/>
  <c r="J500" i="32"/>
  <c r="E130" i="43" s="1"/>
  <c r="J498" i="32"/>
  <c r="E128" i="43" s="1"/>
  <c r="J497" i="32"/>
  <c r="J496" i="32"/>
  <c r="E126" i="43" s="1"/>
  <c r="J495" i="32"/>
  <c r="E125" i="43" s="1"/>
  <c r="J494" i="32"/>
  <c r="E124" i="43" s="1"/>
  <c r="J493" i="32"/>
  <c r="E123" i="43" s="1"/>
  <c r="J492" i="32"/>
  <c r="E122" i="43" s="1"/>
  <c r="J491" i="32"/>
  <c r="E121" i="43" s="1"/>
  <c r="J490" i="32"/>
  <c r="E120" i="43" s="1"/>
  <c r="J489" i="32"/>
  <c r="E119" i="43" s="1"/>
  <c r="J488" i="32"/>
  <c r="E118" i="43" s="1"/>
  <c r="J486" i="32"/>
  <c r="E116" i="43" s="1"/>
  <c r="J485" i="32"/>
  <c r="E115" i="43" s="1"/>
  <c r="J484" i="32"/>
  <c r="E114" i="43" s="1"/>
  <c r="J483" i="32"/>
  <c r="E113" i="43" s="1"/>
  <c r="J482" i="32"/>
  <c r="E112" i="43" s="1"/>
  <c r="J481" i="32"/>
  <c r="E111" i="43" s="1"/>
  <c r="J480" i="32"/>
  <c r="E110" i="43" s="1"/>
  <c r="J479" i="32"/>
  <c r="E109" i="43" s="1"/>
  <c r="J477" i="32"/>
  <c r="E107" i="43" s="1"/>
  <c r="J476" i="32"/>
  <c r="E106" i="43" s="1"/>
  <c r="J475" i="32"/>
  <c r="E105" i="43" s="1"/>
  <c r="J473" i="32"/>
  <c r="E103" i="43" s="1"/>
  <c r="J472" i="32"/>
  <c r="E102" i="43" s="1"/>
  <c r="J471" i="32"/>
  <c r="E101" i="43" s="1"/>
  <c r="J469" i="32"/>
  <c r="E99" i="43" s="1"/>
  <c r="J468" i="32"/>
  <c r="E98" i="43" s="1"/>
  <c r="J467" i="32"/>
  <c r="E97" i="43" s="1"/>
  <c r="J463" i="32"/>
  <c r="E93" i="43" s="1"/>
  <c r="J462" i="32"/>
  <c r="E92" i="43" s="1"/>
  <c r="J461" i="32"/>
  <c r="E91" i="43" s="1"/>
  <c r="J460" i="32"/>
  <c r="E90" i="43" s="1"/>
  <c r="J459" i="32"/>
  <c r="E89" i="43" s="1"/>
  <c r="J458" i="32"/>
  <c r="E88" i="43" s="1"/>
  <c r="J457" i="32"/>
  <c r="E87" i="43" s="1"/>
  <c r="J456" i="32"/>
  <c r="E86" i="43" s="1"/>
  <c r="J455" i="32"/>
  <c r="E85" i="43" s="1"/>
  <c r="J453" i="32"/>
  <c r="E83" i="43" s="1"/>
  <c r="J452" i="32"/>
  <c r="E82" i="43" s="1"/>
  <c r="J451" i="32"/>
  <c r="E81" i="43" s="1"/>
  <c r="J449" i="32"/>
  <c r="E79" i="43" s="1"/>
  <c r="J448" i="32"/>
  <c r="E78" i="43" s="1"/>
  <c r="J447" i="32"/>
  <c r="E77" i="43" s="1"/>
  <c r="J446" i="32"/>
  <c r="E76" i="43" s="1"/>
  <c r="J445" i="32"/>
  <c r="E75" i="43" s="1"/>
  <c r="J444" i="32"/>
  <c r="E74" i="43" s="1"/>
  <c r="J443" i="32"/>
  <c r="E73" i="43" s="1"/>
  <c r="J442" i="32"/>
  <c r="E72" i="43" s="1"/>
  <c r="J441" i="32"/>
  <c r="E71" i="43" s="1"/>
  <c r="J440" i="32"/>
  <c r="E70" i="43" s="1"/>
  <c r="J439" i="32"/>
  <c r="E69" i="43" s="1"/>
  <c r="J437" i="32"/>
  <c r="E67" i="43" s="1"/>
  <c r="J436" i="32"/>
  <c r="E66" i="43" s="1"/>
  <c r="J435" i="32"/>
  <c r="E65" i="43" s="1"/>
  <c r="J434" i="32"/>
  <c r="E64" i="43" s="1"/>
  <c r="J433" i="32"/>
  <c r="E63" i="43" s="1"/>
  <c r="J432" i="32"/>
  <c r="E62" i="43" s="1"/>
  <c r="J431" i="32"/>
  <c r="E61" i="43" s="1"/>
  <c r="J430" i="32"/>
  <c r="E60" i="43" s="1"/>
  <c r="J429" i="32"/>
  <c r="E59" i="43" s="1"/>
  <c r="J427" i="32"/>
  <c r="H73" i="44" s="1"/>
  <c r="J426" i="32"/>
  <c r="H72" i="44" s="1"/>
  <c r="J425" i="32"/>
  <c r="H71" i="44" s="1"/>
  <c r="J424" i="32"/>
  <c r="H70" i="44" s="1"/>
  <c r="J422" i="32"/>
  <c r="J421" i="32"/>
  <c r="J420" i="32"/>
  <c r="J419" i="32"/>
  <c r="J417" i="32"/>
  <c r="H81" i="44" s="1"/>
  <c r="J416" i="32"/>
  <c r="H80" i="44" s="1"/>
  <c r="J414" i="32"/>
  <c r="H77" i="44" s="1"/>
  <c r="J413" i="32"/>
  <c r="H76" i="44" s="1"/>
  <c r="J411" i="32"/>
  <c r="H69" i="42" s="1"/>
  <c r="J410" i="32"/>
  <c r="H68" i="42" s="1"/>
  <c r="J409" i="32"/>
  <c r="H67" i="42" s="1"/>
  <c r="J408" i="32"/>
  <c r="H66" i="42" s="1"/>
  <c r="J407" i="32"/>
  <c r="H65" i="42" s="1"/>
  <c r="J406" i="32"/>
  <c r="H64" i="42" s="1"/>
  <c r="J405" i="32"/>
  <c r="H63" i="42" s="1"/>
  <c r="J404" i="32"/>
  <c r="H62" i="42" s="1"/>
  <c r="J403" i="32"/>
  <c r="H61" i="42" s="1"/>
  <c r="J402" i="32"/>
  <c r="H60" i="42" s="1"/>
  <c r="J401" i="32"/>
  <c r="H59" i="42" s="1"/>
  <c r="K399" i="32"/>
  <c r="J399" i="32"/>
  <c r="K398" i="32"/>
  <c r="I57" i="42" s="1"/>
  <c r="J398" i="32"/>
  <c r="H57" i="42" s="1"/>
  <c r="K397" i="32"/>
  <c r="I56" i="42" s="1"/>
  <c r="J397" i="32"/>
  <c r="H56" i="42" s="1"/>
  <c r="K396" i="32"/>
  <c r="I55" i="42" s="1"/>
  <c r="J396" i="32"/>
  <c r="H55" i="42" s="1"/>
  <c r="K395" i="32"/>
  <c r="I54" i="42" s="1"/>
  <c r="J395" i="32"/>
  <c r="H54" i="42" s="1"/>
  <c r="K394" i="32"/>
  <c r="I53" i="42" s="1"/>
  <c r="J394" i="32"/>
  <c r="H53" i="42" s="1"/>
  <c r="K393" i="32"/>
  <c r="I52" i="42" s="1"/>
  <c r="J393" i="32"/>
  <c r="H52" i="42" s="1"/>
  <c r="K392" i="32"/>
  <c r="I51" i="42" s="1"/>
  <c r="J392" i="32"/>
  <c r="H51" i="42" s="1"/>
  <c r="K391" i="32"/>
  <c r="I50" i="42" s="1"/>
  <c r="J391" i="32"/>
  <c r="H50" i="42" s="1"/>
  <c r="K390" i="32"/>
  <c r="I49" i="42" s="1"/>
  <c r="J390" i="32"/>
  <c r="H49" i="42" s="1"/>
  <c r="K389" i="32"/>
  <c r="I48" i="42" s="1"/>
  <c r="K388" i="32"/>
  <c r="I47" i="42" s="1"/>
  <c r="J388" i="32"/>
  <c r="H47" i="42" s="1"/>
  <c r="J387" i="32"/>
  <c r="H46" i="42" s="1"/>
  <c r="J386" i="32"/>
  <c r="H45" i="42" s="1"/>
  <c r="J385" i="32"/>
  <c r="H44" i="42" s="1"/>
  <c r="J384" i="32"/>
  <c r="H43" i="42" s="1"/>
  <c r="J383" i="32"/>
  <c r="H42" i="42" s="1"/>
  <c r="J382" i="32"/>
  <c r="H41" i="42" s="1"/>
  <c r="K380" i="32"/>
  <c r="I39" i="42" s="1"/>
  <c r="J380" i="32"/>
  <c r="H39" i="42" s="1"/>
  <c r="K379" i="32"/>
  <c r="I38" i="42" s="1"/>
  <c r="J379" i="32"/>
  <c r="H38" i="42" s="1"/>
  <c r="K378" i="32"/>
  <c r="I37" i="42" s="1"/>
  <c r="J378" i="32"/>
  <c r="H37" i="42" s="1"/>
  <c r="K377" i="32"/>
  <c r="I36" i="42" s="1"/>
  <c r="J377" i="32"/>
  <c r="H36" i="42" s="1"/>
  <c r="K376" i="32"/>
  <c r="I35" i="42" s="1"/>
  <c r="J376" i="32"/>
  <c r="H35" i="42" s="1"/>
  <c r="K375" i="32"/>
  <c r="I34" i="42" s="1"/>
  <c r="J375" i="32"/>
  <c r="H34" i="42" s="1"/>
  <c r="K373" i="32"/>
  <c r="I31" i="42" s="1"/>
  <c r="J373" i="32"/>
  <c r="H31" i="42" s="1"/>
  <c r="K372" i="32"/>
  <c r="I30" i="42" s="1"/>
  <c r="J372" i="32"/>
  <c r="H30" i="42" s="1"/>
  <c r="K371" i="32"/>
  <c r="I29" i="42" s="1"/>
  <c r="J371" i="32"/>
  <c r="H29" i="42" s="1"/>
  <c r="K370" i="32"/>
  <c r="I28" i="42" s="1"/>
  <c r="J370" i="32"/>
  <c r="H28" i="42" s="1"/>
  <c r="K369" i="32"/>
  <c r="I27" i="42" s="1"/>
  <c r="J369" i="32"/>
  <c r="H27" i="42" s="1"/>
  <c r="K367" i="32"/>
  <c r="I25" i="42" s="1"/>
  <c r="J367" i="32"/>
  <c r="H25" i="42" s="1"/>
  <c r="K366" i="32"/>
  <c r="I24" i="42" s="1"/>
  <c r="J366" i="32"/>
  <c r="H24" i="42" s="1"/>
  <c r="K364" i="32"/>
  <c r="I22" i="42" s="1"/>
  <c r="J364" i="32"/>
  <c r="H22" i="42" s="1"/>
  <c r="K363" i="32"/>
  <c r="I21" i="42" s="1"/>
  <c r="J363" i="32"/>
  <c r="H21" i="42" s="1"/>
  <c r="K362" i="32"/>
  <c r="I20" i="42" s="1"/>
  <c r="J362" i="32"/>
  <c r="H20" i="42" s="1"/>
  <c r="K361" i="32"/>
  <c r="I19" i="42" s="1"/>
  <c r="J361" i="32"/>
  <c r="H19" i="42" s="1"/>
  <c r="K360" i="32"/>
  <c r="I18" i="42" s="1"/>
  <c r="J360" i="32"/>
  <c r="H18" i="42" s="1"/>
  <c r="K359" i="32"/>
  <c r="I17" i="42" s="1"/>
  <c r="J359" i="32"/>
  <c r="H17" i="42" s="1"/>
  <c r="K358" i="32"/>
  <c r="I16" i="42" s="1"/>
  <c r="J358" i="32"/>
  <c r="H16" i="42" s="1"/>
  <c r="K357" i="32"/>
  <c r="I15" i="42" s="1"/>
  <c r="J357" i="32"/>
  <c r="H15" i="42" s="1"/>
  <c r="J355" i="32"/>
  <c r="H13" i="42" s="1"/>
  <c r="J354" i="32"/>
  <c r="H12" i="42" s="1"/>
  <c r="J353" i="32"/>
  <c r="H11" i="42" s="1"/>
  <c r="K351" i="32"/>
  <c r="J351" i="32"/>
  <c r="H32" i="42" s="1"/>
  <c r="K350" i="32"/>
  <c r="I9" i="42" s="1"/>
  <c r="J350" i="32"/>
  <c r="H9" i="42" s="1"/>
  <c r="K349" i="32"/>
  <c r="I8" i="42" s="1"/>
  <c r="J349" i="32"/>
  <c r="H8" i="42" s="1"/>
  <c r="K348" i="32"/>
  <c r="I7" i="42" s="1"/>
  <c r="J348" i="32"/>
  <c r="H7" i="42" s="1"/>
  <c r="K347" i="32"/>
  <c r="I6" i="42" s="1"/>
  <c r="J347" i="32"/>
  <c r="H6" i="42" s="1"/>
  <c r="K346" i="32"/>
  <c r="I5" i="42" s="1"/>
  <c r="J346" i="32"/>
  <c r="H5" i="42" s="1"/>
  <c r="K345" i="32"/>
  <c r="I4" i="42" s="1"/>
  <c r="J345" i="32"/>
  <c r="H4" i="42" s="1"/>
  <c r="J343" i="32"/>
  <c r="E56" i="43" s="1"/>
  <c r="J342" i="32"/>
  <c r="E55" i="43" s="1"/>
  <c r="J341" i="32"/>
  <c r="E54" i="43" s="1"/>
  <c r="J340" i="32"/>
  <c r="E53" i="43" s="1"/>
  <c r="J339" i="32"/>
  <c r="E52" i="43" s="1"/>
  <c r="J338" i="32"/>
  <c r="E51" i="43" s="1"/>
  <c r="J335" i="32"/>
  <c r="E47" i="43" s="1"/>
  <c r="J334" i="32"/>
  <c r="E46" i="43" s="1"/>
  <c r="J333" i="32"/>
  <c r="E45" i="43" s="1"/>
  <c r="J332" i="32"/>
  <c r="E44" i="43" s="1"/>
  <c r="J331" i="32"/>
  <c r="E43" i="43" s="1"/>
  <c r="J328" i="32"/>
  <c r="E40" i="43" s="1"/>
  <c r="J327" i="32"/>
  <c r="E39" i="43" s="1"/>
  <c r="J324" i="32"/>
  <c r="E36" i="43" s="1"/>
  <c r="J323" i="32"/>
  <c r="E35" i="43" s="1"/>
  <c r="J322" i="32"/>
  <c r="E34" i="43" s="1"/>
  <c r="J321" i="32"/>
  <c r="E33" i="43" s="1"/>
  <c r="J320" i="32"/>
  <c r="E32" i="43" s="1"/>
  <c r="J319" i="32"/>
  <c r="E31" i="43" s="1"/>
  <c r="J318" i="32"/>
  <c r="E30" i="43" s="1"/>
  <c r="J317" i="32"/>
  <c r="E29" i="43" s="1"/>
  <c r="J314" i="32"/>
  <c r="E26" i="43" s="1"/>
  <c r="J313" i="32"/>
  <c r="E25" i="43" s="1"/>
  <c r="J312" i="32"/>
  <c r="E24" i="43" s="1"/>
  <c r="J309" i="32"/>
  <c r="E48" i="43" s="1"/>
  <c r="J308" i="32"/>
  <c r="E21" i="43" s="1"/>
  <c r="J307" i="32"/>
  <c r="E20" i="43" s="1"/>
  <c r="J306" i="32"/>
  <c r="E19" i="43" s="1"/>
  <c r="J305" i="32"/>
  <c r="E18" i="43" s="1"/>
  <c r="J304" i="32"/>
  <c r="E17" i="43" s="1"/>
  <c r="J303" i="32"/>
  <c r="E16" i="43" s="1"/>
  <c r="J300" i="32"/>
  <c r="J299" i="32"/>
  <c r="J298" i="32"/>
  <c r="J297" i="32"/>
  <c r="J296" i="32"/>
  <c r="J295" i="32"/>
  <c r="J294" i="32"/>
  <c r="H5" i="45" s="1"/>
  <c r="J293" i="32"/>
  <c r="H17" i="40" s="1"/>
  <c r="J292" i="32"/>
  <c r="H16" i="40" s="1"/>
  <c r="J291" i="32"/>
  <c r="H15" i="40" s="1"/>
  <c r="J290" i="32"/>
  <c r="H14" i="40" s="1"/>
  <c r="J289" i="32"/>
  <c r="H13" i="40" s="1"/>
  <c r="J288" i="32"/>
  <c r="H12" i="40" s="1"/>
  <c r="J287" i="32"/>
  <c r="J286" i="32"/>
  <c r="J285" i="32"/>
  <c r="H10" i="40" s="1"/>
  <c r="J284" i="32"/>
  <c r="J283" i="32"/>
  <c r="J282" i="32"/>
  <c r="J281" i="32"/>
  <c r="H14" i="45" s="1"/>
  <c r="J280" i="32"/>
  <c r="J279" i="32"/>
  <c r="J278" i="32"/>
  <c r="J277" i="32"/>
  <c r="J276" i="32"/>
  <c r="J275" i="32"/>
  <c r="J259" i="32"/>
  <c r="J258" i="32"/>
  <c r="J257" i="32"/>
  <c r="J256" i="32"/>
  <c r="J255" i="32"/>
  <c r="J254" i="32"/>
  <c r="J252" i="32"/>
  <c r="H67" i="44" s="1"/>
  <c r="J251" i="32"/>
  <c r="H66" i="44" s="1"/>
  <c r="J250" i="32"/>
  <c r="H65" i="44" s="1"/>
  <c r="J249" i="32"/>
  <c r="H64" i="44" s="1"/>
  <c r="J248" i="32"/>
  <c r="H63" i="44" s="1"/>
  <c r="J247" i="32"/>
  <c r="H62" i="44" s="1"/>
  <c r="J246" i="32"/>
  <c r="H61" i="44" s="1"/>
  <c r="J245" i="32"/>
  <c r="H60" i="44" s="1"/>
  <c r="J244" i="32"/>
  <c r="H59" i="44" s="1"/>
  <c r="J239" i="32"/>
  <c r="J238" i="32"/>
  <c r="H56" i="44" s="1"/>
  <c r="J237" i="32"/>
  <c r="J236" i="32"/>
  <c r="J235" i="32"/>
  <c r="H53" i="44" s="1"/>
  <c r="J234" i="32"/>
  <c r="H52" i="44" s="1"/>
  <c r="J233" i="32"/>
  <c r="J230" i="32"/>
  <c r="J229" i="32"/>
  <c r="J228" i="32"/>
  <c r="J227" i="32"/>
  <c r="J226" i="32"/>
  <c r="J225" i="32"/>
  <c r="J223" i="32"/>
  <c r="H48" i="44" s="1"/>
  <c r="J222" i="32"/>
  <c r="H47" i="44" s="1"/>
  <c r="J221" i="32"/>
  <c r="H46" i="44" s="1"/>
  <c r="J220" i="32"/>
  <c r="H45" i="44" s="1"/>
  <c r="J219" i="32"/>
  <c r="H44" i="44" s="1"/>
  <c r="J218" i="32"/>
  <c r="H43" i="44" s="1"/>
  <c r="J217" i="32"/>
  <c r="H42" i="44" s="1"/>
  <c r="J216" i="32"/>
  <c r="H41" i="44" s="1"/>
  <c r="J215" i="32"/>
  <c r="H40" i="44" s="1"/>
  <c r="J210" i="32"/>
  <c r="J209" i="32"/>
  <c r="H37" i="44" s="1"/>
  <c r="J208" i="32"/>
  <c r="J207" i="32"/>
  <c r="H35" i="44" s="1"/>
  <c r="J206" i="32"/>
  <c r="H34" i="44" s="1"/>
  <c r="J205" i="32"/>
  <c r="J202" i="32"/>
  <c r="J201" i="32"/>
  <c r="J200" i="32"/>
  <c r="J199" i="32"/>
  <c r="J198" i="32"/>
  <c r="J197" i="32"/>
  <c r="J196" i="32"/>
  <c r="J195" i="32"/>
  <c r="J193" i="32"/>
  <c r="H28" i="44" s="1"/>
  <c r="J192" i="32"/>
  <c r="H27" i="44" s="1"/>
  <c r="J191" i="32"/>
  <c r="H26" i="44" s="1"/>
  <c r="J190" i="32"/>
  <c r="H25" i="44" s="1"/>
  <c r="J189" i="32"/>
  <c r="H24" i="44" s="1"/>
  <c r="J188" i="32"/>
  <c r="H23" i="44" s="1"/>
  <c r="J187" i="32"/>
  <c r="H22" i="44" s="1"/>
  <c r="J186" i="32"/>
  <c r="H21" i="44" s="1"/>
  <c r="J185" i="32"/>
  <c r="H20" i="44" s="1"/>
  <c r="J180" i="32"/>
  <c r="J179" i="32"/>
  <c r="H17" i="44" s="1"/>
  <c r="J178" i="32"/>
  <c r="J177" i="32"/>
  <c r="J176" i="32"/>
  <c r="J175" i="32"/>
  <c r="J173" i="32"/>
  <c r="J172" i="32"/>
  <c r="J171" i="32"/>
  <c r="J168" i="32"/>
  <c r="J167" i="32"/>
  <c r="J166" i="32"/>
  <c r="J165" i="32"/>
  <c r="J164" i="32"/>
  <c r="J163" i="32"/>
  <c r="J161" i="32"/>
  <c r="E97" i="39" s="1"/>
  <c r="J160" i="32"/>
  <c r="E96" i="39" s="1"/>
  <c r="J159" i="32"/>
  <c r="E95" i="39" s="1"/>
  <c r="J158" i="32"/>
  <c r="E94" i="39" s="1"/>
  <c r="J157" i="32"/>
  <c r="E93" i="39" s="1"/>
  <c r="J156" i="32"/>
  <c r="E92" i="39" s="1"/>
  <c r="J155" i="32"/>
  <c r="E91" i="39" s="1"/>
  <c r="J154" i="32"/>
  <c r="E90" i="39" s="1"/>
  <c r="J153" i="32"/>
  <c r="E89" i="39" s="1"/>
  <c r="J148" i="32"/>
  <c r="H14" i="41" s="1"/>
  <c r="J147" i="32"/>
  <c r="J146" i="32"/>
  <c r="H85" i="62" s="1"/>
  <c r="J145" i="32"/>
  <c r="J144" i="32"/>
  <c r="J143" i="32"/>
  <c r="J140" i="32"/>
  <c r="J139" i="32"/>
  <c r="J138" i="32"/>
  <c r="J137" i="32"/>
  <c r="J136" i="32"/>
  <c r="J135" i="32"/>
  <c r="J133" i="32"/>
  <c r="E79" i="39" s="1"/>
  <c r="J132" i="32"/>
  <c r="E78" i="39" s="1"/>
  <c r="J131" i="32"/>
  <c r="E77" i="39" s="1"/>
  <c r="J130" i="32"/>
  <c r="E76" i="39" s="1"/>
  <c r="J129" i="32"/>
  <c r="E75" i="39" s="1"/>
  <c r="J128" i="32"/>
  <c r="E74" i="39" s="1"/>
  <c r="J127" i="32"/>
  <c r="E73" i="39" s="1"/>
  <c r="J126" i="32"/>
  <c r="E72" i="39" s="1"/>
  <c r="J125" i="32"/>
  <c r="E71" i="39" s="1"/>
  <c r="J120" i="32"/>
  <c r="H12" i="41" s="1"/>
  <c r="J119" i="32"/>
  <c r="J118" i="32"/>
  <c r="H83" i="62" s="1"/>
  <c r="J117" i="32"/>
  <c r="J116" i="32"/>
  <c r="J115" i="32"/>
  <c r="J112" i="32"/>
  <c r="J111" i="32"/>
  <c r="J110" i="32"/>
  <c r="J109" i="32"/>
  <c r="J108" i="32"/>
  <c r="J107" i="32"/>
  <c r="J105" i="32"/>
  <c r="E61" i="39" s="1"/>
  <c r="J104" i="32"/>
  <c r="E60" i="39" s="1"/>
  <c r="J103" i="32"/>
  <c r="E59" i="39" s="1"/>
  <c r="J102" i="32"/>
  <c r="E58" i="39" s="1"/>
  <c r="J101" i="32"/>
  <c r="E57" i="39" s="1"/>
  <c r="J100" i="32"/>
  <c r="E56" i="39" s="1"/>
  <c r="J99" i="32"/>
  <c r="E55" i="39" s="1"/>
  <c r="J98" i="32"/>
  <c r="E54" i="39" s="1"/>
  <c r="J97" i="32"/>
  <c r="E53" i="39" s="1"/>
  <c r="J92" i="32"/>
  <c r="H10" i="41" s="1"/>
  <c r="J91" i="32"/>
  <c r="J90" i="32"/>
  <c r="H82" i="62" s="1"/>
  <c r="J89" i="32"/>
  <c r="J88" i="32"/>
  <c r="J87" i="32"/>
  <c r="J84" i="32"/>
  <c r="J83" i="32"/>
  <c r="J82" i="32"/>
  <c r="J81" i="32"/>
  <c r="J80" i="32"/>
  <c r="J79" i="32"/>
  <c r="J77" i="32"/>
  <c r="E43" i="39" s="1"/>
  <c r="J76" i="32"/>
  <c r="E42" i="39" s="1"/>
  <c r="J75" i="32"/>
  <c r="E41" i="39" s="1"/>
  <c r="J74" i="32"/>
  <c r="E40" i="39" s="1"/>
  <c r="J73" i="32"/>
  <c r="E39" i="39" s="1"/>
  <c r="J72" i="32"/>
  <c r="E38" i="39" s="1"/>
  <c r="J71" i="32"/>
  <c r="E37" i="39" s="1"/>
  <c r="J70" i="32"/>
  <c r="E36" i="39" s="1"/>
  <c r="J69" i="32"/>
  <c r="E35" i="39" s="1"/>
  <c r="J64" i="32"/>
  <c r="H8" i="41" s="1"/>
  <c r="J63" i="32"/>
  <c r="J62" i="32"/>
  <c r="H81" i="62" s="1"/>
  <c r="J61" i="32"/>
  <c r="J60" i="32"/>
  <c r="J59" i="32"/>
  <c r="J56" i="32"/>
  <c r="J55" i="32"/>
  <c r="J54" i="32"/>
  <c r="J53" i="32"/>
  <c r="J52" i="32"/>
  <c r="J51" i="32"/>
  <c r="J49" i="32"/>
  <c r="J48" i="32"/>
  <c r="E24" i="39" s="1"/>
  <c r="J47" i="32"/>
  <c r="E23" i="39" s="1"/>
  <c r="J46" i="32"/>
  <c r="E22" i="39" s="1"/>
  <c r="J45" i="32"/>
  <c r="E21" i="39" s="1"/>
  <c r="J44" i="32"/>
  <c r="E20" i="39" s="1"/>
  <c r="J43" i="32"/>
  <c r="E19" i="39" s="1"/>
  <c r="J42" i="32"/>
  <c r="E18" i="39" s="1"/>
  <c r="J41" i="32"/>
  <c r="E17" i="39" s="1"/>
  <c r="J36" i="32"/>
  <c r="H6" i="41" s="1"/>
  <c r="J35" i="32"/>
  <c r="J34" i="32"/>
  <c r="J33" i="32"/>
  <c r="J32" i="32"/>
  <c r="J31" i="32"/>
  <c r="J30" i="32"/>
  <c r="BW114" i="62" s="1"/>
  <c r="AO114" i="62" s="1"/>
  <c r="AJ114" i="62" s="1"/>
  <c r="H630" i="32"/>
  <c r="D260" i="43" s="1"/>
  <c r="H629" i="32"/>
  <c r="D259" i="43" s="1"/>
  <c r="H628" i="32"/>
  <c r="D258" i="43" s="1"/>
  <c r="H627" i="32"/>
  <c r="D257" i="43" s="1"/>
  <c r="H626" i="32"/>
  <c r="D256" i="43" s="1"/>
  <c r="H625" i="32"/>
  <c r="D255" i="43" s="1"/>
  <c r="H624" i="32"/>
  <c r="D254" i="43" s="1"/>
  <c r="H623" i="32"/>
  <c r="D253" i="43" s="1"/>
  <c r="H622" i="32"/>
  <c r="D252" i="43" s="1"/>
  <c r="H620" i="32"/>
  <c r="D250" i="43" s="1"/>
  <c r="H619" i="32"/>
  <c r="D249" i="43" s="1"/>
  <c r="H618" i="32"/>
  <c r="D248" i="43" s="1"/>
  <c r="H617" i="32"/>
  <c r="D247" i="43" s="1"/>
  <c r="H616" i="32"/>
  <c r="D246" i="43" s="1"/>
  <c r="H615" i="32"/>
  <c r="D245" i="43" s="1"/>
  <c r="H614" i="32"/>
  <c r="D244" i="43" s="1"/>
  <c r="H613" i="32"/>
  <c r="D243" i="43" s="1"/>
  <c r="H612" i="32"/>
  <c r="D242" i="43" s="1"/>
  <c r="H610" i="32"/>
  <c r="D240" i="43" s="1"/>
  <c r="H609" i="32"/>
  <c r="D239" i="43" s="1"/>
  <c r="H608" i="32"/>
  <c r="D238" i="43" s="1"/>
  <c r="H606" i="32"/>
  <c r="D236" i="43" s="1"/>
  <c r="H605" i="32"/>
  <c r="D235" i="43" s="1"/>
  <c r="H604" i="32"/>
  <c r="D234" i="43" s="1"/>
  <c r="H603" i="32"/>
  <c r="H602" i="32"/>
  <c r="H601" i="32"/>
  <c r="D231" i="43" s="1"/>
  <c r="H600" i="32"/>
  <c r="D230" i="43" s="1"/>
  <c r="H599" i="32"/>
  <c r="D229" i="43" s="1"/>
  <c r="H598" i="32"/>
  <c r="D228" i="43" s="1"/>
  <c r="H597" i="32"/>
  <c r="D227" i="43" s="1"/>
  <c r="H596" i="32"/>
  <c r="D226" i="43" s="1"/>
  <c r="H594" i="32"/>
  <c r="D224" i="43" s="1"/>
  <c r="H593" i="32"/>
  <c r="D223" i="43" s="1"/>
  <c r="H592" i="32"/>
  <c r="D222" i="43" s="1"/>
  <c r="H591" i="32"/>
  <c r="D221" i="43" s="1"/>
  <c r="H590" i="32"/>
  <c r="D220" i="43" s="1"/>
  <c r="H589" i="32"/>
  <c r="D219" i="43" s="1"/>
  <c r="H588" i="32"/>
  <c r="D218" i="43" s="1"/>
  <c r="H587" i="32"/>
  <c r="D217" i="43" s="1"/>
  <c r="H586" i="32"/>
  <c r="D216" i="43" s="1"/>
  <c r="H584" i="32"/>
  <c r="D214" i="43" s="1"/>
  <c r="H583" i="32"/>
  <c r="D213" i="43" s="1"/>
  <c r="H582" i="32"/>
  <c r="D212" i="43" s="1"/>
  <c r="H581" i="32"/>
  <c r="D211" i="43" s="1"/>
  <c r="H580" i="32"/>
  <c r="D210" i="43" s="1"/>
  <c r="H579" i="32"/>
  <c r="D209" i="43" s="1"/>
  <c r="H578" i="32"/>
  <c r="D208" i="43" s="1"/>
  <c r="H577" i="32"/>
  <c r="D207" i="43" s="1"/>
  <c r="H576" i="32"/>
  <c r="D206" i="43" s="1"/>
  <c r="H575" i="32"/>
  <c r="D205" i="43" s="1"/>
  <c r="H574" i="32"/>
  <c r="D204" i="43" s="1"/>
  <c r="H573" i="32"/>
  <c r="D203" i="43" s="1"/>
  <c r="H572" i="32"/>
  <c r="D202" i="43" s="1"/>
  <c r="H571" i="32"/>
  <c r="D201" i="43" s="1"/>
  <c r="H570" i="32"/>
  <c r="D200" i="43" s="1"/>
  <c r="H569" i="32"/>
  <c r="D199" i="43" s="1"/>
  <c r="H568" i="32"/>
  <c r="D198" i="43" s="1"/>
  <c r="H567" i="32"/>
  <c r="D197" i="43" s="1"/>
  <c r="H566" i="32"/>
  <c r="D196" i="43" s="1"/>
  <c r="H560" i="32"/>
  <c r="D190" i="43" s="1"/>
  <c r="H559" i="32"/>
  <c r="D189" i="43" s="1"/>
  <c r="H558" i="32"/>
  <c r="D188" i="43" s="1"/>
  <c r="H556" i="32"/>
  <c r="D186" i="43" s="1"/>
  <c r="H555" i="32"/>
  <c r="D185" i="43" s="1"/>
  <c r="H554" i="32"/>
  <c r="D184" i="43" s="1"/>
  <c r="H553" i="32"/>
  <c r="D183" i="43" s="1"/>
  <c r="H552" i="32"/>
  <c r="D182" i="43" s="1"/>
  <c r="H551" i="32"/>
  <c r="D181" i="43" s="1"/>
  <c r="H549" i="32"/>
  <c r="H548" i="32"/>
  <c r="D178" i="43" s="1"/>
  <c r="H547" i="32"/>
  <c r="D177" i="43" s="1"/>
  <c r="H546" i="32"/>
  <c r="D176" i="43" s="1"/>
  <c r="H545" i="32"/>
  <c r="D175" i="43" s="1"/>
  <c r="H544" i="32"/>
  <c r="D174" i="43" s="1"/>
  <c r="H543" i="32"/>
  <c r="D173" i="43" s="1"/>
  <c r="H542" i="32"/>
  <c r="D172" i="43" s="1"/>
  <c r="H541" i="32"/>
  <c r="D171" i="43" s="1"/>
  <c r="H540" i="32"/>
  <c r="D170" i="43" s="1"/>
  <c r="H538" i="32"/>
  <c r="D168" i="43" s="1"/>
  <c r="H537" i="32"/>
  <c r="D167" i="43" s="1"/>
  <c r="H536" i="32"/>
  <c r="H535" i="32"/>
  <c r="D165" i="43" s="1"/>
  <c r="H534" i="32"/>
  <c r="H533" i="32"/>
  <c r="D163" i="43" s="1"/>
  <c r="H532" i="32"/>
  <c r="D162" i="43" s="1"/>
  <c r="H531" i="32"/>
  <c r="D161" i="43" s="1"/>
  <c r="H530" i="32"/>
  <c r="D160" i="43" s="1"/>
  <c r="H529" i="32"/>
  <c r="D159" i="43" s="1"/>
  <c r="H528" i="32"/>
  <c r="D158" i="43" s="1"/>
  <c r="H526" i="32"/>
  <c r="D156" i="43" s="1"/>
  <c r="H525" i="32"/>
  <c r="D155" i="43" s="1"/>
  <c r="H524" i="32"/>
  <c r="D154" i="43" s="1"/>
  <c r="H523" i="32"/>
  <c r="D153" i="43" s="1"/>
  <c r="H522" i="32"/>
  <c r="D152" i="43" s="1"/>
  <c r="H521" i="32"/>
  <c r="D151" i="43" s="1"/>
  <c r="H520" i="32"/>
  <c r="D150" i="43" s="1"/>
  <c r="H519" i="32"/>
  <c r="D149" i="43" s="1"/>
  <c r="H518" i="32"/>
  <c r="D148" i="43" s="1"/>
  <c r="H512" i="32"/>
  <c r="D142" i="43" s="1"/>
  <c r="H511" i="32"/>
  <c r="D141" i="43" s="1"/>
  <c r="H510" i="32"/>
  <c r="D140" i="43" s="1"/>
  <c r="H509" i="32"/>
  <c r="D139" i="43" s="1"/>
  <c r="H508" i="32"/>
  <c r="D138" i="43" s="1"/>
  <c r="H507" i="32"/>
  <c r="D137" i="43" s="1"/>
  <c r="H506" i="32"/>
  <c r="D136" i="43" s="1"/>
  <c r="H505" i="32"/>
  <c r="D135" i="43" s="1"/>
  <c r="H504" i="32"/>
  <c r="D134" i="43" s="1"/>
  <c r="H502" i="32"/>
  <c r="D132" i="43" s="1"/>
  <c r="H501" i="32"/>
  <c r="D131" i="43" s="1"/>
  <c r="H500" i="32"/>
  <c r="D130" i="43" s="1"/>
  <c r="H498" i="32"/>
  <c r="D128" i="43" s="1"/>
  <c r="H497" i="32"/>
  <c r="H496" i="32"/>
  <c r="D126" i="43" s="1"/>
  <c r="H495" i="32"/>
  <c r="D125" i="43" s="1"/>
  <c r="H494" i="32"/>
  <c r="D124" i="43" s="1"/>
  <c r="H493" i="32"/>
  <c r="D123" i="43" s="1"/>
  <c r="H492" i="32"/>
  <c r="D122" i="43" s="1"/>
  <c r="H491" i="32"/>
  <c r="D121" i="43" s="1"/>
  <c r="H490" i="32"/>
  <c r="D120" i="43" s="1"/>
  <c r="H489" i="32"/>
  <c r="D119" i="43" s="1"/>
  <c r="H488" i="32"/>
  <c r="D118" i="43" s="1"/>
  <c r="H486" i="32"/>
  <c r="D116" i="43" s="1"/>
  <c r="H485" i="32"/>
  <c r="D115" i="43" s="1"/>
  <c r="H484" i="32"/>
  <c r="D114" i="43" s="1"/>
  <c r="H483" i="32"/>
  <c r="D113" i="43" s="1"/>
  <c r="H482" i="32"/>
  <c r="D112" i="43" s="1"/>
  <c r="H481" i="32"/>
  <c r="D111" i="43" s="1"/>
  <c r="H480" i="32"/>
  <c r="D110" i="43" s="1"/>
  <c r="H479" i="32"/>
  <c r="D109" i="43" s="1"/>
  <c r="H477" i="32"/>
  <c r="D107" i="43" s="1"/>
  <c r="H476" i="32"/>
  <c r="D106" i="43" s="1"/>
  <c r="H475" i="32"/>
  <c r="D105" i="43" s="1"/>
  <c r="H473" i="32"/>
  <c r="D103" i="43" s="1"/>
  <c r="H472" i="32"/>
  <c r="D102" i="43" s="1"/>
  <c r="H471" i="32"/>
  <c r="D101" i="43" s="1"/>
  <c r="H469" i="32"/>
  <c r="D99" i="43" s="1"/>
  <c r="H468" i="32"/>
  <c r="D98" i="43" s="1"/>
  <c r="H467" i="32"/>
  <c r="D97" i="43" s="1"/>
  <c r="H463" i="32"/>
  <c r="D93" i="43" s="1"/>
  <c r="H462" i="32"/>
  <c r="D92" i="43" s="1"/>
  <c r="H461" i="32"/>
  <c r="D91" i="43" s="1"/>
  <c r="H460" i="32"/>
  <c r="D90" i="43" s="1"/>
  <c r="H459" i="32"/>
  <c r="D89" i="43" s="1"/>
  <c r="H458" i="32"/>
  <c r="D88" i="43" s="1"/>
  <c r="H457" i="32"/>
  <c r="D87" i="43" s="1"/>
  <c r="H456" i="32"/>
  <c r="D86" i="43" s="1"/>
  <c r="H455" i="32"/>
  <c r="D85" i="43" s="1"/>
  <c r="H453" i="32"/>
  <c r="D83" i="43" s="1"/>
  <c r="H452" i="32"/>
  <c r="D82" i="43" s="1"/>
  <c r="H451" i="32"/>
  <c r="D81" i="43" s="1"/>
  <c r="H449" i="32"/>
  <c r="D79" i="43" s="1"/>
  <c r="H448" i="32"/>
  <c r="D78" i="43" s="1"/>
  <c r="H447" i="32"/>
  <c r="D77" i="43" s="1"/>
  <c r="H446" i="32"/>
  <c r="D76" i="43" s="1"/>
  <c r="H445" i="32"/>
  <c r="D75" i="43" s="1"/>
  <c r="H444" i="32"/>
  <c r="D74" i="43" s="1"/>
  <c r="H443" i="32"/>
  <c r="D73" i="43" s="1"/>
  <c r="H442" i="32"/>
  <c r="D72" i="43" s="1"/>
  <c r="H441" i="32"/>
  <c r="D71" i="43" s="1"/>
  <c r="H440" i="32"/>
  <c r="D70" i="43" s="1"/>
  <c r="H439" i="32"/>
  <c r="D69" i="43" s="1"/>
  <c r="H437" i="32"/>
  <c r="D67" i="43" s="1"/>
  <c r="H436" i="32"/>
  <c r="D66" i="43" s="1"/>
  <c r="H435" i="32"/>
  <c r="D65" i="43" s="1"/>
  <c r="H434" i="32"/>
  <c r="D64" i="43" s="1"/>
  <c r="H433" i="32"/>
  <c r="D63" i="43" s="1"/>
  <c r="H432" i="32"/>
  <c r="D62" i="43" s="1"/>
  <c r="H431" i="32"/>
  <c r="D61" i="43" s="1"/>
  <c r="H430" i="32"/>
  <c r="D60" i="43" s="1"/>
  <c r="H429" i="32"/>
  <c r="D59" i="43" s="1"/>
  <c r="H427" i="32"/>
  <c r="F73" i="44" s="1"/>
  <c r="H426" i="32"/>
  <c r="F72" i="44" s="1"/>
  <c r="H425" i="32"/>
  <c r="F71" i="44" s="1"/>
  <c r="H424" i="32"/>
  <c r="F70" i="44" s="1"/>
  <c r="H422" i="32"/>
  <c r="H421" i="32"/>
  <c r="H420" i="32"/>
  <c r="H419" i="32"/>
  <c r="H417" i="32"/>
  <c r="F81" i="44" s="1"/>
  <c r="H416" i="32"/>
  <c r="F80" i="44" s="1"/>
  <c r="H414" i="32"/>
  <c r="F77" i="44" s="1"/>
  <c r="H413" i="32"/>
  <c r="F76" i="44" s="1"/>
  <c r="H411" i="32"/>
  <c r="F69" i="42" s="1"/>
  <c r="H410" i="32"/>
  <c r="F68" i="42" s="1"/>
  <c r="H409" i="32"/>
  <c r="F67" i="42" s="1"/>
  <c r="H408" i="32"/>
  <c r="F66" i="42" s="1"/>
  <c r="H407" i="32"/>
  <c r="F65" i="42" s="1"/>
  <c r="H406" i="32"/>
  <c r="F64" i="42" s="1"/>
  <c r="H405" i="32"/>
  <c r="F63" i="42" s="1"/>
  <c r="H404" i="32"/>
  <c r="F62" i="42" s="1"/>
  <c r="H403" i="32"/>
  <c r="F61" i="42" s="1"/>
  <c r="H402" i="32"/>
  <c r="F60" i="42" s="1"/>
  <c r="H401" i="32"/>
  <c r="F59" i="42" s="1"/>
  <c r="I399" i="32"/>
  <c r="H399" i="32"/>
  <c r="I398" i="32"/>
  <c r="G57" i="42" s="1"/>
  <c r="H398" i="32"/>
  <c r="F57" i="42" s="1"/>
  <c r="I397" i="32"/>
  <c r="G56" i="42" s="1"/>
  <c r="H397" i="32"/>
  <c r="F56" i="42" s="1"/>
  <c r="I396" i="32"/>
  <c r="G55" i="42" s="1"/>
  <c r="H396" i="32"/>
  <c r="F55" i="42" s="1"/>
  <c r="I395" i="32"/>
  <c r="G54" i="42" s="1"/>
  <c r="H395" i="32"/>
  <c r="F54" i="42" s="1"/>
  <c r="I394" i="32"/>
  <c r="G53" i="42" s="1"/>
  <c r="H394" i="32"/>
  <c r="F53" i="42" s="1"/>
  <c r="I393" i="32"/>
  <c r="G52" i="42" s="1"/>
  <c r="H393" i="32"/>
  <c r="F52" i="42" s="1"/>
  <c r="I392" i="32"/>
  <c r="G51" i="42" s="1"/>
  <c r="H392" i="32"/>
  <c r="F51" i="42" s="1"/>
  <c r="I391" i="32"/>
  <c r="G50" i="42" s="1"/>
  <c r="H391" i="32"/>
  <c r="F50" i="42" s="1"/>
  <c r="I390" i="32"/>
  <c r="G49" i="42" s="1"/>
  <c r="H390" i="32"/>
  <c r="F49" i="42" s="1"/>
  <c r="I389" i="32"/>
  <c r="G48" i="42" s="1"/>
  <c r="I388" i="32"/>
  <c r="G47" i="42" s="1"/>
  <c r="H388" i="32"/>
  <c r="F47" i="42" s="1"/>
  <c r="H387" i="32"/>
  <c r="F46" i="42" s="1"/>
  <c r="H386" i="32"/>
  <c r="F45" i="42" s="1"/>
  <c r="H385" i="32"/>
  <c r="F44" i="42" s="1"/>
  <c r="H384" i="32"/>
  <c r="F43" i="42" s="1"/>
  <c r="H383" i="32"/>
  <c r="F42" i="42" s="1"/>
  <c r="H382" i="32"/>
  <c r="F41" i="42" s="1"/>
  <c r="I380" i="32"/>
  <c r="G39" i="42" s="1"/>
  <c r="H380" i="32"/>
  <c r="F39" i="42" s="1"/>
  <c r="I379" i="32"/>
  <c r="G38" i="42" s="1"/>
  <c r="H379" i="32"/>
  <c r="F38" i="42" s="1"/>
  <c r="I378" i="32"/>
  <c r="G37" i="42" s="1"/>
  <c r="H378" i="32"/>
  <c r="F37" i="42" s="1"/>
  <c r="I377" i="32"/>
  <c r="G36" i="42" s="1"/>
  <c r="H377" i="32"/>
  <c r="F36" i="42" s="1"/>
  <c r="I376" i="32"/>
  <c r="G35" i="42" s="1"/>
  <c r="H376" i="32"/>
  <c r="F35" i="42" s="1"/>
  <c r="I375" i="32"/>
  <c r="G34" i="42" s="1"/>
  <c r="H375" i="32"/>
  <c r="F34" i="42" s="1"/>
  <c r="I373" i="32"/>
  <c r="G31" i="42" s="1"/>
  <c r="H373" i="32"/>
  <c r="F31" i="42" s="1"/>
  <c r="I372" i="32"/>
  <c r="G30" i="42" s="1"/>
  <c r="H372" i="32"/>
  <c r="F30" i="42" s="1"/>
  <c r="I371" i="32"/>
  <c r="G29" i="42" s="1"/>
  <c r="H371" i="32"/>
  <c r="F29" i="42" s="1"/>
  <c r="I370" i="32"/>
  <c r="G28" i="42" s="1"/>
  <c r="H370" i="32"/>
  <c r="F28" i="42" s="1"/>
  <c r="I369" i="32"/>
  <c r="G27" i="42" s="1"/>
  <c r="H369" i="32"/>
  <c r="F27" i="42" s="1"/>
  <c r="I367" i="32"/>
  <c r="G25" i="42" s="1"/>
  <c r="H367" i="32"/>
  <c r="F25" i="42" s="1"/>
  <c r="I366" i="32"/>
  <c r="G24" i="42" s="1"/>
  <c r="H366" i="32"/>
  <c r="F24" i="42" s="1"/>
  <c r="I364" i="32"/>
  <c r="G22" i="42" s="1"/>
  <c r="H364" i="32"/>
  <c r="F22" i="42" s="1"/>
  <c r="I363" i="32"/>
  <c r="G21" i="42" s="1"/>
  <c r="H363" i="32"/>
  <c r="F21" i="42" s="1"/>
  <c r="I362" i="32"/>
  <c r="G20" i="42" s="1"/>
  <c r="H362" i="32"/>
  <c r="F20" i="42" s="1"/>
  <c r="I361" i="32"/>
  <c r="G19" i="42" s="1"/>
  <c r="H361" i="32"/>
  <c r="F19" i="42" s="1"/>
  <c r="I360" i="32"/>
  <c r="G18" i="42" s="1"/>
  <c r="H360" i="32"/>
  <c r="F18" i="42" s="1"/>
  <c r="I359" i="32"/>
  <c r="G17" i="42" s="1"/>
  <c r="H359" i="32"/>
  <c r="F17" i="42" s="1"/>
  <c r="I358" i="32"/>
  <c r="G16" i="42" s="1"/>
  <c r="H358" i="32"/>
  <c r="F16" i="42" s="1"/>
  <c r="I357" i="32"/>
  <c r="G15" i="42" s="1"/>
  <c r="H357" i="32"/>
  <c r="F15" i="42" s="1"/>
  <c r="H355" i="32"/>
  <c r="F13" i="42" s="1"/>
  <c r="H354" i="32"/>
  <c r="F12" i="42" s="1"/>
  <c r="H353" i="32"/>
  <c r="F11" i="42" s="1"/>
  <c r="I351" i="32"/>
  <c r="H351" i="32"/>
  <c r="F32" i="42" s="1"/>
  <c r="I350" i="32"/>
  <c r="G9" i="42" s="1"/>
  <c r="H350" i="32"/>
  <c r="F9" i="42" s="1"/>
  <c r="I349" i="32"/>
  <c r="G8" i="42" s="1"/>
  <c r="H349" i="32"/>
  <c r="F8" i="42" s="1"/>
  <c r="I348" i="32"/>
  <c r="G7" i="42" s="1"/>
  <c r="H348" i="32"/>
  <c r="F7" i="42" s="1"/>
  <c r="I347" i="32"/>
  <c r="G6" i="42" s="1"/>
  <c r="H347" i="32"/>
  <c r="F6" i="42" s="1"/>
  <c r="I346" i="32"/>
  <c r="G5" i="42" s="1"/>
  <c r="H346" i="32"/>
  <c r="F5" i="42" s="1"/>
  <c r="I345" i="32"/>
  <c r="G4" i="42" s="1"/>
  <c r="H345" i="32"/>
  <c r="F4" i="42" s="1"/>
  <c r="H343" i="32"/>
  <c r="D56" i="43" s="1"/>
  <c r="H342" i="32"/>
  <c r="D55" i="43" s="1"/>
  <c r="H341" i="32"/>
  <c r="D54" i="43" s="1"/>
  <c r="H340" i="32"/>
  <c r="D53" i="43" s="1"/>
  <c r="H339" i="32"/>
  <c r="D52" i="43" s="1"/>
  <c r="H338" i="32"/>
  <c r="D51" i="43" s="1"/>
  <c r="H335" i="32"/>
  <c r="D47" i="43" s="1"/>
  <c r="H334" i="32"/>
  <c r="D46" i="43" s="1"/>
  <c r="H333" i="32"/>
  <c r="D45" i="43" s="1"/>
  <c r="H332" i="32"/>
  <c r="D44" i="43" s="1"/>
  <c r="H331" i="32"/>
  <c r="D43" i="43" s="1"/>
  <c r="H328" i="32"/>
  <c r="D40" i="43" s="1"/>
  <c r="H327" i="32"/>
  <c r="D39" i="43" s="1"/>
  <c r="H324" i="32"/>
  <c r="D36" i="43" s="1"/>
  <c r="H323" i="32"/>
  <c r="D35" i="43" s="1"/>
  <c r="H322" i="32"/>
  <c r="D34" i="43" s="1"/>
  <c r="H321" i="32"/>
  <c r="D33" i="43" s="1"/>
  <c r="H320" i="32"/>
  <c r="D32" i="43" s="1"/>
  <c r="H319" i="32"/>
  <c r="D31" i="43" s="1"/>
  <c r="H318" i="32"/>
  <c r="D30" i="43" s="1"/>
  <c r="H317" i="32"/>
  <c r="D29" i="43" s="1"/>
  <c r="H314" i="32"/>
  <c r="D26" i="43" s="1"/>
  <c r="H313" i="32"/>
  <c r="D25" i="43" s="1"/>
  <c r="H312" i="32"/>
  <c r="D24" i="43" s="1"/>
  <c r="H309" i="32"/>
  <c r="D48" i="43" s="1"/>
  <c r="H308" i="32"/>
  <c r="D21" i="43" s="1"/>
  <c r="H307" i="32"/>
  <c r="D20" i="43" s="1"/>
  <c r="H306" i="32"/>
  <c r="D19" i="43" s="1"/>
  <c r="H305" i="32"/>
  <c r="D18" i="43" s="1"/>
  <c r="H304" i="32"/>
  <c r="D17" i="43" s="1"/>
  <c r="H303" i="32"/>
  <c r="D16" i="43" s="1"/>
  <c r="H300" i="32"/>
  <c r="H299" i="32"/>
  <c r="H298" i="32"/>
  <c r="H297" i="32"/>
  <c r="H296" i="32"/>
  <c r="H295" i="32"/>
  <c r="H294" i="32"/>
  <c r="F5" i="45" s="1"/>
  <c r="H293" i="32"/>
  <c r="F17" i="40" s="1"/>
  <c r="H292" i="32"/>
  <c r="F16" i="40" s="1"/>
  <c r="H291" i="32"/>
  <c r="F15" i="40" s="1"/>
  <c r="H290" i="32"/>
  <c r="F14" i="40" s="1"/>
  <c r="H289" i="32"/>
  <c r="F13" i="40" s="1"/>
  <c r="H288" i="32"/>
  <c r="F12" i="40" s="1"/>
  <c r="H287" i="32"/>
  <c r="H286" i="32"/>
  <c r="H285" i="32"/>
  <c r="F10" i="40" s="1"/>
  <c r="H284" i="32"/>
  <c r="H283" i="32"/>
  <c r="H282" i="32"/>
  <c r="H281" i="32"/>
  <c r="F14" i="45" s="1"/>
  <c r="H280" i="32"/>
  <c r="H279" i="32"/>
  <c r="H278" i="32"/>
  <c r="H277" i="32"/>
  <c r="H276" i="32"/>
  <c r="H275" i="32"/>
  <c r="H259" i="32"/>
  <c r="H258" i="32"/>
  <c r="H257" i="32"/>
  <c r="H256" i="32"/>
  <c r="H255" i="32"/>
  <c r="H254" i="32"/>
  <c r="H252" i="32"/>
  <c r="F67" i="44" s="1"/>
  <c r="H251" i="32"/>
  <c r="F66" i="44" s="1"/>
  <c r="H250" i="32"/>
  <c r="F65" i="44" s="1"/>
  <c r="H249" i="32"/>
  <c r="F64" i="44" s="1"/>
  <c r="H248" i="32"/>
  <c r="F63" i="44" s="1"/>
  <c r="H247" i="32"/>
  <c r="F62" i="44" s="1"/>
  <c r="H246" i="32"/>
  <c r="F61" i="44" s="1"/>
  <c r="H245" i="32"/>
  <c r="F60" i="44" s="1"/>
  <c r="H244" i="32"/>
  <c r="F59" i="44" s="1"/>
  <c r="H239" i="32"/>
  <c r="H238" i="32"/>
  <c r="F56" i="44" s="1"/>
  <c r="H237" i="32"/>
  <c r="H236" i="32"/>
  <c r="H235" i="32"/>
  <c r="F53" i="44" s="1"/>
  <c r="H234" i="32"/>
  <c r="F52" i="44" s="1"/>
  <c r="H233" i="32"/>
  <c r="H230" i="32"/>
  <c r="H229" i="32"/>
  <c r="H228" i="32"/>
  <c r="H227" i="32"/>
  <c r="H226" i="32"/>
  <c r="H225" i="32"/>
  <c r="H223" i="32"/>
  <c r="F48" i="44" s="1"/>
  <c r="H222" i="32"/>
  <c r="F47" i="44" s="1"/>
  <c r="H221" i="32"/>
  <c r="F46" i="44" s="1"/>
  <c r="H220" i="32"/>
  <c r="F45" i="44" s="1"/>
  <c r="H219" i="32"/>
  <c r="F44" i="44" s="1"/>
  <c r="H218" i="32"/>
  <c r="F43" i="44" s="1"/>
  <c r="H217" i="32"/>
  <c r="F42" i="44" s="1"/>
  <c r="H216" i="32"/>
  <c r="F41" i="44" s="1"/>
  <c r="H215" i="32"/>
  <c r="F40" i="44" s="1"/>
  <c r="H210" i="32"/>
  <c r="H209" i="32"/>
  <c r="F37" i="44" s="1"/>
  <c r="H208" i="32"/>
  <c r="H207" i="32"/>
  <c r="F35" i="44" s="1"/>
  <c r="H206" i="32"/>
  <c r="F34" i="44" s="1"/>
  <c r="H205" i="32"/>
  <c r="H202" i="32"/>
  <c r="H201" i="32"/>
  <c r="H200" i="32"/>
  <c r="H199" i="32"/>
  <c r="H198" i="32"/>
  <c r="H197" i="32"/>
  <c r="H196" i="32"/>
  <c r="H195" i="32"/>
  <c r="H193" i="32"/>
  <c r="F28" i="44" s="1"/>
  <c r="H192" i="32"/>
  <c r="F27" i="44" s="1"/>
  <c r="H191" i="32"/>
  <c r="F26" i="44" s="1"/>
  <c r="H190" i="32"/>
  <c r="F25" i="44" s="1"/>
  <c r="H189" i="32"/>
  <c r="F24" i="44" s="1"/>
  <c r="H188" i="32"/>
  <c r="F23" i="44" s="1"/>
  <c r="H187" i="32"/>
  <c r="F22" i="44" s="1"/>
  <c r="H186" i="32"/>
  <c r="F21" i="44" s="1"/>
  <c r="H185" i="32"/>
  <c r="F20" i="44" s="1"/>
  <c r="H180" i="32"/>
  <c r="H179" i="32"/>
  <c r="F17" i="44" s="1"/>
  <c r="H178" i="32"/>
  <c r="H177" i="32"/>
  <c r="H176" i="32"/>
  <c r="H175" i="32"/>
  <c r="H173" i="32"/>
  <c r="H172" i="32"/>
  <c r="H171" i="32"/>
  <c r="H168" i="32"/>
  <c r="H167" i="32"/>
  <c r="H166" i="32"/>
  <c r="H165" i="32"/>
  <c r="H164" i="32"/>
  <c r="H163" i="32"/>
  <c r="H161" i="32"/>
  <c r="D97" i="39" s="1"/>
  <c r="H160" i="32"/>
  <c r="D96" i="39" s="1"/>
  <c r="H159" i="32"/>
  <c r="D95" i="39" s="1"/>
  <c r="H158" i="32"/>
  <c r="D94" i="39" s="1"/>
  <c r="H157" i="32"/>
  <c r="D93" i="39" s="1"/>
  <c r="H156" i="32"/>
  <c r="D92" i="39" s="1"/>
  <c r="H155" i="32"/>
  <c r="D91" i="39" s="1"/>
  <c r="H154" i="32"/>
  <c r="D90" i="39" s="1"/>
  <c r="H153" i="32"/>
  <c r="D89" i="39" s="1"/>
  <c r="H148" i="32"/>
  <c r="F14" i="41" s="1"/>
  <c r="H147" i="32"/>
  <c r="H146" i="32"/>
  <c r="H145" i="32"/>
  <c r="H144" i="32"/>
  <c r="H143" i="32"/>
  <c r="H140" i="32"/>
  <c r="H139" i="32"/>
  <c r="H138" i="32"/>
  <c r="H137" i="32"/>
  <c r="H136" i="32"/>
  <c r="H135" i="32"/>
  <c r="H133" i="32"/>
  <c r="D79" i="39" s="1"/>
  <c r="H132" i="32"/>
  <c r="D78" i="39" s="1"/>
  <c r="H131" i="32"/>
  <c r="D77" i="39" s="1"/>
  <c r="H130" i="32"/>
  <c r="D76" i="39" s="1"/>
  <c r="H129" i="32"/>
  <c r="D75" i="39" s="1"/>
  <c r="H128" i="32"/>
  <c r="D74" i="39" s="1"/>
  <c r="H127" i="32"/>
  <c r="D73" i="39" s="1"/>
  <c r="H126" i="32"/>
  <c r="D72" i="39" s="1"/>
  <c r="H125" i="32"/>
  <c r="D71" i="39" s="1"/>
  <c r="H120" i="32"/>
  <c r="F12" i="41" s="1"/>
  <c r="H119" i="32"/>
  <c r="H118" i="32"/>
  <c r="H83" i="64" s="1"/>
  <c r="H117" i="32"/>
  <c r="H116" i="32"/>
  <c r="H115" i="32"/>
  <c r="H112" i="32"/>
  <c r="H111" i="32"/>
  <c r="H110" i="32"/>
  <c r="H109" i="32"/>
  <c r="H108" i="32"/>
  <c r="H107" i="32"/>
  <c r="H105" i="32"/>
  <c r="D61" i="39" s="1"/>
  <c r="H104" i="32"/>
  <c r="D60" i="39" s="1"/>
  <c r="H103" i="32"/>
  <c r="D59" i="39" s="1"/>
  <c r="H102" i="32"/>
  <c r="D58" i="39" s="1"/>
  <c r="H101" i="32"/>
  <c r="D57" i="39" s="1"/>
  <c r="H100" i="32"/>
  <c r="D56" i="39" s="1"/>
  <c r="H99" i="32"/>
  <c r="D55" i="39" s="1"/>
  <c r="H98" i="32"/>
  <c r="D54" i="39" s="1"/>
  <c r="H97" i="32"/>
  <c r="D53" i="39" s="1"/>
  <c r="H92" i="32"/>
  <c r="F10" i="41" s="1"/>
  <c r="H91" i="32"/>
  <c r="H90" i="32"/>
  <c r="H89" i="32"/>
  <c r="H88" i="32"/>
  <c r="H87" i="32"/>
  <c r="H84" i="32"/>
  <c r="H83" i="32"/>
  <c r="H82" i="32"/>
  <c r="H81" i="32"/>
  <c r="H80" i="32"/>
  <c r="H79" i="32"/>
  <c r="H77" i="32"/>
  <c r="D43" i="39" s="1"/>
  <c r="H76" i="32"/>
  <c r="D42" i="39" s="1"/>
  <c r="H75" i="32"/>
  <c r="D41" i="39" s="1"/>
  <c r="H74" i="32"/>
  <c r="D40" i="39" s="1"/>
  <c r="H73" i="32"/>
  <c r="D39" i="39" s="1"/>
  <c r="H72" i="32"/>
  <c r="D38" i="39" s="1"/>
  <c r="H71" i="32"/>
  <c r="D37" i="39" s="1"/>
  <c r="H70" i="32"/>
  <c r="D36" i="39" s="1"/>
  <c r="H69" i="32"/>
  <c r="D35" i="39" s="1"/>
  <c r="H64" i="32"/>
  <c r="F8" i="41" s="1"/>
  <c r="H63" i="32"/>
  <c r="H62" i="32"/>
  <c r="H61" i="32"/>
  <c r="H60" i="32"/>
  <c r="H59" i="32"/>
  <c r="H56" i="32"/>
  <c r="H55" i="32"/>
  <c r="H54" i="32"/>
  <c r="H53" i="32"/>
  <c r="H52" i="32"/>
  <c r="H51" i="32"/>
  <c r="H49" i="32"/>
  <c r="H48" i="32"/>
  <c r="D24" i="39" s="1"/>
  <c r="H47" i="32"/>
  <c r="D23" i="39" s="1"/>
  <c r="H46" i="32"/>
  <c r="D22" i="39" s="1"/>
  <c r="H45" i="32"/>
  <c r="D21" i="39" s="1"/>
  <c r="H44" i="32"/>
  <c r="D20" i="39" s="1"/>
  <c r="H43" i="32"/>
  <c r="D19" i="39" s="1"/>
  <c r="H42" i="32"/>
  <c r="D18" i="39" s="1"/>
  <c r="H41" i="32"/>
  <c r="D17" i="39" s="1"/>
  <c r="H36" i="32"/>
  <c r="F6" i="41" s="1"/>
  <c r="H35" i="32"/>
  <c r="H34" i="32"/>
  <c r="H33" i="32"/>
  <c r="BW116" i="64" s="1"/>
  <c r="AO116" i="64" s="1"/>
  <c r="AJ116" i="64" s="1"/>
  <c r="H32" i="32"/>
  <c r="H31" i="32"/>
  <c r="H30" i="32"/>
  <c r="BW114" i="64" s="1"/>
  <c r="B117" i="54"/>
  <c r="B32" i="32"/>
  <c r="AP116" i="64" l="1"/>
  <c r="AI116" i="64"/>
  <c r="BY116" i="64"/>
  <c r="F15" i="44"/>
  <c r="X86" i="64"/>
  <c r="BW105" i="64"/>
  <c r="F36" i="44"/>
  <c r="H87" i="64"/>
  <c r="F12" i="45"/>
  <c r="BR12" i="64"/>
  <c r="F22" i="41"/>
  <c r="AJ26" i="64"/>
  <c r="H13" i="44"/>
  <c r="BW108" i="62"/>
  <c r="AO108" i="62" s="1"/>
  <c r="H86" i="62"/>
  <c r="H51" i="44"/>
  <c r="H10" i="45"/>
  <c r="BR14" i="62"/>
  <c r="I32" i="42"/>
  <c r="BR63" i="62"/>
  <c r="AO63" i="62" s="1"/>
  <c r="BY63" i="62" s="1"/>
  <c r="E127" i="43"/>
  <c r="Y29" i="62"/>
  <c r="E233" i="43"/>
  <c r="W48" i="62"/>
  <c r="F25" i="39"/>
  <c r="J10" i="44"/>
  <c r="BW102" i="61"/>
  <c r="J36" i="44"/>
  <c r="H87" i="61"/>
  <c r="J12" i="45"/>
  <c r="BR12" i="61"/>
  <c r="AO12" i="61" s="1"/>
  <c r="AJ12" i="61" s="1"/>
  <c r="BW113" i="60"/>
  <c r="H80" i="60"/>
  <c r="L13" i="44"/>
  <c r="H86" i="60"/>
  <c r="BW108" i="60"/>
  <c r="AO108" i="60" s="1"/>
  <c r="L55" i="44"/>
  <c r="H88" i="60"/>
  <c r="L10" i="45"/>
  <c r="BR14" i="60"/>
  <c r="M32" i="42"/>
  <c r="BR63" i="60"/>
  <c r="AO63" i="60" s="1"/>
  <c r="BY63" i="60" s="1"/>
  <c r="H25" i="39"/>
  <c r="H46" i="39"/>
  <c r="N15" i="44"/>
  <c r="X86" i="59"/>
  <c r="BW105" i="59"/>
  <c r="N30" i="44"/>
  <c r="BW54" i="59"/>
  <c r="AO54" i="59" s="1"/>
  <c r="BY54" i="59" s="1"/>
  <c r="BW111" i="59"/>
  <c r="N12" i="45"/>
  <c r="BR12" i="59"/>
  <c r="H79" i="64"/>
  <c r="BW107" i="64"/>
  <c r="H85" i="64"/>
  <c r="F16" i="44"/>
  <c r="I86" i="64"/>
  <c r="I84" i="64" s="1"/>
  <c r="BW106" i="64"/>
  <c r="Y86" i="64"/>
  <c r="F86" i="64"/>
  <c r="F84" i="64" s="1"/>
  <c r="F68" i="64" s="1"/>
  <c r="F33" i="44"/>
  <c r="F9" i="45"/>
  <c r="BR17" i="64"/>
  <c r="AO17" i="64" s="1"/>
  <c r="AJ17" i="64" s="1"/>
  <c r="F13" i="45"/>
  <c r="BR16" i="64"/>
  <c r="AO16" i="64" s="1"/>
  <c r="AJ16" i="64" s="1"/>
  <c r="D166" i="43"/>
  <c r="X38" i="64"/>
  <c r="D179" i="43"/>
  <c r="AB39" i="64"/>
  <c r="H9" i="44"/>
  <c r="H8" i="40"/>
  <c r="BW100" i="62"/>
  <c r="BW96" i="62"/>
  <c r="BW92" i="62"/>
  <c r="BW99" i="62"/>
  <c r="BW95" i="62"/>
  <c r="BW91" i="62"/>
  <c r="BW93" i="62"/>
  <c r="BW76" i="62"/>
  <c r="AO76" i="62" s="1"/>
  <c r="BW74" i="62"/>
  <c r="AO74" i="62" s="1"/>
  <c r="J26" i="32"/>
  <c r="BW98" i="62"/>
  <c r="BW75" i="62"/>
  <c r="AO75" i="62" s="1"/>
  <c r="BW97" i="62"/>
  <c r="BW78" i="62"/>
  <c r="AO78" i="62" s="1"/>
  <c r="BW72" i="62"/>
  <c r="AO72" i="62" s="1"/>
  <c r="H72" i="62" s="1"/>
  <c r="BW73" i="62"/>
  <c r="AO73" i="62" s="1"/>
  <c r="BW94" i="62"/>
  <c r="BW71" i="62"/>
  <c r="BW77" i="62"/>
  <c r="AO77" i="62" s="1"/>
  <c r="E164" i="43"/>
  <c r="V38" i="62"/>
  <c r="BW107" i="61"/>
  <c r="H79" i="61"/>
  <c r="J11" i="44"/>
  <c r="BW103" i="61"/>
  <c r="J16" i="44"/>
  <c r="Y86" i="61"/>
  <c r="F86" i="61"/>
  <c r="F84" i="61" s="1"/>
  <c r="F68" i="61" s="1"/>
  <c r="BW106" i="61"/>
  <c r="I86" i="61"/>
  <c r="I84" i="61" s="1"/>
  <c r="J33" i="44"/>
  <c r="J9" i="45"/>
  <c r="BR17" i="61"/>
  <c r="AO17" i="61" s="1"/>
  <c r="AJ17" i="61" s="1"/>
  <c r="J13" i="45"/>
  <c r="BR16" i="61"/>
  <c r="AO16" i="61" s="1"/>
  <c r="AJ16" i="61" s="1"/>
  <c r="F232" i="43"/>
  <c r="V48" i="61"/>
  <c r="L9" i="44"/>
  <c r="L11" i="45"/>
  <c r="BR15" i="60"/>
  <c r="AO15" i="60" s="1"/>
  <c r="AJ15" i="60" s="1"/>
  <c r="H9" i="39"/>
  <c r="BW114" i="59"/>
  <c r="AO114" i="59" s="1"/>
  <c r="AJ114" i="59" s="1"/>
  <c r="H85" i="39"/>
  <c r="H85" i="59"/>
  <c r="N16" i="44"/>
  <c r="Y86" i="59"/>
  <c r="F86" i="59"/>
  <c r="F84" i="59" s="1"/>
  <c r="F68" i="59" s="1"/>
  <c r="I86" i="59"/>
  <c r="I84" i="59" s="1"/>
  <c r="BW106" i="59"/>
  <c r="N33" i="44"/>
  <c r="N54" i="44"/>
  <c r="BW110" i="59"/>
  <c r="H179" i="43"/>
  <c r="AB39" i="59"/>
  <c r="BW113" i="64"/>
  <c r="H81" i="64"/>
  <c r="F13" i="44"/>
  <c r="H86" i="64"/>
  <c r="BW108" i="64"/>
  <c r="AO108" i="64" s="1"/>
  <c r="F51" i="44"/>
  <c r="F55" i="44"/>
  <c r="H88" i="64"/>
  <c r="F10" i="45"/>
  <c r="BR14" i="64"/>
  <c r="G32" i="42"/>
  <c r="BR63" i="64"/>
  <c r="AO63" i="64" s="1"/>
  <c r="BY63" i="64" s="1"/>
  <c r="D127" i="43"/>
  <c r="Y29" i="64"/>
  <c r="D233" i="43"/>
  <c r="W48" i="64"/>
  <c r="BW116" i="62"/>
  <c r="E25" i="39"/>
  <c r="H10" i="44"/>
  <c r="BW102" i="62"/>
  <c r="H15" i="44"/>
  <c r="X86" i="62"/>
  <c r="BW105" i="62"/>
  <c r="AO105" i="62" s="1"/>
  <c r="H30" i="44"/>
  <c r="BW54" i="62"/>
  <c r="AO54" i="62" s="1"/>
  <c r="BY54" i="62" s="1"/>
  <c r="BW111" i="62"/>
  <c r="H36" i="44"/>
  <c r="H87" i="62"/>
  <c r="H8" i="45"/>
  <c r="BR38" i="62"/>
  <c r="H12" i="45"/>
  <c r="BR12" i="62"/>
  <c r="AO12" i="62" s="1"/>
  <c r="AJ12" i="62" s="1"/>
  <c r="Z6" i="62"/>
  <c r="U6" i="62"/>
  <c r="AT6" i="62"/>
  <c r="AO6" i="62" s="1"/>
  <c r="AB6" i="62"/>
  <c r="AA6" i="62"/>
  <c r="H22" i="41"/>
  <c r="AJ26" i="62"/>
  <c r="BW113" i="61"/>
  <c r="H81" i="61"/>
  <c r="J13" i="44"/>
  <c r="H86" i="61"/>
  <c r="BW108" i="61"/>
  <c r="AO108" i="61" s="1"/>
  <c r="J51" i="44"/>
  <c r="J55" i="44"/>
  <c r="H88" i="61"/>
  <c r="J10" i="45"/>
  <c r="BR14" i="61"/>
  <c r="K32" i="42"/>
  <c r="BR63" i="61"/>
  <c r="AO63" i="61" s="1"/>
  <c r="BY63" i="61" s="1"/>
  <c r="F127" i="43"/>
  <c r="Y29" i="61"/>
  <c r="F233" i="43"/>
  <c r="W48" i="61"/>
  <c r="BW116" i="60"/>
  <c r="G25" i="39"/>
  <c r="L10" i="44"/>
  <c r="BW102" i="60"/>
  <c r="L15" i="44"/>
  <c r="X86" i="60"/>
  <c r="BW105" i="60"/>
  <c r="L30" i="44"/>
  <c r="BW54" i="60"/>
  <c r="AO54" i="60" s="1"/>
  <c r="BY54" i="60" s="1"/>
  <c r="BW111" i="60"/>
  <c r="AO111" i="60" s="1"/>
  <c r="AJ111" i="60" s="1"/>
  <c r="L36" i="44"/>
  <c r="H87" i="60"/>
  <c r="L8" i="45"/>
  <c r="BR38" i="60"/>
  <c r="L12" i="45"/>
  <c r="BR12" i="60"/>
  <c r="AA6" i="60"/>
  <c r="AT6" i="60"/>
  <c r="AO6" i="60" s="1"/>
  <c r="Z6" i="60"/>
  <c r="AB6" i="60"/>
  <c r="U6" i="60"/>
  <c r="L22" i="41"/>
  <c r="AJ26" i="60"/>
  <c r="H10" i="39"/>
  <c r="BW113" i="59"/>
  <c r="H31" i="39"/>
  <c r="H81" i="59"/>
  <c r="H82" i="39"/>
  <c r="N13" i="44"/>
  <c r="H86" i="59"/>
  <c r="BW108" i="59"/>
  <c r="N51" i="44"/>
  <c r="N55" i="44"/>
  <c r="H88" i="59"/>
  <c r="N10" i="45"/>
  <c r="BR14" i="59"/>
  <c r="O32" i="42"/>
  <c r="BR63" i="59"/>
  <c r="AO63" i="59" s="1"/>
  <c r="BY63" i="59" s="1"/>
  <c r="H127" i="43"/>
  <c r="Y29" i="59"/>
  <c r="H233" i="43"/>
  <c r="W48" i="59"/>
  <c r="D25" i="39"/>
  <c r="F10" i="44"/>
  <c r="BW102" i="64"/>
  <c r="F30" i="44"/>
  <c r="BW111" i="64"/>
  <c r="BW54" i="64"/>
  <c r="AO54" i="64" s="1"/>
  <c r="BY54" i="64" s="1"/>
  <c r="F8" i="45"/>
  <c r="BR38" i="64"/>
  <c r="AB6" i="64"/>
  <c r="AT6" i="64"/>
  <c r="AO6" i="64" s="1"/>
  <c r="AA6" i="64"/>
  <c r="U6" i="64"/>
  <c r="Z6" i="64"/>
  <c r="BW113" i="62"/>
  <c r="H80" i="62"/>
  <c r="H55" i="44"/>
  <c r="H88" i="62"/>
  <c r="AO116" i="61"/>
  <c r="AJ116" i="61" s="1"/>
  <c r="AP116" i="61" s="1"/>
  <c r="J15" i="44"/>
  <c r="X86" i="61"/>
  <c r="BW105" i="61"/>
  <c r="J30" i="44"/>
  <c r="BW111" i="61"/>
  <c r="BW54" i="61"/>
  <c r="AO54" i="61" s="1"/>
  <c r="BY54" i="61" s="1"/>
  <c r="J8" i="45"/>
  <c r="BR38" i="61"/>
  <c r="AB6" i="61"/>
  <c r="Z6" i="61"/>
  <c r="AT6" i="61"/>
  <c r="AO6" i="61" s="1"/>
  <c r="AA6" i="61"/>
  <c r="U6" i="61"/>
  <c r="J22" i="41"/>
  <c r="AJ26" i="61"/>
  <c r="L51" i="44"/>
  <c r="G127" i="43"/>
  <c r="Y29" i="60"/>
  <c r="G233" i="43"/>
  <c r="W48" i="60"/>
  <c r="H12" i="39"/>
  <c r="BW116" i="59"/>
  <c r="H67" i="39"/>
  <c r="H83" i="59"/>
  <c r="N10" i="44"/>
  <c r="BW102" i="59"/>
  <c r="N36" i="44"/>
  <c r="H87" i="59"/>
  <c r="N8" i="45"/>
  <c r="BR38" i="59"/>
  <c r="U6" i="59"/>
  <c r="AB6" i="59"/>
  <c r="Z6" i="59"/>
  <c r="AT6" i="59"/>
  <c r="AO6" i="59" s="1"/>
  <c r="AA6" i="59"/>
  <c r="N22" i="41"/>
  <c r="AJ26" i="59"/>
  <c r="AO114" i="64"/>
  <c r="AJ114" i="64" s="1"/>
  <c r="F11" i="44"/>
  <c r="BW103" i="64"/>
  <c r="F54" i="44"/>
  <c r="BW110" i="64"/>
  <c r="D232" i="43"/>
  <c r="V48" i="64"/>
  <c r="BW115" i="62"/>
  <c r="H14" i="44"/>
  <c r="BW104" i="62"/>
  <c r="AO104" i="62" s="1"/>
  <c r="H29" i="44"/>
  <c r="BW109" i="62"/>
  <c r="BW53" i="62"/>
  <c r="AC53" i="62"/>
  <c r="H11" i="45"/>
  <c r="BR15" i="62"/>
  <c r="AO15" i="62" s="1"/>
  <c r="AJ15" i="62" s="1"/>
  <c r="AO114" i="61"/>
  <c r="AJ114" i="61" s="1"/>
  <c r="AP114" i="61" s="1"/>
  <c r="H85" i="61"/>
  <c r="J54" i="44"/>
  <c r="BW110" i="61"/>
  <c r="F166" i="43"/>
  <c r="X38" i="61"/>
  <c r="F179" i="43"/>
  <c r="AB39" i="61"/>
  <c r="BW115" i="60"/>
  <c r="L14" i="44"/>
  <c r="BW104" i="60"/>
  <c r="AO104" i="60" s="1"/>
  <c r="L29" i="44"/>
  <c r="BW109" i="60"/>
  <c r="BW53" i="60"/>
  <c r="AC53" i="60"/>
  <c r="L8" i="40"/>
  <c r="BW97" i="60"/>
  <c r="BW93" i="60"/>
  <c r="BW78" i="60"/>
  <c r="AO78" i="60" s="1"/>
  <c r="BW74" i="60"/>
  <c r="AO74" i="60" s="1"/>
  <c r="BW100" i="60"/>
  <c r="BW96" i="60"/>
  <c r="BW92" i="60"/>
  <c r="AO92" i="60" s="1"/>
  <c r="AJ92" i="60" s="1"/>
  <c r="BW77" i="60"/>
  <c r="AO77" i="60" s="1"/>
  <c r="BW73" i="60"/>
  <c r="AO73" i="60" s="1"/>
  <c r="BW94" i="60"/>
  <c r="AO94" i="60" s="1"/>
  <c r="AJ94" i="60" s="1"/>
  <c r="BW75" i="60"/>
  <c r="AO75" i="60" s="1"/>
  <c r="BW98" i="60"/>
  <c r="AO98" i="60" s="1"/>
  <c r="AJ98" i="60" s="1"/>
  <c r="BW71" i="60"/>
  <c r="N26" i="32"/>
  <c r="BW95" i="60"/>
  <c r="BW76" i="60"/>
  <c r="AO76" i="60" s="1"/>
  <c r="BW99" i="60"/>
  <c r="BW91" i="60"/>
  <c r="BW72" i="60"/>
  <c r="AO72" i="60" s="1"/>
  <c r="H72" i="60" s="1"/>
  <c r="G164" i="43"/>
  <c r="V38" i="60"/>
  <c r="H13" i="39"/>
  <c r="BW107" i="59"/>
  <c r="AO107" i="59" s="1"/>
  <c r="H79" i="59"/>
  <c r="H64" i="39"/>
  <c r="N11" i="44"/>
  <c r="BW103" i="59"/>
  <c r="N9" i="45"/>
  <c r="BR17" i="59"/>
  <c r="AO17" i="59" s="1"/>
  <c r="AJ17" i="59" s="1"/>
  <c r="N13" i="45"/>
  <c r="BR16" i="59"/>
  <c r="AO16" i="59" s="1"/>
  <c r="AJ16" i="59" s="1"/>
  <c r="H166" i="43"/>
  <c r="X38" i="59"/>
  <c r="H232" i="43"/>
  <c r="V48" i="59"/>
  <c r="BW115" i="64"/>
  <c r="H82" i="64"/>
  <c r="F9" i="44"/>
  <c r="F14" i="44"/>
  <c r="BW104" i="64"/>
  <c r="AO104" i="64" s="1"/>
  <c r="F29" i="44"/>
  <c r="BW53" i="64"/>
  <c r="BW109" i="64"/>
  <c r="AC53" i="64"/>
  <c r="F11" i="45"/>
  <c r="BR15" i="64"/>
  <c r="AO15" i="64" s="1"/>
  <c r="AJ15" i="64" s="1"/>
  <c r="F8" i="40"/>
  <c r="BW98" i="64"/>
  <c r="BW94" i="64"/>
  <c r="BW97" i="64"/>
  <c r="BW93" i="64"/>
  <c r="BW76" i="64"/>
  <c r="AO76" i="64" s="1"/>
  <c r="BW73" i="64"/>
  <c r="AO73" i="64" s="1"/>
  <c r="BW99" i="64"/>
  <c r="BW91" i="64"/>
  <c r="BW77" i="64"/>
  <c r="AO77" i="64" s="1"/>
  <c r="BW71" i="64"/>
  <c r="H26" i="32"/>
  <c r="BW100" i="64"/>
  <c r="BW78" i="64"/>
  <c r="AO78" i="64" s="1"/>
  <c r="BW72" i="64"/>
  <c r="AO72" i="64" s="1"/>
  <c r="H72" i="64" s="1"/>
  <c r="BW96" i="64"/>
  <c r="BW75" i="64"/>
  <c r="AO75" i="64" s="1"/>
  <c r="BW95" i="64"/>
  <c r="BW74" i="64"/>
  <c r="AO74" i="64" s="1"/>
  <c r="BW92" i="64"/>
  <c r="AO92" i="64" s="1"/>
  <c r="AJ92" i="64" s="1"/>
  <c r="D164" i="43"/>
  <c r="V38" i="64"/>
  <c r="AP114" i="62"/>
  <c r="BY114" i="62"/>
  <c r="AI114" i="62"/>
  <c r="H79" i="62"/>
  <c r="BW107" i="62"/>
  <c r="H11" i="44"/>
  <c r="BW103" i="62"/>
  <c r="H16" i="44"/>
  <c r="I86" i="62"/>
  <c r="I84" i="62" s="1"/>
  <c r="BW106" i="62"/>
  <c r="F86" i="62"/>
  <c r="F84" i="62" s="1"/>
  <c r="F68" i="62" s="1"/>
  <c r="Y86" i="62"/>
  <c r="H33" i="44"/>
  <c r="H54" i="44"/>
  <c r="BW110" i="62"/>
  <c r="AO110" i="62" s="1"/>
  <c r="AJ110" i="62" s="1"/>
  <c r="H9" i="45"/>
  <c r="BR17" i="62"/>
  <c r="AO17" i="62" s="1"/>
  <c r="AJ17" i="62" s="1"/>
  <c r="H13" i="45"/>
  <c r="BR16" i="62"/>
  <c r="AO16" i="62" s="1"/>
  <c r="AJ16" i="62" s="1"/>
  <c r="E166" i="43"/>
  <c r="X38" i="62"/>
  <c r="E179" i="43"/>
  <c r="AB39" i="62"/>
  <c r="E232" i="43"/>
  <c r="V48" i="62"/>
  <c r="BW115" i="61"/>
  <c r="H82" i="61"/>
  <c r="J9" i="44"/>
  <c r="J14" i="44"/>
  <c r="BW104" i="61"/>
  <c r="J29" i="44"/>
  <c r="AC53" i="61"/>
  <c r="BW109" i="61"/>
  <c r="BW53" i="61"/>
  <c r="J11" i="45"/>
  <c r="BR15" i="61"/>
  <c r="AO15" i="61" s="1"/>
  <c r="AJ15" i="61" s="1"/>
  <c r="J8" i="40"/>
  <c r="L26" i="32"/>
  <c r="BW98" i="61"/>
  <c r="BW94" i="61"/>
  <c r="BW75" i="61"/>
  <c r="AO75" i="61" s="1"/>
  <c r="BW72" i="61"/>
  <c r="AO72" i="61" s="1"/>
  <c r="H72" i="61" s="1"/>
  <c r="BW100" i="61"/>
  <c r="AO100" i="61" s="1"/>
  <c r="AJ100" i="61" s="1"/>
  <c r="BW92" i="61"/>
  <c r="BW97" i="61"/>
  <c r="AO97" i="61" s="1"/>
  <c r="AJ97" i="61" s="1"/>
  <c r="BW93" i="61"/>
  <c r="BW78" i="61"/>
  <c r="AO78" i="61" s="1"/>
  <c r="BW71" i="61"/>
  <c r="BW96" i="61"/>
  <c r="BW77" i="61"/>
  <c r="AO77" i="61" s="1"/>
  <c r="BW74" i="61"/>
  <c r="AO74" i="61" s="1"/>
  <c r="BW91" i="61"/>
  <c r="BW76" i="61"/>
  <c r="AO76" i="61" s="1"/>
  <c r="BW99" i="61"/>
  <c r="AO99" i="61" s="1"/>
  <c r="AJ99" i="61" s="1"/>
  <c r="BW73" i="61"/>
  <c r="AO73" i="61" s="1"/>
  <c r="BW95" i="61"/>
  <c r="F164" i="43"/>
  <c r="V38" i="61"/>
  <c r="AP114" i="60"/>
  <c r="AI114" i="60"/>
  <c r="BY114" i="60"/>
  <c r="H79" i="60"/>
  <c r="BW107" i="60"/>
  <c r="L11" i="44"/>
  <c r="BW103" i="60"/>
  <c r="L16" i="44"/>
  <c r="Y86" i="60"/>
  <c r="F86" i="60"/>
  <c r="F84" i="60" s="1"/>
  <c r="F68" i="60" s="1"/>
  <c r="BW106" i="60"/>
  <c r="I86" i="60"/>
  <c r="I84" i="60" s="1"/>
  <c r="L33" i="44"/>
  <c r="L54" i="44"/>
  <c r="BW110" i="60"/>
  <c r="L9" i="45"/>
  <c r="BR17" i="60"/>
  <c r="AO17" i="60" s="1"/>
  <c r="AJ17" i="60" s="1"/>
  <c r="L13" i="45"/>
  <c r="BR16" i="60"/>
  <c r="AO16" i="60" s="1"/>
  <c r="AJ16" i="60" s="1"/>
  <c r="G166" i="43"/>
  <c r="X38" i="60"/>
  <c r="G179" i="43"/>
  <c r="AB39" i="60"/>
  <c r="G232" i="43"/>
  <c r="V48" i="60"/>
  <c r="H11" i="39"/>
  <c r="BW115" i="59"/>
  <c r="H28" i="39"/>
  <c r="H49" i="39"/>
  <c r="H82" i="59"/>
  <c r="N9" i="44"/>
  <c r="N14" i="44"/>
  <c r="BW104" i="59"/>
  <c r="N29" i="44"/>
  <c r="BW53" i="59"/>
  <c r="AC53" i="59"/>
  <c r="BW109" i="59"/>
  <c r="N11" i="45"/>
  <c r="BR15" i="59"/>
  <c r="AO15" i="59" s="1"/>
  <c r="AJ15" i="59" s="1"/>
  <c r="N8" i="40"/>
  <c r="BW99" i="59"/>
  <c r="BW95" i="59"/>
  <c r="AO95" i="59" s="1"/>
  <c r="AJ95" i="59" s="1"/>
  <c r="BW91" i="59"/>
  <c r="BW75" i="59"/>
  <c r="AO75" i="59" s="1"/>
  <c r="BW71" i="59"/>
  <c r="P26" i="32"/>
  <c r="BW98" i="59"/>
  <c r="BW94" i="59"/>
  <c r="BW78" i="59"/>
  <c r="AO78" i="59" s="1"/>
  <c r="BW74" i="59"/>
  <c r="AO74" i="59" s="1"/>
  <c r="BW96" i="59"/>
  <c r="BW72" i="59"/>
  <c r="AO72" i="59" s="1"/>
  <c r="H72" i="59" s="1"/>
  <c r="BW100" i="59"/>
  <c r="BW92" i="59"/>
  <c r="BW73" i="59"/>
  <c r="AO73" i="59" s="1"/>
  <c r="BW93" i="59"/>
  <c r="BW77" i="59"/>
  <c r="AO77" i="59" s="1"/>
  <c r="BW76" i="59"/>
  <c r="AO76" i="59" s="1"/>
  <c r="BW97" i="59"/>
  <c r="H164" i="43"/>
  <c r="V38" i="59"/>
  <c r="BR63" i="58"/>
  <c r="AO63" i="58" s="1"/>
  <c r="BY63" i="58" s="1"/>
  <c r="P32" i="42"/>
  <c r="V38" i="58"/>
  <c r="I164" i="43"/>
  <c r="X38" i="58"/>
  <c r="I166" i="43"/>
  <c r="AB39" i="58"/>
  <c r="I179" i="43"/>
  <c r="V48" i="58"/>
  <c r="I232" i="43"/>
  <c r="Y29" i="58"/>
  <c r="I127" i="43"/>
  <c r="W48" i="58"/>
  <c r="I233" i="43"/>
  <c r="BW113" i="58"/>
  <c r="BW115" i="58"/>
  <c r="AJ104" i="58"/>
  <c r="BW109" i="58"/>
  <c r="AC53" i="58"/>
  <c r="BW53" i="58"/>
  <c r="O15" i="58"/>
  <c r="N15" i="58" s="1"/>
  <c r="AP15" i="58"/>
  <c r="BY15" i="58"/>
  <c r="R26" i="32"/>
  <c r="BW97" i="58"/>
  <c r="BW93" i="58"/>
  <c r="BW71" i="58"/>
  <c r="BW100" i="58"/>
  <c r="BW96" i="58"/>
  <c r="BW92" i="58"/>
  <c r="BW76" i="58"/>
  <c r="AO76" i="58" s="1"/>
  <c r="BW73" i="58"/>
  <c r="AO73" i="58" s="1"/>
  <c r="BW94" i="58"/>
  <c r="BW77" i="58"/>
  <c r="AO77" i="58" s="1"/>
  <c r="BW72" i="58"/>
  <c r="AO72" i="58" s="1"/>
  <c r="H72" i="58" s="1"/>
  <c r="BW99" i="58"/>
  <c r="BW91" i="58"/>
  <c r="BW75" i="58"/>
  <c r="AO75" i="58" s="1"/>
  <c r="BW74" i="58"/>
  <c r="AO74" i="58" s="1"/>
  <c r="BW98" i="58"/>
  <c r="BW95" i="58"/>
  <c r="BW78" i="58"/>
  <c r="AO78" i="58" s="1"/>
  <c r="BW116" i="58"/>
  <c r="H83" i="58"/>
  <c r="H80" i="58" s="1"/>
  <c r="AO102" i="58"/>
  <c r="AJ102" i="58" s="1"/>
  <c r="AP102" i="58" s="1"/>
  <c r="X86" i="58"/>
  <c r="BW105" i="58"/>
  <c r="BW111" i="58"/>
  <c r="AO111" i="58" s="1"/>
  <c r="AJ111" i="58" s="1"/>
  <c r="BW54" i="58"/>
  <c r="AO54" i="58" s="1"/>
  <c r="H87" i="58"/>
  <c r="AO12" i="58"/>
  <c r="AJ12" i="58" s="1"/>
  <c r="U6" i="58"/>
  <c r="AB6" i="58"/>
  <c r="AA6" i="58"/>
  <c r="AT6" i="58"/>
  <c r="AO6" i="58" s="1"/>
  <c r="Z6" i="58"/>
  <c r="BY26" i="58"/>
  <c r="AP26" i="58"/>
  <c r="BW108" i="58"/>
  <c r="H86" i="58"/>
  <c r="BR13" i="58"/>
  <c r="AO13" i="58" s="1"/>
  <c r="AJ13" i="58" s="1"/>
  <c r="AP13" i="58" s="1"/>
  <c r="AO14" i="58"/>
  <c r="AJ14" i="58" s="1"/>
  <c r="AO114" i="58"/>
  <c r="AJ114" i="58" s="1"/>
  <c r="H79" i="58"/>
  <c r="BW107" i="58"/>
  <c r="H85" i="58"/>
  <c r="AP103" i="58"/>
  <c r="AI103" i="58"/>
  <c r="BY103" i="58"/>
  <c r="BW106" i="58"/>
  <c r="I86" i="58"/>
  <c r="I84" i="58" s="1"/>
  <c r="Y86" i="58"/>
  <c r="F86" i="58"/>
  <c r="F84" i="58" s="1"/>
  <c r="F68" i="58" s="1"/>
  <c r="BW110" i="58"/>
  <c r="AI17" i="58"/>
  <c r="AI11" i="58" s="1"/>
  <c r="AI9" i="58" s="1"/>
  <c r="BY17" i="58"/>
  <c r="AP17" i="58"/>
  <c r="BY16" i="58"/>
  <c r="AP16" i="58"/>
  <c r="P16" i="58"/>
  <c r="R240" i="32"/>
  <c r="R241" i="32" s="1"/>
  <c r="R121" i="32"/>
  <c r="J25" i="39"/>
  <c r="P22" i="41"/>
  <c r="F11" i="40"/>
  <c r="M87" i="32"/>
  <c r="F46" i="39" s="1"/>
  <c r="H11" i="40"/>
  <c r="K33" i="32"/>
  <c r="E12" i="39" s="1"/>
  <c r="K60" i="32"/>
  <c r="E29" i="39" s="1"/>
  <c r="M143" i="32"/>
  <c r="F82" i="39" s="1"/>
  <c r="O33" i="32"/>
  <c r="G12" i="39" s="1"/>
  <c r="O87" i="32"/>
  <c r="G46" i="39" s="1"/>
  <c r="R37" i="32"/>
  <c r="K145" i="32"/>
  <c r="E84" i="39" s="1"/>
  <c r="R644" i="32"/>
  <c r="R698" i="32"/>
  <c r="P77" i="40" s="1"/>
  <c r="M239" i="32"/>
  <c r="K20" i="41" s="1"/>
  <c r="O117" i="32"/>
  <c r="G66" i="39" s="1"/>
  <c r="K208" i="32"/>
  <c r="I36" i="44" s="1"/>
  <c r="Q235" i="32"/>
  <c r="O53" i="44" s="1"/>
  <c r="O206" i="32"/>
  <c r="M34" i="44" s="1"/>
  <c r="O281" i="32"/>
  <c r="M14" i="45" s="1"/>
  <c r="K59" i="32"/>
  <c r="E28" i="39" s="1"/>
  <c r="K63" i="32"/>
  <c r="E32" i="39" s="1"/>
  <c r="K90" i="32"/>
  <c r="E49" i="39" s="1"/>
  <c r="K180" i="32"/>
  <c r="I16" i="41" s="1"/>
  <c r="K30" i="32"/>
  <c r="E9" i="39" s="1"/>
  <c r="K34" i="32"/>
  <c r="E13" i="39" s="1"/>
  <c r="K61" i="32"/>
  <c r="E30" i="39" s="1"/>
  <c r="K88" i="32"/>
  <c r="E47" i="39" s="1"/>
  <c r="K115" i="32"/>
  <c r="E64" i="39" s="1"/>
  <c r="K119" i="32"/>
  <c r="E68" i="39" s="1"/>
  <c r="K146" i="32"/>
  <c r="E85" i="39" s="1"/>
  <c r="M32" i="32"/>
  <c r="F11" i="39" s="1"/>
  <c r="M59" i="32"/>
  <c r="F28" i="39" s="1"/>
  <c r="M63" i="32"/>
  <c r="F32" i="39" s="1"/>
  <c r="M90" i="32"/>
  <c r="F49" i="39" s="1"/>
  <c r="M117" i="32"/>
  <c r="F66" i="39" s="1"/>
  <c r="M144" i="32"/>
  <c r="F83" i="39" s="1"/>
  <c r="M180" i="32"/>
  <c r="K16" i="41" s="1"/>
  <c r="O30" i="32"/>
  <c r="G9" i="39" s="1"/>
  <c r="O34" i="32"/>
  <c r="G13" i="39" s="1"/>
  <c r="O61" i="32"/>
  <c r="G30" i="39" s="1"/>
  <c r="O88" i="32"/>
  <c r="G47" i="39" s="1"/>
  <c r="O115" i="32"/>
  <c r="G64" i="39" s="1"/>
  <c r="O119" i="32"/>
  <c r="G68" i="39" s="1"/>
  <c r="O146" i="32"/>
  <c r="G85" i="39" s="1"/>
  <c r="L11" i="40"/>
  <c r="Q36" i="32"/>
  <c r="I15" i="39" s="1"/>
  <c r="Q148" i="32"/>
  <c r="I87" i="39" s="1"/>
  <c r="M177" i="32"/>
  <c r="K15" i="44" s="1"/>
  <c r="K31" i="32"/>
  <c r="E10" i="39" s="1"/>
  <c r="K35" i="32"/>
  <c r="E14" i="39" s="1"/>
  <c r="K62" i="32"/>
  <c r="E31" i="39" s="1"/>
  <c r="K89" i="32"/>
  <c r="E48" i="39" s="1"/>
  <c r="K143" i="32"/>
  <c r="E82" i="39" s="1"/>
  <c r="K147" i="32"/>
  <c r="E86" i="39" s="1"/>
  <c r="M33" i="32"/>
  <c r="F12" i="39" s="1"/>
  <c r="M60" i="32"/>
  <c r="F29" i="39" s="1"/>
  <c r="M91" i="32"/>
  <c r="F50" i="39" s="1"/>
  <c r="M118" i="32"/>
  <c r="F67" i="39" s="1"/>
  <c r="M145" i="32"/>
  <c r="F84" i="39" s="1"/>
  <c r="O31" i="32"/>
  <c r="G10" i="39" s="1"/>
  <c r="O35" i="32"/>
  <c r="G14" i="39" s="1"/>
  <c r="O62" i="32"/>
  <c r="G31" i="39" s="1"/>
  <c r="O89" i="32"/>
  <c r="G48" i="39" s="1"/>
  <c r="O116" i="32"/>
  <c r="G65" i="39" s="1"/>
  <c r="O143" i="32"/>
  <c r="G82" i="39" s="1"/>
  <c r="O147" i="32"/>
  <c r="G86" i="39" s="1"/>
  <c r="O210" i="32"/>
  <c r="M18" i="41" s="1"/>
  <c r="Q239" i="32"/>
  <c r="O20" i="41" s="1"/>
  <c r="M64" i="32"/>
  <c r="K8" i="41" s="1"/>
  <c r="Q179" i="32"/>
  <c r="O17" i="44" s="1"/>
  <c r="O237" i="32"/>
  <c r="M55" i="44" s="1"/>
  <c r="J28" i="39"/>
  <c r="L28" i="39" s="1"/>
  <c r="T59" i="32" s="1"/>
  <c r="S59" i="32"/>
  <c r="K28" i="39" s="1"/>
  <c r="J49" i="39"/>
  <c r="N49" i="39" s="1"/>
  <c r="V90" i="32" s="1"/>
  <c r="H82" i="51" s="1"/>
  <c r="S90" i="32"/>
  <c r="K49" i="39" s="1"/>
  <c r="S148" i="32"/>
  <c r="P9" i="44"/>
  <c r="S171" i="32"/>
  <c r="Q9" i="44" s="1"/>
  <c r="S180" i="32"/>
  <c r="P52" i="44"/>
  <c r="S234" i="32"/>
  <c r="Q52" i="44" s="1"/>
  <c r="P11" i="45"/>
  <c r="S278" i="32"/>
  <c r="Q11" i="45" s="1"/>
  <c r="O144" i="32"/>
  <c r="G83" i="39" s="1"/>
  <c r="P53" i="44"/>
  <c r="S235" i="32"/>
  <c r="Q53" i="44" s="1"/>
  <c r="P8" i="45"/>
  <c r="S275" i="32"/>
  <c r="Q8" i="45" s="1"/>
  <c r="Q32" i="32"/>
  <c r="I11" i="39" s="1"/>
  <c r="O91" i="32"/>
  <c r="G50" i="39" s="1"/>
  <c r="O118" i="32"/>
  <c r="G67" i="39" s="1"/>
  <c r="Q175" i="32"/>
  <c r="O13" i="44" s="1"/>
  <c r="O202" i="32"/>
  <c r="M30" i="44" s="1"/>
  <c r="O233" i="32"/>
  <c r="M51" i="44" s="1"/>
  <c r="Q234" i="32"/>
  <c r="O52" i="44" s="1"/>
  <c r="K144" i="32"/>
  <c r="E83" i="39" s="1"/>
  <c r="M34" i="32"/>
  <c r="F13" i="39" s="1"/>
  <c r="N11" i="40"/>
  <c r="J30" i="39"/>
  <c r="N30" i="39" s="1"/>
  <c r="V61" i="32" s="1"/>
  <c r="S61" i="32"/>
  <c r="K30" i="39" s="1"/>
  <c r="J47" i="39"/>
  <c r="N47" i="39" s="1"/>
  <c r="V88" i="32" s="1"/>
  <c r="S88" i="32"/>
  <c r="K47" i="39" s="1"/>
  <c r="S92" i="32"/>
  <c r="Q10" i="41" s="1"/>
  <c r="J64" i="39"/>
  <c r="L64" i="39" s="1"/>
  <c r="T115" i="32" s="1"/>
  <c r="S115" i="32"/>
  <c r="K64" i="39" s="1"/>
  <c r="J68" i="39"/>
  <c r="N68" i="39" s="1"/>
  <c r="S119" i="32"/>
  <c r="K68" i="39" s="1"/>
  <c r="J85" i="39"/>
  <c r="L85" i="39" s="1"/>
  <c r="T146" i="32" s="1"/>
  <c r="H85" i="33" s="1"/>
  <c r="S146" i="32"/>
  <c r="K85" i="39" s="1"/>
  <c r="P11" i="44"/>
  <c r="S173" i="32"/>
  <c r="Q11" i="44" s="1"/>
  <c r="P16" i="44"/>
  <c r="T16" i="44" s="1"/>
  <c r="S178" i="32"/>
  <c r="Q16" i="44" s="1"/>
  <c r="P33" i="44"/>
  <c r="S205" i="32"/>
  <c r="Q33" i="44" s="1"/>
  <c r="P37" i="44"/>
  <c r="S209" i="32"/>
  <c r="Q37" i="44" s="1"/>
  <c r="P54" i="44"/>
  <c r="T54" i="44" s="1"/>
  <c r="S236" i="32"/>
  <c r="Q54" i="44" s="1"/>
  <c r="P9" i="45"/>
  <c r="S276" i="32"/>
  <c r="Q9" i="45" s="1"/>
  <c r="P13" i="45"/>
  <c r="R13" i="45" s="1"/>
  <c r="S280" i="32"/>
  <c r="Q13" i="45" s="1"/>
  <c r="K64" i="32"/>
  <c r="I8" i="41" s="1"/>
  <c r="Q145" i="32"/>
  <c r="I84" i="39" s="1"/>
  <c r="K172" i="32"/>
  <c r="I10" i="44" s="1"/>
  <c r="M172" i="32"/>
  <c r="K10" i="44" s="1"/>
  <c r="Q171" i="32"/>
  <c r="O9" i="44" s="1"/>
  <c r="M202" i="32"/>
  <c r="K30" i="44" s="1"/>
  <c r="Q201" i="32"/>
  <c r="O29" i="44" s="1"/>
  <c r="M235" i="32"/>
  <c r="K53" i="44" s="1"/>
  <c r="M281" i="32"/>
  <c r="K14" i="45" s="1"/>
  <c r="Q281" i="32"/>
  <c r="O14" i="45" s="1"/>
  <c r="R242" i="32"/>
  <c r="J32" i="39"/>
  <c r="N32" i="39" s="1"/>
  <c r="S63" i="32"/>
  <c r="K32" i="39" s="1"/>
  <c r="J66" i="39"/>
  <c r="N66" i="39" s="1"/>
  <c r="V117" i="32" s="1"/>
  <c r="S117" i="32"/>
  <c r="K66" i="39" s="1"/>
  <c r="J83" i="39"/>
  <c r="N83" i="39" s="1"/>
  <c r="V144" i="32" s="1"/>
  <c r="S144" i="32"/>
  <c r="K83" i="39" s="1"/>
  <c r="P14" i="44"/>
  <c r="T14" i="44" s="1"/>
  <c r="S176" i="32"/>
  <c r="Q14" i="44" s="1"/>
  <c r="P29" i="44"/>
  <c r="T29" i="44" s="1"/>
  <c r="V201" i="32" s="1"/>
  <c r="S201" i="32"/>
  <c r="Q29" i="44" s="1"/>
  <c r="P35" i="44"/>
  <c r="S207" i="32"/>
  <c r="Q35" i="44" s="1"/>
  <c r="P56" i="44"/>
  <c r="S238" i="32"/>
  <c r="Q56" i="44" s="1"/>
  <c r="P8" i="40"/>
  <c r="R8" i="40" s="1"/>
  <c r="T282" i="32" s="1"/>
  <c r="S282" i="32"/>
  <c r="Q8" i="40" s="1"/>
  <c r="U282" i="32" s="1"/>
  <c r="Q59" i="32"/>
  <c r="I28" i="39" s="1"/>
  <c r="R122" i="32"/>
  <c r="J29" i="39"/>
  <c r="N29" i="39" s="1"/>
  <c r="V60" i="32" s="1"/>
  <c r="S60" i="32"/>
  <c r="K29" i="39" s="1"/>
  <c r="S64" i="32"/>
  <c r="Q8" i="41" s="1"/>
  <c r="J46" i="39"/>
  <c r="N46" i="39" s="1"/>
  <c r="V87" i="32" s="1"/>
  <c r="S87" i="32"/>
  <c r="K46" i="39" s="1"/>
  <c r="J50" i="39"/>
  <c r="N50" i="39" s="1"/>
  <c r="S91" i="32"/>
  <c r="K50" i="39" s="1"/>
  <c r="J67" i="39"/>
  <c r="L67" i="39" s="1"/>
  <c r="T118" i="32" s="1"/>
  <c r="H83" i="33" s="1"/>
  <c r="S118" i="32"/>
  <c r="K67" i="39" s="1"/>
  <c r="J84" i="39"/>
  <c r="N84" i="39" s="1"/>
  <c r="V145" i="32" s="1"/>
  <c r="S145" i="32"/>
  <c r="K84" i="39" s="1"/>
  <c r="P10" i="44"/>
  <c r="S172" i="32"/>
  <c r="Q10" i="44" s="1"/>
  <c r="P15" i="44"/>
  <c r="T15" i="44" s="1"/>
  <c r="S177" i="32"/>
  <c r="Q15" i="44" s="1"/>
  <c r="P30" i="44"/>
  <c r="S202" i="32"/>
  <c r="Q30" i="44" s="1"/>
  <c r="P36" i="44"/>
  <c r="T36" i="44" s="1"/>
  <c r="S208" i="32"/>
  <c r="Q36" i="44" s="1"/>
  <c r="S239" i="32"/>
  <c r="P12" i="45"/>
  <c r="S279" i="32"/>
  <c r="Q12" i="45" s="1"/>
  <c r="M36" i="32"/>
  <c r="F15" i="39" s="1"/>
  <c r="M147" i="32"/>
  <c r="F86" i="39" s="1"/>
  <c r="K176" i="32"/>
  <c r="I14" i="44" s="1"/>
  <c r="M176" i="32"/>
  <c r="K14" i="44" s="1"/>
  <c r="M207" i="32"/>
  <c r="K35" i="44" s="1"/>
  <c r="M238" i="32"/>
  <c r="K56" i="44" s="1"/>
  <c r="O277" i="32"/>
  <c r="M10" i="45" s="1"/>
  <c r="R65" i="32"/>
  <c r="K32" i="32"/>
  <c r="E11" i="39" s="1"/>
  <c r="K117" i="32"/>
  <c r="E66" i="39" s="1"/>
  <c r="M30" i="32"/>
  <c r="F9" i="39" s="1"/>
  <c r="M61" i="32"/>
  <c r="F30" i="39" s="1"/>
  <c r="M88" i="32"/>
  <c r="F47" i="39" s="1"/>
  <c r="M115" i="32"/>
  <c r="F64" i="39" s="1"/>
  <c r="M119" i="32"/>
  <c r="F68" i="39" s="1"/>
  <c r="M146" i="32"/>
  <c r="F85" i="39" s="1"/>
  <c r="J11" i="40"/>
  <c r="O32" i="32"/>
  <c r="G11" i="39" s="1"/>
  <c r="O59" i="32"/>
  <c r="G28" i="39" s="1"/>
  <c r="O63" i="32"/>
  <c r="G32" i="39" s="1"/>
  <c r="O90" i="32"/>
  <c r="G49" i="39" s="1"/>
  <c r="H682" i="32"/>
  <c r="F61" i="40" s="1"/>
  <c r="K87" i="32"/>
  <c r="E46" i="39" s="1"/>
  <c r="K91" i="32"/>
  <c r="E50" i="39" s="1"/>
  <c r="K118" i="32"/>
  <c r="E67" i="39" s="1"/>
  <c r="K239" i="32"/>
  <c r="I57" i="44" s="1"/>
  <c r="M31" i="32"/>
  <c r="F10" i="39" s="1"/>
  <c r="M35" i="32"/>
  <c r="F14" i="39" s="1"/>
  <c r="M62" i="32"/>
  <c r="F31" i="39" s="1"/>
  <c r="M89" i="32"/>
  <c r="F48" i="39" s="1"/>
  <c r="M116" i="32"/>
  <c r="F65" i="39" s="1"/>
  <c r="O60" i="32"/>
  <c r="G29" i="39" s="1"/>
  <c r="O145" i="32"/>
  <c r="G84" i="39" s="1"/>
  <c r="O239" i="32"/>
  <c r="M20" i="41" s="1"/>
  <c r="J31" i="39"/>
  <c r="N31" i="39" s="1"/>
  <c r="V62" i="32" s="1"/>
  <c r="H81" i="51" s="1"/>
  <c r="S62" i="32"/>
  <c r="K31" i="39" s="1"/>
  <c r="S89" i="32"/>
  <c r="K48" i="39" s="1"/>
  <c r="S116" i="32"/>
  <c r="K65" i="39" s="1"/>
  <c r="S120" i="32"/>
  <c r="S143" i="32"/>
  <c r="K82" i="39" s="1"/>
  <c r="S147" i="32"/>
  <c r="K86" i="39" s="1"/>
  <c r="S175" i="32"/>
  <c r="Q13" i="44" s="1"/>
  <c r="S179" i="32"/>
  <c r="Q17" i="44" s="1"/>
  <c r="P34" i="44"/>
  <c r="S206" i="32"/>
  <c r="Q34" i="44" s="1"/>
  <c r="S210" i="32"/>
  <c r="S233" i="32"/>
  <c r="Q51" i="44" s="1"/>
  <c r="P55" i="44"/>
  <c r="T55" i="44" s="1"/>
  <c r="S237" i="32"/>
  <c r="Q55" i="44" s="1"/>
  <c r="P10" i="45"/>
  <c r="S277" i="32"/>
  <c r="Q10" i="45" s="1"/>
  <c r="P14" i="45"/>
  <c r="S281" i="32"/>
  <c r="Q14" i="45" s="1"/>
  <c r="Q63" i="32"/>
  <c r="I32" i="39" s="1"/>
  <c r="Q89" i="32"/>
  <c r="I48" i="39" s="1"/>
  <c r="Q118" i="32"/>
  <c r="I67" i="39" s="1"/>
  <c r="O148" i="32"/>
  <c r="G87" i="39" s="1"/>
  <c r="Q144" i="32"/>
  <c r="I83" i="39" s="1"/>
  <c r="O177" i="32"/>
  <c r="M15" i="44" s="1"/>
  <c r="K201" i="32"/>
  <c r="I29" i="44" s="1"/>
  <c r="Q208" i="32"/>
  <c r="O36" i="44" s="1"/>
  <c r="M234" i="32"/>
  <c r="K52" i="44" s="1"/>
  <c r="Q238" i="32"/>
  <c r="O56" i="44" s="1"/>
  <c r="M277" i="32"/>
  <c r="K10" i="45" s="1"/>
  <c r="Q277" i="32"/>
  <c r="O10" i="45" s="1"/>
  <c r="H650" i="32"/>
  <c r="F29" i="40" s="1"/>
  <c r="J688" i="32"/>
  <c r="H67" i="40" s="1"/>
  <c r="L670" i="32"/>
  <c r="J49" i="40" s="1"/>
  <c r="N670" i="32"/>
  <c r="L49" i="40" s="1"/>
  <c r="N688" i="32"/>
  <c r="L67" i="40" s="1"/>
  <c r="P638" i="32"/>
  <c r="Q115" i="32"/>
  <c r="I64" i="39" s="1"/>
  <c r="M173" i="32"/>
  <c r="K11" i="44" s="1"/>
  <c r="Q205" i="32"/>
  <c r="O33" i="44" s="1"/>
  <c r="K237" i="32"/>
  <c r="I55" i="44" s="1"/>
  <c r="R93" i="32"/>
  <c r="H653" i="32"/>
  <c r="F32" i="40" s="1"/>
  <c r="Q276" i="32"/>
  <c r="O9" i="45" s="1"/>
  <c r="H697" i="32"/>
  <c r="F76" i="40" s="1"/>
  <c r="J670" i="32"/>
  <c r="H49" i="40" s="1"/>
  <c r="L638" i="32"/>
  <c r="N10" i="41"/>
  <c r="H51" i="39"/>
  <c r="K120" i="32"/>
  <c r="K116" i="32"/>
  <c r="E65" i="39" s="1"/>
  <c r="Q119" i="32"/>
  <c r="I68" i="39" s="1"/>
  <c r="K281" i="32"/>
  <c r="I14" i="45" s="1"/>
  <c r="K277" i="32"/>
  <c r="I10" i="45" s="1"/>
  <c r="H675" i="32"/>
  <c r="F54" i="40" s="1"/>
  <c r="H18" i="41"/>
  <c r="H38" i="44"/>
  <c r="J18" i="41"/>
  <c r="J38" i="44"/>
  <c r="L690" i="32"/>
  <c r="J69" i="40" s="1"/>
  <c r="L38" i="44"/>
  <c r="L18" i="41"/>
  <c r="N644" i="32"/>
  <c r="N698" i="32"/>
  <c r="L77" i="40" s="1"/>
  <c r="N686" i="32"/>
  <c r="L65" i="40" s="1"/>
  <c r="Q31" i="32"/>
  <c r="I10" i="39" s="1"/>
  <c r="Q88" i="32"/>
  <c r="I47" i="39" s="1"/>
  <c r="K179" i="32"/>
  <c r="I17" i="44" s="1"/>
  <c r="Q178" i="32"/>
  <c r="O16" i="44" s="1"/>
  <c r="K207" i="32"/>
  <c r="I35" i="44" s="1"/>
  <c r="M210" i="32"/>
  <c r="M206" i="32"/>
  <c r="K34" i="44" s="1"/>
  <c r="O209" i="32"/>
  <c r="M37" i="44" s="1"/>
  <c r="O205" i="32"/>
  <c r="M33" i="44" s="1"/>
  <c r="K236" i="32"/>
  <c r="I54" i="44" s="1"/>
  <c r="K280" i="32"/>
  <c r="I13" i="45" s="1"/>
  <c r="M280" i="32"/>
  <c r="K13" i="45" s="1"/>
  <c r="O276" i="32"/>
  <c r="M9" i="45" s="1"/>
  <c r="R204" i="32"/>
  <c r="P32" i="44" s="1"/>
  <c r="F20" i="41"/>
  <c r="F57" i="44"/>
  <c r="H663" i="32"/>
  <c r="F42" i="40" s="1"/>
  <c r="H681" i="32"/>
  <c r="F60" i="40" s="1"/>
  <c r="H660" i="32"/>
  <c r="F39" i="40" s="1"/>
  <c r="H694" i="32"/>
  <c r="F73" i="40" s="1"/>
  <c r="H18" i="44"/>
  <c r="H16" i="41"/>
  <c r="J654" i="32"/>
  <c r="H33" i="40" s="1"/>
  <c r="J676" i="32"/>
  <c r="H55" i="40" s="1"/>
  <c r="J16" i="41"/>
  <c r="J18" i="44"/>
  <c r="L654" i="32"/>
  <c r="J33" i="40" s="1"/>
  <c r="L676" i="32"/>
  <c r="J55" i="40" s="1"/>
  <c r="L18" i="44"/>
  <c r="N654" i="32"/>
  <c r="L33" i="40" s="1"/>
  <c r="N676" i="32"/>
  <c r="L55" i="40" s="1"/>
  <c r="N6" i="41"/>
  <c r="H15" i="39"/>
  <c r="N14" i="41"/>
  <c r="H87" i="39"/>
  <c r="N16" i="41"/>
  <c r="N18" i="44"/>
  <c r="P654" i="32"/>
  <c r="N33" i="40" s="1"/>
  <c r="P676" i="32"/>
  <c r="N55" i="40" s="1"/>
  <c r="J11" i="39"/>
  <c r="L11" i="39" s="1"/>
  <c r="S32" i="32"/>
  <c r="K11" i="39" s="1"/>
  <c r="S36" i="32"/>
  <c r="K36" i="32"/>
  <c r="O36" i="32"/>
  <c r="Q34" i="32"/>
  <c r="I13" i="39" s="1"/>
  <c r="Q30" i="32"/>
  <c r="I9" i="39" s="1"/>
  <c r="O64" i="32"/>
  <c r="Q61" i="32"/>
  <c r="I30" i="39" s="1"/>
  <c r="K92" i="32"/>
  <c r="Q91" i="32"/>
  <c r="I50" i="39" s="1"/>
  <c r="Q87" i="32"/>
  <c r="I46" i="39" s="1"/>
  <c r="O120" i="32"/>
  <c r="Q117" i="32"/>
  <c r="I66" i="39" s="1"/>
  <c r="K148" i="32"/>
  <c r="Q147" i="32"/>
  <c r="I86" i="39" s="1"/>
  <c r="Q143" i="32"/>
  <c r="I82" i="39" s="1"/>
  <c r="K178" i="32"/>
  <c r="I16" i="44" s="1"/>
  <c r="M179" i="32"/>
  <c r="K17" i="44" s="1"/>
  <c r="M175" i="32"/>
  <c r="K13" i="44" s="1"/>
  <c r="M171" i="32"/>
  <c r="K9" i="44" s="1"/>
  <c r="O180" i="32"/>
  <c r="O176" i="32"/>
  <c r="M14" i="44" s="1"/>
  <c r="O172" i="32"/>
  <c r="M10" i="44" s="1"/>
  <c r="Q177" i="32"/>
  <c r="O15" i="44" s="1"/>
  <c r="Q173" i="32"/>
  <c r="O11" i="44" s="1"/>
  <c r="K210" i="32"/>
  <c r="K206" i="32"/>
  <c r="I34" i="44" s="1"/>
  <c r="K202" i="32"/>
  <c r="I30" i="44" s="1"/>
  <c r="M209" i="32"/>
  <c r="K37" i="44" s="1"/>
  <c r="M205" i="32"/>
  <c r="K33" i="44" s="1"/>
  <c r="O201" i="32"/>
  <c r="M29" i="44" s="1"/>
  <c r="O208" i="32"/>
  <c r="M36" i="44" s="1"/>
  <c r="Q207" i="32"/>
  <c r="O35" i="44" s="1"/>
  <c r="K235" i="32"/>
  <c r="I53" i="44" s="1"/>
  <c r="M237" i="32"/>
  <c r="K55" i="44" s="1"/>
  <c r="M233" i="32"/>
  <c r="K51" i="44" s="1"/>
  <c r="O235" i="32"/>
  <c r="M53" i="44" s="1"/>
  <c r="Q237" i="32"/>
  <c r="O55" i="44" s="1"/>
  <c r="Q233" i="32"/>
  <c r="O51" i="44" s="1"/>
  <c r="K275" i="32"/>
  <c r="I8" i="45" s="1"/>
  <c r="K279" i="32"/>
  <c r="I12" i="45" s="1"/>
  <c r="M275" i="32"/>
  <c r="K8" i="45" s="1"/>
  <c r="M279" i="32"/>
  <c r="K12" i="45" s="1"/>
  <c r="O275" i="32"/>
  <c r="M8" i="45" s="1"/>
  <c r="O279" i="32"/>
  <c r="M12" i="45" s="1"/>
  <c r="Q275" i="32"/>
  <c r="O8" i="45" s="1"/>
  <c r="Q279" i="32"/>
  <c r="O12" i="45" s="1"/>
  <c r="F38" i="44"/>
  <c r="F18" i="41"/>
  <c r="H648" i="32"/>
  <c r="H684" i="32"/>
  <c r="F63" i="40" s="1"/>
  <c r="H676" i="32"/>
  <c r="F55" i="40" s="1"/>
  <c r="J638" i="32"/>
  <c r="L688" i="32"/>
  <c r="J67" i="40" s="1"/>
  <c r="N638" i="32"/>
  <c r="P670" i="32"/>
  <c r="N49" i="40" s="1"/>
  <c r="P688" i="32"/>
  <c r="N67" i="40" s="1"/>
  <c r="J9" i="39"/>
  <c r="N9" i="39" s="1"/>
  <c r="V30" i="32" s="1"/>
  <c r="BW114" i="51" s="1"/>
  <c r="S30" i="32"/>
  <c r="K9" i="39" s="1"/>
  <c r="J13" i="39"/>
  <c r="L13" i="39" s="1"/>
  <c r="S34" i="32"/>
  <c r="K13" i="39" s="1"/>
  <c r="O92" i="32"/>
  <c r="O178" i="32"/>
  <c r="M16" i="44" s="1"/>
  <c r="Q209" i="32"/>
  <c r="O37" i="44" s="1"/>
  <c r="K233" i="32"/>
  <c r="I51" i="44" s="1"/>
  <c r="F16" i="41"/>
  <c r="F18" i="44"/>
  <c r="H654" i="32"/>
  <c r="F33" i="40" s="1"/>
  <c r="J644" i="32"/>
  <c r="J698" i="32"/>
  <c r="H77" i="40" s="1"/>
  <c r="J680" i="32"/>
  <c r="H59" i="40" s="1"/>
  <c r="L644" i="32"/>
  <c r="L698" i="32"/>
  <c r="J77" i="40" s="1"/>
  <c r="N12" i="41"/>
  <c r="H69" i="39"/>
  <c r="N18" i="41"/>
  <c r="N38" i="44"/>
  <c r="P644" i="32"/>
  <c r="P698" i="32"/>
  <c r="N77" i="40" s="1"/>
  <c r="P686" i="32"/>
  <c r="N65" i="40" s="1"/>
  <c r="S31" i="32"/>
  <c r="K10" i="39" s="1"/>
  <c r="J14" i="39"/>
  <c r="L14" i="39" s="1"/>
  <c r="S35" i="32"/>
  <c r="K14" i="39" s="1"/>
  <c r="R690" i="32"/>
  <c r="P69" i="40" s="1"/>
  <c r="Q35" i="32"/>
  <c r="I14" i="39" s="1"/>
  <c r="Q62" i="32"/>
  <c r="I31" i="39" s="1"/>
  <c r="Q92" i="32"/>
  <c r="M120" i="32"/>
  <c r="K175" i="32"/>
  <c r="I13" i="44" s="1"/>
  <c r="K171" i="32"/>
  <c r="I9" i="44" s="1"/>
  <c r="O173" i="32"/>
  <c r="M11" i="44" s="1"/>
  <c r="O236" i="32"/>
  <c r="M54" i="44" s="1"/>
  <c r="K276" i="32"/>
  <c r="I9" i="45" s="1"/>
  <c r="M276" i="32"/>
  <c r="K9" i="45" s="1"/>
  <c r="O280" i="32"/>
  <c r="M13" i="45" s="1"/>
  <c r="Q280" i="32"/>
  <c r="O13" i="45" s="1"/>
  <c r="R170" i="32"/>
  <c r="R58" i="32"/>
  <c r="H637" i="32"/>
  <c r="F24" i="40" s="1"/>
  <c r="H669" i="32"/>
  <c r="F48" i="40" s="1"/>
  <c r="H687" i="32"/>
  <c r="F66" i="40" s="1"/>
  <c r="H644" i="32"/>
  <c r="H665" i="32"/>
  <c r="F44" i="40" s="1"/>
  <c r="H698" i="32"/>
  <c r="F77" i="40" s="1"/>
  <c r="H20" i="41"/>
  <c r="H57" i="44"/>
  <c r="J665" i="32"/>
  <c r="H44" i="40" s="1"/>
  <c r="J682" i="32"/>
  <c r="H61" i="40" s="1"/>
  <c r="J20" i="41"/>
  <c r="J57" i="44"/>
  <c r="L665" i="32"/>
  <c r="J44" i="40" s="1"/>
  <c r="L682" i="32"/>
  <c r="J61" i="40" s="1"/>
  <c r="L20" i="41"/>
  <c r="L57" i="44"/>
  <c r="N665" i="32"/>
  <c r="L44" i="40" s="1"/>
  <c r="N682" i="32"/>
  <c r="L61" i="40" s="1"/>
  <c r="N8" i="41"/>
  <c r="H33" i="39"/>
  <c r="N20" i="41"/>
  <c r="N57" i="44"/>
  <c r="P665" i="32"/>
  <c r="N44" i="40" s="1"/>
  <c r="P682" i="32"/>
  <c r="N61" i="40" s="1"/>
  <c r="J12" i="39"/>
  <c r="S33" i="32"/>
  <c r="K12" i="39" s="1"/>
  <c r="Q33" i="32"/>
  <c r="I12" i="39" s="1"/>
  <c r="Q64" i="32"/>
  <c r="Q60" i="32"/>
  <c r="I29" i="39" s="1"/>
  <c r="M92" i="32"/>
  <c r="Q90" i="32"/>
  <c r="I49" i="39" s="1"/>
  <c r="Q120" i="32"/>
  <c r="Q116" i="32"/>
  <c r="I65" i="39" s="1"/>
  <c r="M148" i="32"/>
  <c r="Q146" i="32"/>
  <c r="I85" i="39" s="1"/>
  <c r="K177" i="32"/>
  <c r="I15" i="44" s="1"/>
  <c r="K173" i="32"/>
  <c r="I11" i="44" s="1"/>
  <c r="M178" i="32"/>
  <c r="K16" i="44" s="1"/>
  <c r="O179" i="32"/>
  <c r="M17" i="44" s="1"/>
  <c r="O175" i="32"/>
  <c r="M13" i="44" s="1"/>
  <c r="O171" i="32"/>
  <c r="M9" i="44" s="1"/>
  <c r="Q180" i="32"/>
  <c r="Q176" i="32"/>
  <c r="O14" i="44" s="1"/>
  <c r="Q172" i="32"/>
  <c r="O10" i="44" s="1"/>
  <c r="K209" i="32"/>
  <c r="I37" i="44" s="1"/>
  <c r="K205" i="32"/>
  <c r="I33" i="44" s="1"/>
  <c r="M201" i="32"/>
  <c r="K29" i="44" s="1"/>
  <c r="M208" i="32"/>
  <c r="K36" i="44" s="1"/>
  <c r="O207" i="32"/>
  <c r="M35" i="44" s="1"/>
  <c r="Q210" i="32"/>
  <c r="Q206" i="32"/>
  <c r="O34" i="44" s="1"/>
  <c r="Q202" i="32"/>
  <c r="O30" i="44" s="1"/>
  <c r="K238" i="32"/>
  <c r="I56" i="44" s="1"/>
  <c r="K234" i="32"/>
  <c r="I52" i="44" s="1"/>
  <c r="M236" i="32"/>
  <c r="K54" i="44" s="1"/>
  <c r="O238" i="32"/>
  <c r="M56" i="44" s="1"/>
  <c r="O234" i="32"/>
  <c r="M52" i="44" s="1"/>
  <c r="Q236" i="32"/>
  <c r="O54" i="44" s="1"/>
  <c r="K282" i="32"/>
  <c r="I8" i="40" s="1"/>
  <c r="K278" i="32"/>
  <c r="I11" i="45" s="1"/>
  <c r="M282" i="32"/>
  <c r="K8" i="40" s="1"/>
  <c r="M278" i="32"/>
  <c r="K11" i="45" s="1"/>
  <c r="O282" i="32"/>
  <c r="M8" i="40" s="1"/>
  <c r="O278" i="32"/>
  <c r="M11" i="45" s="1"/>
  <c r="Q282" i="32"/>
  <c r="O8" i="40" s="1"/>
  <c r="Q278" i="32"/>
  <c r="O11" i="45" s="1"/>
  <c r="R29" i="32"/>
  <c r="J10" i="39"/>
  <c r="L10" i="39" s="1"/>
  <c r="R86" i="32"/>
  <c r="J48" i="39"/>
  <c r="R114" i="32"/>
  <c r="J65" i="39"/>
  <c r="R260" i="32"/>
  <c r="P12" i="41"/>
  <c r="J69" i="39"/>
  <c r="R142" i="32"/>
  <c r="J82" i="39"/>
  <c r="R149" i="32"/>
  <c r="J86" i="39"/>
  <c r="R174" i="32"/>
  <c r="P13" i="44"/>
  <c r="T13" i="44" s="1"/>
  <c r="R181" i="32"/>
  <c r="P17" i="44"/>
  <c r="R211" i="32"/>
  <c r="P18" i="41"/>
  <c r="P38" i="44"/>
  <c r="R232" i="32"/>
  <c r="P51" i="44"/>
  <c r="P6" i="41"/>
  <c r="J15" i="39"/>
  <c r="P14" i="41"/>
  <c r="J87" i="39"/>
  <c r="P16" i="41"/>
  <c r="P18" i="44"/>
  <c r="R654" i="32"/>
  <c r="P33" i="40" s="1"/>
  <c r="R676" i="32"/>
  <c r="P55" i="40" s="1"/>
  <c r="P8" i="41"/>
  <c r="J33" i="39"/>
  <c r="P57" i="44"/>
  <c r="P20" i="41"/>
  <c r="R665" i="32"/>
  <c r="P44" i="40" s="1"/>
  <c r="R682" i="32"/>
  <c r="P61" i="40" s="1"/>
  <c r="P10" i="41"/>
  <c r="J51" i="39"/>
  <c r="P11" i="40"/>
  <c r="R638" i="32"/>
  <c r="AB71" i="58" s="1"/>
  <c r="R670" i="32"/>
  <c r="P49" i="40" s="1"/>
  <c r="R688" i="32"/>
  <c r="P67" i="40" s="1"/>
  <c r="R635" i="32"/>
  <c r="P22" i="40" s="1"/>
  <c r="R645" i="32"/>
  <c r="R655" i="32"/>
  <c r="P34" i="40" s="1"/>
  <c r="R667" i="32"/>
  <c r="P46" i="40" s="1"/>
  <c r="R678" i="32"/>
  <c r="P57" i="40" s="1"/>
  <c r="R695" i="32"/>
  <c r="P74" i="40" s="1"/>
  <c r="R636" i="32"/>
  <c r="U71" i="58" s="1"/>
  <c r="R642" i="32"/>
  <c r="R646" i="32"/>
  <c r="R652" i="32"/>
  <c r="P31" i="40" s="1"/>
  <c r="R657" i="32"/>
  <c r="P36" i="40" s="1"/>
  <c r="R662" i="32"/>
  <c r="P41" i="40" s="1"/>
  <c r="R668" i="32"/>
  <c r="P47" i="40" s="1"/>
  <c r="R673" i="32"/>
  <c r="P52" i="40" s="1"/>
  <c r="R680" i="32"/>
  <c r="P59" i="40" s="1"/>
  <c r="R686" i="32"/>
  <c r="P65" i="40" s="1"/>
  <c r="R692" i="32"/>
  <c r="P71" i="40" s="1"/>
  <c r="R696" i="32"/>
  <c r="P75" i="40" s="1"/>
  <c r="R684" i="32"/>
  <c r="P63" i="40" s="1"/>
  <c r="R637" i="32"/>
  <c r="P24" i="40" s="1"/>
  <c r="R643" i="32"/>
  <c r="R648" i="32"/>
  <c r="R653" i="32"/>
  <c r="P32" i="40" s="1"/>
  <c r="R659" i="32"/>
  <c r="P38" i="40" s="1"/>
  <c r="R663" i="32"/>
  <c r="P42" i="40" s="1"/>
  <c r="R669" i="32"/>
  <c r="P48" i="40" s="1"/>
  <c r="R675" i="32"/>
  <c r="P54" i="40" s="1"/>
  <c r="R681" i="32"/>
  <c r="P60" i="40" s="1"/>
  <c r="R687" i="32"/>
  <c r="P66" i="40" s="1"/>
  <c r="R693" i="32"/>
  <c r="P72" i="40" s="1"/>
  <c r="R697" i="32"/>
  <c r="P76" i="40" s="1"/>
  <c r="R640" i="32"/>
  <c r="P27" i="40" s="1"/>
  <c r="R651" i="32"/>
  <c r="P30" i="40" s="1"/>
  <c r="R661" i="32"/>
  <c r="P40" i="40" s="1"/>
  <c r="R671" i="32"/>
  <c r="P50" i="40" s="1"/>
  <c r="R634" i="32"/>
  <c r="R650" i="32"/>
  <c r="P29" i="40" s="1"/>
  <c r="R660" i="32"/>
  <c r="P39" i="40" s="1"/>
  <c r="R694" i="32"/>
  <c r="P73" i="40" s="1"/>
  <c r="P645" i="32"/>
  <c r="P655" i="32"/>
  <c r="N34" i="40" s="1"/>
  <c r="P661" i="32"/>
  <c r="N40" i="40" s="1"/>
  <c r="P678" i="32"/>
  <c r="N57" i="40" s="1"/>
  <c r="P690" i="32"/>
  <c r="N69" i="40" s="1"/>
  <c r="P636" i="32"/>
  <c r="P646" i="32"/>
  <c r="P657" i="32"/>
  <c r="N36" i="40" s="1"/>
  <c r="P668" i="32"/>
  <c r="N47" i="40" s="1"/>
  <c r="P680" i="32"/>
  <c r="N59" i="40" s="1"/>
  <c r="P696" i="32"/>
  <c r="N75" i="40" s="1"/>
  <c r="P637" i="32"/>
  <c r="N24" i="40" s="1"/>
  <c r="P643" i="32"/>
  <c r="P648" i="32"/>
  <c r="P653" i="32"/>
  <c r="N32" i="40" s="1"/>
  <c r="P659" i="32"/>
  <c r="N38" i="40" s="1"/>
  <c r="P663" i="32"/>
  <c r="N42" i="40" s="1"/>
  <c r="P669" i="32"/>
  <c r="N48" i="40" s="1"/>
  <c r="P675" i="32"/>
  <c r="N54" i="40" s="1"/>
  <c r="P681" i="32"/>
  <c r="N60" i="40" s="1"/>
  <c r="P687" i="32"/>
  <c r="N66" i="40" s="1"/>
  <c r="P693" i="32"/>
  <c r="N72" i="40" s="1"/>
  <c r="P697" i="32"/>
  <c r="N76" i="40" s="1"/>
  <c r="P635" i="32"/>
  <c r="N22" i="40" s="1"/>
  <c r="P640" i="32"/>
  <c r="N27" i="40" s="1"/>
  <c r="P651" i="32"/>
  <c r="N30" i="40" s="1"/>
  <c r="P667" i="32"/>
  <c r="N46" i="40" s="1"/>
  <c r="P671" i="32"/>
  <c r="N50" i="40" s="1"/>
  <c r="P684" i="32"/>
  <c r="N63" i="40" s="1"/>
  <c r="P695" i="32"/>
  <c r="N74" i="40" s="1"/>
  <c r="P642" i="32"/>
  <c r="P652" i="32"/>
  <c r="N31" i="40" s="1"/>
  <c r="P662" i="32"/>
  <c r="N41" i="40" s="1"/>
  <c r="P673" i="32"/>
  <c r="N52" i="40" s="1"/>
  <c r="P692" i="32"/>
  <c r="N71" i="40" s="1"/>
  <c r="P634" i="32"/>
  <c r="P650" i="32"/>
  <c r="N29" i="40" s="1"/>
  <c r="P660" i="32"/>
  <c r="N39" i="40" s="1"/>
  <c r="P694" i="32"/>
  <c r="N73" i="40" s="1"/>
  <c r="N640" i="32"/>
  <c r="L27" i="40" s="1"/>
  <c r="N645" i="32"/>
  <c r="N655" i="32"/>
  <c r="L34" i="40" s="1"/>
  <c r="N667" i="32"/>
  <c r="L46" i="40" s="1"/>
  <c r="N671" i="32"/>
  <c r="L50" i="40" s="1"/>
  <c r="N684" i="32"/>
  <c r="L63" i="40" s="1"/>
  <c r="N695" i="32"/>
  <c r="L74" i="40" s="1"/>
  <c r="N642" i="32"/>
  <c r="N652" i="32"/>
  <c r="L31" i="40" s="1"/>
  <c r="N657" i="32"/>
  <c r="L36" i="40" s="1"/>
  <c r="N673" i="32"/>
  <c r="L52" i="40" s="1"/>
  <c r="N692" i="32"/>
  <c r="L71" i="40" s="1"/>
  <c r="N637" i="32"/>
  <c r="L24" i="40" s="1"/>
  <c r="L21" i="40" s="1"/>
  <c r="N643" i="32"/>
  <c r="N648" i="32"/>
  <c r="N653" i="32"/>
  <c r="L32" i="40" s="1"/>
  <c r="N659" i="32"/>
  <c r="L38" i="40" s="1"/>
  <c r="N663" i="32"/>
  <c r="L42" i="40" s="1"/>
  <c r="N669" i="32"/>
  <c r="L48" i="40" s="1"/>
  <c r="N675" i="32"/>
  <c r="L54" i="40" s="1"/>
  <c r="N681" i="32"/>
  <c r="L60" i="40" s="1"/>
  <c r="N687" i="32"/>
  <c r="L66" i="40" s="1"/>
  <c r="N693" i="32"/>
  <c r="L72" i="40" s="1"/>
  <c r="N697" i="32"/>
  <c r="L76" i="40" s="1"/>
  <c r="N635" i="32"/>
  <c r="L22" i="40" s="1"/>
  <c r="N651" i="32"/>
  <c r="L30" i="40" s="1"/>
  <c r="N661" i="32"/>
  <c r="L40" i="40" s="1"/>
  <c r="N678" i="32"/>
  <c r="L57" i="40" s="1"/>
  <c r="N690" i="32"/>
  <c r="L69" i="40" s="1"/>
  <c r="N636" i="32"/>
  <c r="N646" i="32"/>
  <c r="N662" i="32"/>
  <c r="L41" i="40" s="1"/>
  <c r="N668" i="32"/>
  <c r="L47" i="40" s="1"/>
  <c r="N680" i="32"/>
  <c r="L59" i="40" s="1"/>
  <c r="N696" i="32"/>
  <c r="L75" i="40" s="1"/>
  <c r="N634" i="32"/>
  <c r="N650" i="32"/>
  <c r="L29" i="40" s="1"/>
  <c r="N660" i="32"/>
  <c r="L39" i="40" s="1"/>
  <c r="N694" i="32"/>
  <c r="L73" i="40" s="1"/>
  <c r="L635" i="32"/>
  <c r="J22" i="40" s="1"/>
  <c r="L640" i="32"/>
  <c r="J27" i="40" s="1"/>
  <c r="L645" i="32"/>
  <c r="L651" i="32"/>
  <c r="J30" i="40" s="1"/>
  <c r="L655" i="32"/>
  <c r="J34" i="40" s="1"/>
  <c r="L661" i="32"/>
  <c r="J40" i="40" s="1"/>
  <c r="L667" i="32"/>
  <c r="J46" i="40" s="1"/>
  <c r="L671" i="32"/>
  <c r="J50" i="40" s="1"/>
  <c r="L678" i="32"/>
  <c r="J57" i="40" s="1"/>
  <c r="L684" i="32"/>
  <c r="J63" i="40" s="1"/>
  <c r="L695" i="32"/>
  <c r="J74" i="40" s="1"/>
  <c r="L636" i="32"/>
  <c r="L642" i="32"/>
  <c r="L646" i="32"/>
  <c r="L652" i="32"/>
  <c r="J31" i="40" s="1"/>
  <c r="L657" i="32"/>
  <c r="J36" i="40" s="1"/>
  <c r="L662" i="32"/>
  <c r="J41" i="40" s="1"/>
  <c r="L668" i="32"/>
  <c r="J47" i="40" s="1"/>
  <c r="L673" i="32"/>
  <c r="J52" i="40" s="1"/>
  <c r="L680" i="32"/>
  <c r="J59" i="40" s="1"/>
  <c r="L686" i="32"/>
  <c r="J65" i="40" s="1"/>
  <c r="L692" i="32"/>
  <c r="J71" i="40" s="1"/>
  <c r="L696" i="32"/>
  <c r="J75" i="40" s="1"/>
  <c r="L637" i="32"/>
  <c r="J24" i="40" s="1"/>
  <c r="L643" i="32"/>
  <c r="L648" i="32"/>
  <c r="L653" i="32"/>
  <c r="J32" i="40" s="1"/>
  <c r="L659" i="32"/>
  <c r="J38" i="40" s="1"/>
  <c r="L663" i="32"/>
  <c r="J42" i="40" s="1"/>
  <c r="L669" i="32"/>
  <c r="J48" i="40" s="1"/>
  <c r="L675" i="32"/>
  <c r="J54" i="40" s="1"/>
  <c r="L681" i="32"/>
  <c r="J60" i="40" s="1"/>
  <c r="L687" i="32"/>
  <c r="J66" i="40" s="1"/>
  <c r="L693" i="32"/>
  <c r="J72" i="40" s="1"/>
  <c r="L697" i="32"/>
  <c r="J76" i="40" s="1"/>
  <c r="L634" i="32"/>
  <c r="L650" i="32"/>
  <c r="J29" i="40" s="1"/>
  <c r="L660" i="32"/>
  <c r="J39" i="40" s="1"/>
  <c r="L694" i="32"/>
  <c r="J73" i="40" s="1"/>
  <c r="J635" i="32"/>
  <c r="H22" i="40" s="1"/>
  <c r="J640" i="32"/>
  <c r="H27" i="40" s="1"/>
  <c r="J645" i="32"/>
  <c r="J651" i="32"/>
  <c r="H30" i="40" s="1"/>
  <c r="J655" i="32"/>
  <c r="H34" i="40" s="1"/>
  <c r="J661" i="32"/>
  <c r="H40" i="40" s="1"/>
  <c r="J667" i="32"/>
  <c r="H46" i="40" s="1"/>
  <c r="J671" i="32"/>
  <c r="H50" i="40" s="1"/>
  <c r="J678" i="32"/>
  <c r="H57" i="40" s="1"/>
  <c r="J684" i="32"/>
  <c r="H63" i="40" s="1"/>
  <c r="J695" i="32"/>
  <c r="H74" i="40" s="1"/>
  <c r="J646" i="32"/>
  <c r="J662" i="32"/>
  <c r="H41" i="40" s="1"/>
  <c r="J673" i="32"/>
  <c r="H52" i="40" s="1"/>
  <c r="J686" i="32"/>
  <c r="H65" i="40" s="1"/>
  <c r="J696" i="32"/>
  <c r="H75" i="40" s="1"/>
  <c r="J637" i="32"/>
  <c r="H24" i="40" s="1"/>
  <c r="J643" i="32"/>
  <c r="J648" i="32"/>
  <c r="J653" i="32"/>
  <c r="H32" i="40" s="1"/>
  <c r="J659" i="32"/>
  <c r="H38" i="40" s="1"/>
  <c r="J663" i="32"/>
  <c r="H42" i="40" s="1"/>
  <c r="J669" i="32"/>
  <c r="H48" i="40" s="1"/>
  <c r="J675" i="32"/>
  <c r="H54" i="40" s="1"/>
  <c r="J681" i="32"/>
  <c r="H60" i="40" s="1"/>
  <c r="J687" i="32"/>
  <c r="H66" i="40" s="1"/>
  <c r="J693" i="32"/>
  <c r="H72" i="40" s="1"/>
  <c r="J697" i="32"/>
  <c r="H76" i="40" s="1"/>
  <c r="J690" i="32"/>
  <c r="H69" i="40" s="1"/>
  <c r="J636" i="32"/>
  <c r="J642" i="32"/>
  <c r="J652" i="32"/>
  <c r="H31" i="40" s="1"/>
  <c r="J657" i="32"/>
  <c r="H36" i="40" s="1"/>
  <c r="J668" i="32"/>
  <c r="H47" i="40" s="1"/>
  <c r="J692" i="32"/>
  <c r="H71" i="40" s="1"/>
  <c r="J634" i="32"/>
  <c r="J650" i="32"/>
  <c r="H29" i="40" s="1"/>
  <c r="J660" i="32"/>
  <c r="H39" i="40" s="1"/>
  <c r="J694" i="32"/>
  <c r="H73" i="40" s="1"/>
  <c r="H634" i="32"/>
  <c r="H638" i="32"/>
  <c r="H670" i="32"/>
  <c r="F49" i="40" s="1"/>
  <c r="H688" i="32"/>
  <c r="F67" i="40" s="1"/>
  <c r="H635" i="32"/>
  <c r="F22" i="40" s="1"/>
  <c r="H640" i="32"/>
  <c r="F27" i="40" s="1"/>
  <c r="H645" i="32"/>
  <c r="H651" i="32"/>
  <c r="F30" i="40" s="1"/>
  <c r="H655" i="32"/>
  <c r="F34" i="40" s="1"/>
  <c r="H661" i="32"/>
  <c r="F40" i="40" s="1"/>
  <c r="H667" i="32"/>
  <c r="F46" i="40" s="1"/>
  <c r="H671" i="32"/>
  <c r="F50" i="40" s="1"/>
  <c r="H678" i="32"/>
  <c r="F57" i="40" s="1"/>
  <c r="H690" i="32"/>
  <c r="F69" i="40" s="1"/>
  <c r="H695" i="32"/>
  <c r="F74" i="40" s="1"/>
  <c r="H636" i="32"/>
  <c r="H642" i="32"/>
  <c r="H646" i="32"/>
  <c r="H652" i="32"/>
  <c r="F31" i="40" s="1"/>
  <c r="H657" i="32"/>
  <c r="F36" i="40" s="1"/>
  <c r="H662" i="32"/>
  <c r="F41" i="40" s="1"/>
  <c r="H668" i="32"/>
  <c r="F47" i="40" s="1"/>
  <c r="H673" i="32"/>
  <c r="F52" i="40" s="1"/>
  <c r="H680" i="32"/>
  <c r="F59" i="40" s="1"/>
  <c r="H686" i="32"/>
  <c r="F65" i="40" s="1"/>
  <c r="H692" i="32"/>
  <c r="F71" i="40" s="1"/>
  <c r="H696" i="32"/>
  <c r="F75" i="40" s="1"/>
  <c r="H643" i="32"/>
  <c r="H659" i="32"/>
  <c r="F38" i="40" s="1"/>
  <c r="H693" i="32"/>
  <c r="F72" i="40" s="1"/>
  <c r="R123" i="32"/>
  <c r="P37" i="32"/>
  <c r="P65" i="32"/>
  <c r="P86" i="32"/>
  <c r="P114" i="32"/>
  <c r="P121" i="32"/>
  <c r="P142" i="32"/>
  <c r="P149" i="32"/>
  <c r="P170" i="32"/>
  <c r="P181" i="32"/>
  <c r="P211" i="32"/>
  <c r="P240" i="32"/>
  <c r="T6" i="64" l="1"/>
  <c r="AJ6" i="64" s="1"/>
  <c r="T12" i="41"/>
  <c r="R12" i="41"/>
  <c r="L12" i="39"/>
  <c r="T33" i="32" s="1"/>
  <c r="O11" i="40"/>
  <c r="T6" i="59"/>
  <c r="AJ6" i="59" s="1"/>
  <c r="H84" i="60"/>
  <c r="F25" i="40"/>
  <c r="AB71" i="64"/>
  <c r="L25" i="40"/>
  <c r="AB71" i="60"/>
  <c r="L23" i="40"/>
  <c r="U71" i="60"/>
  <c r="AO93" i="59"/>
  <c r="AJ93" i="59" s="1"/>
  <c r="AP93" i="59" s="1"/>
  <c r="BZ72" i="59"/>
  <c r="G72" i="59"/>
  <c r="AJ72" i="59" s="1"/>
  <c r="H70" i="59"/>
  <c r="AO94" i="59"/>
  <c r="AJ94" i="59" s="1"/>
  <c r="AP94" i="59" s="1"/>
  <c r="V75" i="59"/>
  <c r="K75" i="59"/>
  <c r="G75" i="59" s="1"/>
  <c r="AB75" i="59"/>
  <c r="AE75" i="59"/>
  <c r="U74" i="59"/>
  <c r="E75" i="59"/>
  <c r="BZ75" i="59" s="1"/>
  <c r="AC75" i="59"/>
  <c r="AC46" i="59"/>
  <c r="AJ53" i="59"/>
  <c r="U88" i="60"/>
  <c r="M88" i="60"/>
  <c r="M84" i="60" s="1"/>
  <c r="AP99" i="61"/>
  <c r="AI99" i="61"/>
  <c r="AC77" i="61"/>
  <c r="L77" i="61"/>
  <c r="V77" i="61"/>
  <c r="T77" i="61" s="1"/>
  <c r="M77" i="61"/>
  <c r="AE77" i="61"/>
  <c r="AO93" i="61"/>
  <c r="AJ93" i="61" s="1"/>
  <c r="AP93" i="61" s="1"/>
  <c r="BZ72" i="61"/>
  <c r="G72" i="61"/>
  <c r="AJ72" i="61" s="1"/>
  <c r="H70" i="61"/>
  <c r="BW46" i="61"/>
  <c r="BW18" i="61" s="1"/>
  <c r="BW9" i="61" s="1"/>
  <c r="AH66" i="61" s="1"/>
  <c r="AO53" i="61"/>
  <c r="AO104" i="61"/>
  <c r="AP110" i="62"/>
  <c r="BY110" i="62"/>
  <c r="AI110" i="62"/>
  <c r="AO103" i="62"/>
  <c r="AJ103" i="62" s="1"/>
  <c r="AP92" i="64"/>
  <c r="BY92" i="64"/>
  <c r="AI92" i="64"/>
  <c r="AO96" i="64"/>
  <c r="AJ96" i="64" s="1"/>
  <c r="AP96" i="64" s="1"/>
  <c r="AO99" i="64"/>
  <c r="AJ99" i="64" s="1"/>
  <c r="AI99" i="64" s="1"/>
  <c r="AO97" i="64"/>
  <c r="AJ97" i="64" s="1"/>
  <c r="AP97" i="64" s="1"/>
  <c r="AP15" i="64"/>
  <c r="O15" i="64"/>
  <c r="N15" i="64" s="1"/>
  <c r="BY15" i="64"/>
  <c r="BW46" i="64"/>
  <c r="BW18" i="64" s="1"/>
  <c r="BW9" i="64" s="1"/>
  <c r="AH66" i="64" s="1"/>
  <c r="AO53" i="64"/>
  <c r="AO115" i="64"/>
  <c r="AJ115" i="64" s="1"/>
  <c r="AO99" i="60"/>
  <c r="AJ99" i="60" s="1"/>
  <c r="AI99" i="60" s="1"/>
  <c r="E71" i="60"/>
  <c r="BW70" i="60"/>
  <c r="AO71" i="60"/>
  <c r="E73" i="60"/>
  <c r="AE73" i="60"/>
  <c r="K73" i="60"/>
  <c r="V73" i="60"/>
  <c r="AB73" i="60"/>
  <c r="U73" i="60"/>
  <c r="AC73" i="60"/>
  <c r="M73" i="60"/>
  <c r="AO100" i="60"/>
  <c r="AJ100" i="60" s="1"/>
  <c r="AI100" i="60" s="1"/>
  <c r="AO97" i="60"/>
  <c r="AJ97" i="60" s="1"/>
  <c r="AP97" i="60" s="1"/>
  <c r="AO109" i="60"/>
  <c r="AJ109" i="60" s="1"/>
  <c r="U88" i="61"/>
  <c r="V88" i="61"/>
  <c r="V84" i="61" s="1"/>
  <c r="AJ53" i="62"/>
  <c r="AC46" i="62"/>
  <c r="AJ104" i="62"/>
  <c r="AP104" i="62" s="1"/>
  <c r="M88" i="64"/>
  <c r="M84" i="64" s="1"/>
  <c r="AI114" i="64"/>
  <c r="BY114" i="64"/>
  <c r="BW101" i="59"/>
  <c r="AO102" i="59"/>
  <c r="AJ102" i="59" s="1"/>
  <c r="AO116" i="59"/>
  <c r="AJ116" i="59" s="1"/>
  <c r="AP116" i="59" s="1"/>
  <c r="BR13" i="59"/>
  <c r="AO13" i="59" s="1"/>
  <c r="AJ13" i="59" s="1"/>
  <c r="AP13" i="59" s="1"/>
  <c r="AO14" i="59"/>
  <c r="AJ14" i="59" s="1"/>
  <c r="BY26" i="60"/>
  <c r="AP26" i="60"/>
  <c r="AP111" i="60"/>
  <c r="BY111" i="60"/>
  <c r="AI111" i="60"/>
  <c r="AJ108" i="61"/>
  <c r="AP108" i="61" s="1"/>
  <c r="H80" i="61"/>
  <c r="AO111" i="62"/>
  <c r="AJ111" i="62" s="1"/>
  <c r="AO102" i="62"/>
  <c r="AJ102" i="62" s="1"/>
  <c r="AP102" i="62" s="1"/>
  <c r="BW101" i="62"/>
  <c r="BW112" i="64"/>
  <c r="AO113" i="64"/>
  <c r="AJ113" i="64" s="1"/>
  <c r="K88" i="59"/>
  <c r="K84" i="59" s="1"/>
  <c r="AB88" i="59"/>
  <c r="AB84" i="59" s="1"/>
  <c r="BY17" i="61"/>
  <c r="AP17" i="61"/>
  <c r="AI17" i="61"/>
  <c r="AI11" i="61" s="1"/>
  <c r="AI9" i="61" s="1"/>
  <c r="AO107" i="61"/>
  <c r="AJ107" i="61" s="1"/>
  <c r="AP107" i="61" s="1"/>
  <c r="E71" i="62"/>
  <c r="BW70" i="62"/>
  <c r="AO70" i="62" s="1"/>
  <c r="AO71" i="62"/>
  <c r="V78" i="62"/>
  <c r="T78" i="62" s="1"/>
  <c r="AC78" i="62"/>
  <c r="K78" i="62"/>
  <c r="I78" i="62"/>
  <c r="AE78" i="62"/>
  <c r="AO91" i="62"/>
  <c r="AJ91" i="62" s="1"/>
  <c r="BW90" i="62"/>
  <c r="AO96" i="62"/>
  <c r="AJ96" i="62" s="1"/>
  <c r="AP96" i="62"/>
  <c r="AO107" i="64"/>
  <c r="AJ107" i="64" s="1"/>
  <c r="AP107" i="64" s="1"/>
  <c r="BW112" i="60"/>
  <c r="AO113" i="60"/>
  <c r="AJ113" i="60" s="1"/>
  <c r="BR13" i="62"/>
  <c r="AO14" i="62"/>
  <c r="AJ14" i="62" s="1"/>
  <c r="J23" i="40"/>
  <c r="U71" i="61"/>
  <c r="N25" i="40"/>
  <c r="AB71" i="59"/>
  <c r="H25" i="40"/>
  <c r="AB71" i="62"/>
  <c r="J25" i="40"/>
  <c r="AB71" i="61"/>
  <c r="AO97" i="59"/>
  <c r="AJ97" i="59" s="1"/>
  <c r="AP97" i="59"/>
  <c r="E73" i="59"/>
  <c r="AE73" i="59"/>
  <c r="K73" i="59"/>
  <c r="M73" i="59"/>
  <c r="AB73" i="59"/>
  <c r="U73" i="59"/>
  <c r="AC73" i="59"/>
  <c r="V73" i="59"/>
  <c r="AO96" i="59"/>
  <c r="AJ96" i="59" s="1"/>
  <c r="AO98" i="59"/>
  <c r="AJ98" i="59" s="1"/>
  <c r="AP98" i="59" s="1"/>
  <c r="AO91" i="59"/>
  <c r="AJ91" i="59" s="1"/>
  <c r="BW90" i="59"/>
  <c r="AP15" i="59"/>
  <c r="O15" i="59"/>
  <c r="N15" i="59" s="1"/>
  <c r="BY15" i="59"/>
  <c r="BW46" i="59"/>
  <c r="BW18" i="59" s="1"/>
  <c r="BW9" i="59" s="1"/>
  <c r="AH66" i="59" s="1"/>
  <c r="AO53" i="59"/>
  <c r="AI17" i="60"/>
  <c r="AI11" i="60" s="1"/>
  <c r="AI9" i="60" s="1"/>
  <c r="AP17" i="60"/>
  <c r="BY17" i="60"/>
  <c r="K88" i="60"/>
  <c r="K84" i="60" s="1"/>
  <c r="AO110" i="60"/>
  <c r="AJ110" i="60" s="1"/>
  <c r="AP110" i="60" s="1"/>
  <c r="AE76" i="61"/>
  <c r="K76" i="61"/>
  <c r="U75" i="61"/>
  <c r="AC76" i="61"/>
  <c r="V76" i="61"/>
  <c r="T76" i="61" s="1"/>
  <c r="AO96" i="61"/>
  <c r="AJ96" i="61" s="1"/>
  <c r="AP96" i="61" s="1"/>
  <c r="AP97" i="61"/>
  <c r="AI97" i="61"/>
  <c r="BY97" i="61"/>
  <c r="AC75" i="61"/>
  <c r="E75" i="61"/>
  <c r="BZ75" i="61" s="1"/>
  <c r="V75" i="61"/>
  <c r="K75" i="61"/>
  <c r="G75" i="61" s="1"/>
  <c r="AE75" i="61"/>
  <c r="AB75" i="61"/>
  <c r="U74" i="61"/>
  <c r="AO109" i="61"/>
  <c r="AJ109" i="61" s="1"/>
  <c r="AP109" i="61" s="1"/>
  <c r="BY16" i="62"/>
  <c r="AP16" i="62"/>
  <c r="P16" i="62"/>
  <c r="V88" i="62"/>
  <c r="V84" i="62" s="1"/>
  <c r="M88" i="62"/>
  <c r="M84" i="62" s="1"/>
  <c r="AO106" i="62"/>
  <c r="AO107" i="62"/>
  <c r="AJ107" i="62" s="1"/>
  <c r="AP107" i="62" s="1"/>
  <c r="AC74" i="64"/>
  <c r="AB74" i="64"/>
  <c r="K74" i="64"/>
  <c r="G74" i="64" s="1"/>
  <c r="E74" i="64"/>
  <c r="AE74" i="64"/>
  <c r="V74" i="64"/>
  <c r="BZ72" i="64"/>
  <c r="H70" i="64"/>
  <c r="G72" i="64"/>
  <c r="AJ72" i="64" s="1"/>
  <c r="E71" i="64"/>
  <c r="AO71" i="64"/>
  <c r="BW70" i="64"/>
  <c r="E73" i="64"/>
  <c r="K73" i="64"/>
  <c r="M73" i="64"/>
  <c r="AE73" i="64"/>
  <c r="AB73" i="64"/>
  <c r="V73" i="64"/>
  <c r="AC73" i="64"/>
  <c r="U73" i="64"/>
  <c r="AO94" i="64"/>
  <c r="AJ94" i="64" s="1"/>
  <c r="AP16" i="59"/>
  <c r="BY16" i="59"/>
  <c r="P16" i="59"/>
  <c r="AO103" i="59"/>
  <c r="AJ103" i="59" s="1"/>
  <c r="AP103" i="59" s="1"/>
  <c r="K76" i="60"/>
  <c r="V76" i="60"/>
  <c r="T76" i="60" s="1"/>
  <c r="AC76" i="60"/>
  <c r="AE76" i="60"/>
  <c r="U75" i="60"/>
  <c r="AP98" i="60"/>
  <c r="BY98" i="60"/>
  <c r="AI98" i="60"/>
  <c r="V77" i="60"/>
  <c r="T77" i="60" s="1"/>
  <c r="AE77" i="60"/>
  <c r="M77" i="60"/>
  <c r="L77" i="60"/>
  <c r="AC77" i="60"/>
  <c r="V74" i="60"/>
  <c r="AB74" i="60"/>
  <c r="AC74" i="60"/>
  <c r="AE74" i="60"/>
  <c r="K74" i="60"/>
  <c r="G74" i="60" s="1"/>
  <c r="E74" i="60"/>
  <c r="AO115" i="60"/>
  <c r="AJ115" i="60" s="1"/>
  <c r="AP115" i="60"/>
  <c r="AO110" i="61"/>
  <c r="AJ110" i="61" s="1"/>
  <c r="AP110" i="61" s="1"/>
  <c r="BY114" i="61"/>
  <c r="AI114" i="61"/>
  <c r="BW46" i="62"/>
  <c r="BW18" i="62" s="1"/>
  <c r="BW9" i="62" s="1"/>
  <c r="AH66" i="62" s="1"/>
  <c r="AO53" i="62"/>
  <c r="AB88" i="64"/>
  <c r="AB84" i="64" s="1"/>
  <c r="AO110" i="64"/>
  <c r="AJ110" i="64" s="1"/>
  <c r="AO103" i="64"/>
  <c r="AJ103" i="64" s="1"/>
  <c r="AP103" i="64" s="1"/>
  <c r="BY26" i="59"/>
  <c r="AP26" i="59"/>
  <c r="BY26" i="61"/>
  <c r="AP26" i="61"/>
  <c r="AO111" i="61"/>
  <c r="AJ111" i="61" s="1"/>
  <c r="BY116" i="61"/>
  <c r="AI116" i="61"/>
  <c r="AO102" i="64"/>
  <c r="AJ102" i="64" s="1"/>
  <c r="BW101" i="64"/>
  <c r="AO102" i="60"/>
  <c r="AJ102" i="60" s="1"/>
  <c r="BW101" i="60"/>
  <c r="BW112" i="61"/>
  <c r="AO113" i="61"/>
  <c r="AJ113" i="61" s="1"/>
  <c r="AP113" i="61" s="1"/>
  <c r="T6" i="62"/>
  <c r="AJ6" i="62" s="1"/>
  <c r="AJ105" i="62"/>
  <c r="AP105" i="62" s="1"/>
  <c r="BR13" i="64"/>
  <c r="AO13" i="64" s="1"/>
  <c r="AJ13" i="64" s="1"/>
  <c r="AP13" i="64" s="1"/>
  <c r="AO14" i="64"/>
  <c r="AJ14" i="64" s="1"/>
  <c r="M88" i="59"/>
  <c r="M84" i="59" s="1"/>
  <c r="U88" i="59"/>
  <c r="AP114" i="59"/>
  <c r="BY114" i="59"/>
  <c r="AI114" i="59"/>
  <c r="AO106" i="61"/>
  <c r="AO103" i="61"/>
  <c r="AJ103" i="61" s="1"/>
  <c r="AP103" i="61" s="1"/>
  <c r="AO94" i="62"/>
  <c r="AJ94" i="62" s="1"/>
  <c r="AP94" i="62" s="1"/>
  <c r="AO97" i="62"/>
  <c r="AJ97" i="62" s="1"/>
  <c r="AP97" i="62" s="1"/>
  <c r="V74" i="62"/>
  <c r="AE74" i="62"/>
  <c r="AC74" i="62"/>
  <c r="E74" i="62"/>
  <c r="K74" i="62"/>
  <c r="G74" i="62" s="1"/>
  <c r="AB74" i="62"/>
  <c r="AO95" i="62"/>
  <c r="AJ95" i="62" s="1"/>
  <c r="AP95" i="62" s="1"/>
  <c r="AO100" i="62"/>
  <c r="AJ100" i="62" s="1"/>
  <c r="AP100" i="62"/>
  <c r="AP17" i="64"/>
  <c r="BY17" i="64"/>
  <c r="AI17" i="64"/>
  <c r="AI11" i="64" s="1"/>
  <c r="AI9" i="64" s="1"/>
  <c r="AO111" i="59"/>
  <c r="AJ111" i="59" s="1"/>
  <c r="AJ108" i="62"/>
  <c r="AP108" i="62" s="1"/>
  <c r="AO12" i="64"/>
  <c r="AJ12" i="64" s="1"/>
  <c r="AO105" i="64"/>
  <c r="AJ105" i="64" s="1"/>
  <c r="N23" i="40"/>
  <c r="U71" i="59"/>
  <c r="F23" i="40"/>
  <c r="U71" i="64"/>
  <c r="H23" i="40"/>
  <c r="U71" i="62"/>
  <c r="AC76" i="59"/>
  <c r="K76" i="59"/>
  <c r="AE76" i="59"/>
  <c r="U75" i="59"/>
  <c r="V76" i="59"/>
  <c r="T76" i="59" s="1"/>
  <c r="AO92" i="59"/>
  <c r="AJ92" i="59" s="1"/>
  <c r="AE74" i="59"/>
  <c r="E74" i="59"/>
  <c r="AB74" i="59"/>
  <c r="AC74" i="59"/>
  <c r="K74" i="59"/>
  <c r="G74" i="59" s="1"/>
  <c r="V74" i="59"/>
  <c r="AP95" i="59"/>
  <c r="BY95" i="59"/>
  <c r="AI95" i="59"/>
  <c r="AB88" i="60"/>
  <c r="AB84" i="60" s="1"/>
  <c r="AO106" i="60"/>
  <c r="AO103" i="60"/>
  <c r="AJ103" i="60" s="1"/>
  <c r="AP103" i="60" s="1"/>
  <c r="AO95" i="61"/>
  <c r="AJ95" i="61" s="1"/>
  <c r="BW90" i="61"/>
  <c r="AO91" i="61"/>
  <c r="AJ91" i="61" s="1"/>
  <c r="E71" i="61"/>
  <c r="BW70" i="61"/>
  <c r="AO71" i="61"/>
  <c r="AO92" i="61"/>
  <c r="AJ92" i="61" s="1"/>
  <c r="AP92" i="61" s="1"/>
  <c r="AO94" i="61"/>
  <c r="AJ94" i="61" s="1"/>
  <c r="AP94" i="61" s="1"/>
  <c r="BY15" i="61"/>
  <c r="O15" i="61"/>
  <c r="N15" i="61" s="1"/>
  <c r="AP15" i="61"/>
  <c r="AJ53" i="61"/>
  <c r="BY53" i="61" s="1"/>
  <c r="AC46" i="61"/>
  <c r="AO115" i="61"/>
  <c r="AJ115" i="61" s="1"/>
  <c r="K88" i="62"/>
  <c r="K84" i="62" s="1"/>
  <c r="AB88" i="62"/>
  <c r="AB84" i="62" s="1"/>
  <c r="H84" i="62"/>
  <c r="AO95" i="64"/>
  <c r="AJ95" i="64" s="1"/>
  <c r="AP95" i="64" s="1"/>
  <c r="V78" i="64"/>
  <c r="T78" i="64" s="1"/>
  <c r="I78" i="64"/>
  <c r="AC78" i="64"/>
  <c r="K78" i="64"/>
  <c r="AE78" i="64"/>
  <c r="AE77" i="64"/>
  <c r="V77" i="64"/>
  <c r="T77" i="64" s="1"/>
  <c r="M77" i="64"/>
  <c r="L77" i="64"/>
  <c r="AC77" i="64"/>
  <c r="V76" i="64"/>
  <c r="T76" i="64" s="1"/>
  <c r="AC76" i="64"/>
  <c r="U75" i="64"/>
  <c r="K76" i="64"/>
  <c r="AE76" i="64"/>
  <c r="AO98" i="64"/>
  <c r="AJ98" i="64" s="1"/>
  <c r="AJ53" i="64"/>
  <c r="BY53" i="64" s="1"/>
  <c r="AC46" i="64"/>
  <c r="AJ104" i="64"/>
  <c r="AP104" i="64" s="1"/>
  <c r="AJ107" i="59"/>
  <c r="BZ72" i="60"/>
  <c r="H70" i="60"/>
  <c r="G72" i="60"/>
  <c r="AJ72" i="60" s="1"/>
  <c r="AO95" i="60"/>
  <c r="AJ95" i="60" s="1"/>
  <c r="AB75" i="60"/>
  <c r="U74" i="60"/>
  <c r="T74" i="60" s="1"/>
  <c r="V75" i="60"/>
  <c r="E75" i="60"/>
  <c r="AC75" i="60"/>
  <c r="K75" i="60"/>
  <c r="G75" i="60" s="1"/>
  <c r="AE75" i="60"/>
  <c r="AP92" i="60"/>
  <c r="AI92" i="60"/>
  <c r="BY92" i="60"/>
  <c r="V78" i="60"/>
  <c r="T78" i="60" s="1"/>
  <c r="AC78" i="60"/>
  <c r="I78" i="60"/>
  <c r="K78" i="60"/>
  <c r="AE78" i="60"/>
  <c r="AJ53" i="60"/>
  <c r="AC46" i="60"/>
  <c r="AJ104" i="60"/>
  <c r="K88" i="61"/>
  <c r="K84" i="61" s="1"/>
  <c r="M88" i="61"/>
  <c r="M84" i="61" s="1"/>
  <c r="H84" i="61"/>
  <c r="AP15" i="62"/>
  <c r="BY15" i="62"/>
  <c r="O15" i="62"/>
  <c r="N15" i="62" s="1"/>
  <c r="AP109" i="62"/>
  <c r="AO109" i="62"/>
  <c r="AJ109" i="62" s="1"/>
  <c r="AO115" i="62"/>
  <c r="AJ115" i="62" s="1"/>
  <c r="AP115" i="62" s="1"/>
  <c r="K88" i="64"/>
  <c r="K84" i="64" s="1"/>
  <c r="U88" i="64"/>
  <c r="T6" i="61"/>
  <c r="AJ6" i="61" s="1"/>
  <c r="AO108" i="59"/>
  <c r="AJ108" i="59" s="1"/>
  <c r="AP108" i="59" s="1"/>
  <c r="AO113" i="59"/>
  <c r="AJ113" i="59" s="1"/>
  <c r="AP113" i="59" s="1"/>
  <c r="BW112" i="59"/>
  <c r="T6" i="60"/>
  <c r="AJ6" i="60" s="1"/>
  <c r="AO105" i="60"/>
  <c r="AJ105" i="60" s="1"/>
  <c r="AP105" i="60" s="1"/>
  <c r="BR13" i="61"/>
  <c r="AO14" i="61"/>
  <c r="AJ14" i="61" s="1"/>
  <c r="BY12" i="62"/>
  <c r="AP12" i="62"/>
  <c r="Q12" i="62"/>
  <c r="AO116" i="62"/>
  <c r="AJ116" i="62" s="1"/>
  <c r="AP116" i="62" s="1"/>
  <c r="AO110" i="59"/>
  <c r="AJ110" i="59" s="1"/>
  <c r="AP110" i="59" s="1"/>
  <c r="V88" i="59"/>
  <c r="V84" i="59" s="1"/>
  <c r="AO106" i="59"/>
  <c r="P16" i="61"/>
  <c r="BY16" i="61"/>
  <c r="AP16" i="61"/>
  <c r="AC73" i="62"/>
  <c r="M73" i="62"/>
  <c r="E73" i="62"/>
  <c r="K73" i="62"/>
  <c r="G73" i="62" s="1"/>
  <c r="U73" i="62"/>
  <c r="V73" i="62"/>
  <c r="AE73" i="62"/>
  <c r="AB73" i="62"/>
  <c r="V75" i="62"/>
  <c r="AE75" i="62"/>
  <c r="AC75" i="62"/>
  <c r="K75" i="62"/>
  <c r="G75" i="62" s="1"/>
  <c r="U74" i="62"/>
  <c r="T74" i="62" s="1"/>
  <c r="AB75" i="62"/>
  <c r="E75" i="62"/>
  <c r="K76" i="62"/>
  <c r="AE76" i="62"/>
  <c r="U75" i="62"/>
  <c r="AC76" i="62"/>
  <c r="V76" i="62"/>
  <c r="T76" i="62" s="1"/>
  <c r="AO99" i="62"/>
  <c r="AJ99" i="62" s="1"/>
  <c r="AI99" i="62" s="1"/>
  <c r="H84" i="64"/>
  <c r="BR11" i="59"/>
  <c r="AO12" i="59"/>
  <c r="AJ12" i="59" s="1"/>
  <c r="AO105" i="59"/>
  <c r="AP12" i="61"/>
  <c r="Q12" i="61"/>
  <c r="BY12" i="61"/>
  <c r="BW101" i="61"/>
  <c r="AO102" i="61"/>
  <c r="AJ102" i="61" s="1"/>
  <c r="AI102" i="61" s="1"/>
  <c r="V77" i="59"/>
  <c r="T77" i="59" s="1"/>
  <c r="AE77" i="59"/>
  <c r="M77" i="59"/>
  <c r="AC77" i="59"/>
  <c r="L77" i="59"/>
  <c r="AO100" i="59"/>
  <c r="AJ100" i="59" s="1"/>
  <c r="AI100" i="59" s="1"/>
  <c r="AE78" i="59"/>
  <c r="V78" i="59"/>
  <c r="T78" i="59" s="1"/>
  <c r="I78" i="59"/>
  <c r="AC78" i="59"/>
  <c r="K78" i="59"/>
  <c r="E71" i="59"/>
  <c r="AO71" i="59"/>
  <c r="BW70" i="59"/>
  <c r="AO99" i="59"/>
  <c r="AJ99" i="59" s="1"/>
  <c r="AI99" i="59" s="1"/>
  <c r="AO109" i="59"/>
  <c r="AJ109" i="59" s="1"/>
  <c r="AO104" i="59"/>
  <c r="AJ104" i="59" s="1"/>
  <c r="AP104" i="59"/>
  <c r="AO115" i="59"/>
  <c r="AJ115" i="59" s="1"/>
  <c r="BY16" i="60"/>
  <c r="AP16" i="60"/>
  <c r="P16" i="60"/>
  <c r="V88" i="60"/>
  <c r="V84" i="60" s="1"/>
  <c r="AO107" i="60"/>
  <c r="AJ107" i="60" s="1"/>
  <c r="AP107" i="60" s="1"/>
  <c r="E73" i="61"/>
  <c r="V73" i="61"/>
  <c r="AC73" i="61"/>
  <c r="U73" i="61"/>
  <c r="K73" i="61"/>
  <c r="AE73" i="61"/>
  <c r="M73" i="61"/>
  <c r="AB73" i="61"/>
  <c r="AB74" i="61"/>
  <c r="AE74" i="61"/>
  <c r="V74" i="61"/>
  <c r="E74" i="61"/>
  <c r="K74" i="61"/>
  <c r="G74" i="61" s="1"/>
  <c r="AC74" i="61"/>
  <c r="AC78" i="61"/>
  <c r="AE78" i="61"/>
  <c r="V78" i="61"/>
  <c r="T78" i="61" s="1"/>
  <c r="K78" i="61"/>
  <c r="I78" i="61"/>
  <c r="AP100" i="61"/>
  <c r="AI100" i="61"/>
  <c r="AO98" i="61"/>
  <c r="AJ98" i="61" s="1"/>
  <c r="AP98" i="61" s="1"/>
  <c r="BY17" i="62"/>
  <c r="AP17" i="62"/>
  <c r="AI17" i="62"/>
  <c r="AI11" i="62" s="1"/>
  <c r="AI9" i="62" s="1"/>
  <c r="U88" i="62"/>
  <c r="K75" i="64"/>
  <c r="G75" i="64" s="1"/>
  <c r="AE75" i="64"/>
  <c r="AB75" i="64"/>
  <c r="U74" i="64"/>
  <c r="AC75" i="64"/>
  <c r="E75" i="64"/>
  <c r="V75" i="64"/>
  <c r="AO100" i="64"/>
  <c r="AJ100" i="64" s="1"/>
  <c r="AI100" i="64" s="1"/>
  <c r="AO91" i="64"/>
  <c r="AJ91" i="64" s="1"/>
  <c r="BW90" i="64"/>
  <c r="AO93" i="64"/>
  <c r="AJ93" i="64" s="1"/>
  <c r="AP93" i="64" s="1"/>
  <c r="AO109" i="64"/>
  <c r="AJ109" i="64" s="1"/>
  <c r="BY17" i="59"/>
  <c r="AI17" i="59"/>
  <c r="AI11" i="59" s="1"/>
  <c r="AI9" i="59" s="1"/>
  <c r="AP17" i="59"/>
  <c r="AO91" i="60"/>
  <c r="AJ91" i="60" s="1"/>
  <c r="BW90" i="60"/>
  <c r="AP94" i="60"/>
  <c r="BY94" i="60"/>
  <c r="AI94" i="60"/>
  <c r="AO96" i="60"/>
  <c r="AJ96" i="60" s="1"/>
  <c r="AP96" i="60" s="1"/>
  <c r="AO93" i="60"/>
  <c r="AJ93" i="60" s="1"/>
  <c r="AP93" i="60" s="1"/>
  <c r="BW46" i="60"/>
  <c r="BW18" i="60" s="1"/>
  <c r="BW9" i="60" s="1"/>
  <c r="AH66" i="60" s="1"/>
  <c r="AO53" i="60"/>
  <c r="AB88" i="61"/>
  <c r="AB84" i="61" s="1"/>
  <c r="V88" i="64"/>
  <c r="V84" i="64" s="1"/>
  <c r="AP114" i="64"/>
  <c r="AO105" i="61"/>
  <c r="AJ105" i="61" s="1"/>
  <c r="BW112" i="62"/>
  <c r="AO113" i="62"/>
  <c r="AJ113" i="62" s="1"/>
  <c r="AP113" i="62" s="1"/>
  <c r="AO111" i="64"/>
  <c r="AJ111" i="64" s="1"/>
  <c r="AP111" i="64" s="1"/>
  <c r="H80" i="59"/>
  <c r="AO12" i="60"/>
  <c r="AJ12" i="60" s="1"/>
  <c r="AO116" i="60"/>
  <c r="AJ116" i="60" s="1"/>
  <c r="AP116" i="60" s="1"/>
  <c r="BY26" i="62"/>
  <c r="AP26" i="62"/>
  <c r="AJ108" i="64"/>
  <c r="AP108" i="64" s="1"/>
  <c r="H80" i="64"/>
  <c r="H84" i="59"/>
  <c r="O15" i="60"/>
  <c r="N15" i="60" s="1"/>
  <c r="AP15" i="60"/>
  <c r="BY15" i="60"/>
  <c r="V77" i="62"/>
  <c r="T77" i="62" s="1"/>
  <c r="L77" i="62"/>
  <c r="AC77" i="62"/>
  <c r="AE77" i="62"/>
  <c r="M77" i="62"/>
  <c r="BZ72" i="62"/>
  <c r="H70" i="62"/>
  <c r="G72" i="62"/>
  <c r="AJ72" i="62" s="1"/>
  <c r="AO98" i="62"/>
  <c r="AJ98" i="62" s="1"/>
  <c r="AP98" i="62" s="1"/>
  <c r="AO93" i="62"/>
  <c r="AJ93" i="62" s="1"/>
  <c r="AP93" i="62" s="1"/>
  <c r="AO92" i="62"/>
  <c r="AJ92" i="62" s="1"/>
  <c r="AP92" i="62" s="1"/>
  <c r="P16" i="64"/>
  <c r="AP16" i="64"/>
  <c r="BY16" i="64"/>
  <c r="AO106" i="64"/>
  <c r="BR13" i="60"/>
  <c r="AO13" i="60" s="1"/>
  <c r="AJ13" i="60" s="1"/>
  <c r="AP13" i="60" s="1"/>
  <c r="AO14" i="60"/>
  <c r="AJ14" i="60" s="1"/>
  <c r="AJ108" i="60"/>
  <c r="BY26" i="64"/>
  <c r="AP26" i="64"/>
  <c r="AO114" i="51"/>
  <c r="AJ114" i="51" s="1"/>
  <c r="AP114" i="51" s="1"/>
  <c r="BW109" i="51"/>
  <c r="BW53" i="51"/>
  <c r="AC53" i="51"/>
  <c r="BW98" i="33"/>
  <c r="AO98" i="33" s="1"/>
  <c r="AJ98" i="33" s="1"/>
  <c r="BW94" i="33"/>
  <c r="BW76" i="33"/>
  <c r="AO76" i="33" s="1"/>
  <c r="BW73" i="33"/>
  <c r="AO73" i="33" s="1"/>
  <c r="BW97" i="33"/>
  <c r="BW93" i="33"/>
  <c r="BW74" i="33"/>
  <c r="AO74" i="33" s="1"/>
  <c r="BW72" i="33"/>
  <c r="AO72" i="33" s="1"/>
  <c r="H72" i="33" s="1"/>
  <c r="BW100" i="33"/>
  <c r="AO100" i="33" s="1"/>
  <c r="AJ100" i="33" s="1"/>
  <c r="BW96" i="33"/>
  <c r="BW78" i="33"/>
  <c r="AO78" i="33" s="1"/>
  <c r="BW75" i="33"/>
  <c r="AO75" i="33" s="1"/>
  <c r="BW77" i="33"/>
  <c r="BW95" i="33"/>
  <c r="AO110" i="58"/>
  <c r="AJ110" i="58" s="1"/>
  <c r="AO107" i="58"/>
  <c r="AJ107" i="58" s="1"/>
  <c r="AP107" i="58" s="1"/>
  <c r="AO91" i="58"/>
  <c r="AJ91" i="58" s="1"/>
  <c r="AP91" i="58" s="1"/>
  <c r="BW90" i="58"/>
  <c r="AO96" i="58"/>
  <c r="AJ96" i="58" s="1"/>
  <c r="AO97" i="58"/>
  <c r="AJ97" i="58" s="1"/>
  <c r="AP97" i="58" s="1"/>
  <c r="BY104" i="58"/>
  <c r="AI104" i="58"/>
  <c r="T26" i="32"/>
  <c r="P11" i="58"/>
  <c r="P9" i="58" s="1"/>
  <c r="P128" i="58" s="1"/>
  <c r="N16" i="58"/>
  <c r="M88" i="58"/>
  <c r="M84" i="58" s="1"/>
  <c r="E88" i="58"/>
  <c r="BY14" i="58"/>
  <c r="BY13" i="58" s="1"/>
  <c r="AP14" i="58"/>
  <c r="O14" i="58"/>
  <c r="AO108" i="58"/>
  <c r="AJ108" i="58" s="1"/>
  <c r="AP108" i="58" s="1"/>
  <c r="T6" i="58"/>
  <c r="AJ6" i="58" s="1"/>
  <c r="AJ54" i="58"/>
  <c r="BY54" i="58" s="1"/>
  <c r="AD46" i="58"/>
  <c r="AD18" i="58" s="1"/>
  <c r="AD9" i="58" s="1"/>
  <c r="AP111" i="58"/>
  <c r="BY111" i="58"/>
  <c r="AI111" i="58"/>
  <c r="AO98" i="58"/>
  <c r="AJ98" i="58" s="1"/>
  <c r="AP98" i="58" s="1"/>
  <c r="AO99" i="58"/>
  <c r="AJ99" i="58" s="1"/>
  <c r="AI99" i="58" s="1"/>
  <c r="AC73" i="58"/>
  <c r="E73" i="58"/>
  <c r="M73" i="58"/>
  <c r="K73" i="58"/>
  <c r="U73" i="58"/>
  <c r="AB73" i="58"/>
  <c r="AE73" i="58"/>
  <c r="V73" i="58"/>
  <c r="AO100" i="58"/>
  <c r="AJ100" i="58" s="1"/>
  <c r="AI100" i="58" s="1"/>
  <c r="AO53" i="58"/>
  <c r="BW46" i="58"/>
  <c r="BW18" i="58" s="1"/>
  <c r="BW9" i="58" s="1"/>
  <c r="AH66" i="58" s="1"/>
  <c r="AP104" i="58"/>
  <c r="AO115" i="58"/>
  <c r="AJ115" i="58" s="1"/>
  <c r="S88" i="58"/>
  <c r="AD88" i="58"/>
  <c r="Y88" i="58"/>
  <c r="Q88" i="58"/>
  <c r="J88" i="58"/>
  <c r="X88" i="58"/>
  <c r="W88" i="58"/>
  <c r="V88" i="58"/>
  <c r="V84" i="58" s="1"/>
  <c r="BW101" i="58"/>
  <c r="AO95" i="58"/>
  <c r="AJ95" i="58" s="1"/>
  <c r="AP95" i="58" s="1"/>
  <c r="AO94" i="58"/>
  <c r="AJ94" i="58" s="1"/>
  <c r="AP94" i="58" s="1"/>
  <c r="S240" i="32"/>
  <c r="AB88" i="58"/>
  <c r="AB84" i="58" s="1"/>
  <c r="AO106" i="58"/>
  <c r="H84" i="58"/>
  <c r="BY114" i="58"/>
  <c r="AI114" i="58"/>
  <c r="AP12" i="58"/>
  <c r="BY12" i="58"/>
  <c r="Q12" i="58"/>
  <c r="AJ11" i="58"/>
  <c r="AO105" i="58"/>
  <c r="AJ105" i="58" s="1"/>
  <c r="AP105" i="58" s="1"/>
  <c r="AI102" i="58"/>
  <c r="AO116" i="58"/>
  <c r="AJ116" i="58" s="1"/>
  <c r="AP116" i="58" s="1"/>
  <c r="AC74" i="58"/>
  <c r="V74" i="58"/>
  <c r="AB74" i="58"/>
  <c r="AE74" i="58"/>
  <c r="K74" i="58"/>
  <c r="G74" i="58" s="1"/>
  <c r="E74" i="58"/>
  <c r="BZ72" i="58"/>
  <c r="G72" i="58"/>
  <c r="AJ72" i="58" s="1"/>
  <c r="H70" i="58"/>
  <c r="U75" i="58"/>
  <c r="AE76" i="58"/>
  <c r="K76" i="58"/>
  <c r="V76" i="58"/>
  <c r="T76" i="58" s="1"/>
  <c r="AC76" i="58"/>
  <c r="E71" i="58"/>
  <c r="BW70" i="58"/>
  <c r="AO70" i="58" s="1"/>
  <c r="AO71" i="58"/>
  <c r="AC46" i="58"/>
  <c r="AJ53" i="58"/>
  <c r="AC88" i="58"/>
  <c r="AO113" i="58"/>
  <c r="AJ113" i="58" s="1"/>
  <c r="AP113" i="58" s="1"/>
  <c r="BW112" i="58"/>
  <c r="W83" i="58"/>
  <c r="S83" i="58"/>
  <c r="E83" i="58"/>
  <c r="AD83" i="58"/>
  <c r="Y83" i="58"/>
  <c r="X83" i="58"/>
  <c r="Q83" i="58"/>
  <c r="J83" i="58"/>
  <c r="G83" i="58" s="1"/>
  <c r="K88" i="58"/>
  <c r="K84" i="58" s="1"/>
  <c r="U88" i="58"/>
  <c r="AC83" i="58"/>
  <c r="AP114" i="58"/>
  <c r="BR11" i="58"/>
  <c r="AE78" i="58"/>
  <c r="K78" i="58"/>
  <c r="I78" i="58"/>
  <c r="AC78" i="58"/>
  <c r="V78" i="58"/>
  <c r="T78" i="58" s="1"/>
  <c r="AB75" i="58"/>
  <c r="U74" i="58"/>
  <c r="K75" i="58"/>
  <c r="G75" i="58" s="1"/>
  <c r="AC75" i="58"/>
  <c r="V75" i="58"/>
  <c r="E75" i="58"/>
  <c r="AE75" i="58"/>
  <c r="AE77" i="58"/>
  <c r="AC77" i="58"/>
  <c r="L77" i="58"/>
  <c r="V77" i="58"/>
  <c r="T77" i="58" s="1"/>
  <c r="M77" i="58"/>
  <c r="AO92" i="58"/>
  <c r="AJ92" i="58" s="1"/>
  <c r="AO93" i="58"/>
  <c r="AJ93" i="58" s="1"/>
  <c r="AP93" i="58" s="1"/>
  <c r="AO109" i="58"/>
  <c r="AJ109" i="58" s="1"/>
  <c r="AP109" i="58" s="1"/>
  <c r="S121" i="32"/>
  <c r="R30" i="44"/>
  <c r="T202" i="32" s="1"/>
  <c r="T30" i="44"/>
  <c r="V202" i="32" s="1"/>
  <c r="R56" i="44"/>
  <c r="T238" i="32" s="1"/>
  <c r="T56" i="44"/>
  <c r="V238" i="32" s="1"/>
  <c r="N39" i="39"/>
  <c r="V73" i="32" s="1"/>
  <c r="V63" i="32"/>
  <c r="R95" i="32"/>
  <c r="AD82" i="58" s="1"/>
  <c r="N57" i="39"/>
  <c r="V101" i="32" s="1"/>
  <c r="V91" i="32"/>
  <c r="N75" i="39"/>
  <c r="V129" i="32" s="1"/>
  <c r="V119" i="32"/>
  <c r="R39" i="32"/>
  <c r="P23" i="40"/>
  <c r="P25" i="40"/>
  <c r="R17" i="44"/>
  <c r="T179" i="32" s="1"/>
  <c r="T17" i="44"/>
  <c r="V179" i="32" s="1"/>
  <c r="R37" i="44"/>
  <c r="T209" i="32" s="1"/>
  <c r="T37" i="44"/>
  <c r="V209" i="32" s="1"/>
  <c r="R38" i="32"/>
  <c r="S37" i="32"/>
  <c r="N85" i="39"/>
  <c r="V146" i="32" s="1"/>
  <c r="H85" i="51" s="1"/>
  <c r="N28" i="39"/>
  <c r="O57" i="44"/>
  <c r="N67" i="39"/>
  <c r="V118" i="32" s="1"/>
  <c r="L83" i="39"/>
  <c r="T144" i="32" s="1"/>
  <c r="I20" i="41"/>
  <c r="N64" i="39"/>
  <c r="V115" i="32" s="1"/>
  <c r="E33" i="39"/>
  <c r="L46" i="39"/>
  <c r="T87" i="32" s="1"/>
  <c r="H21" i="40"/>
  <c r="H20" i="40"/>
  <c r="J21" i="40"/>
  <c r="J20" i="40"/>
  <c r="P20" i="40"/>
  <c r="P21" i="40"/>
  <c r="L20" i="40"/>
  <c r="N21" i="40"/>
  <c r="N20" i="40"/>
  <c r="F21" i="40"/>
  <c r="F20" i="40"/>
  <c r="L32" i="39"/>
  <c r="L39" i="39" s="1"/>
  <c r="T73" i="32" s="1"/>
  <c r="M57" i="44"/>
  <c r="K33" i="39"/>
  <c r="M14" i="41"/>
  <c r="F33" i="39"/>
  <c r="R94" i="32"/>
  <c r="R141" i="32"/>
  <c r="K18" i="44"/>
  <c r="L47" i="39"/>
  <c r="T88" i="32" s="1"/>
  <c r="L31" i="39"/>
  <c r="T62" i="32" s="1"/>
  <c r="H81" i="33" s="1"/>
  <c r="L29" i="39"/>
  <c r="T60" i="32" s="1"/>
  <c r="K57" i="44"/>
  <c r="O14" i="41"/>
  <c r="R150" i="32"/>
  <c r="Y85" i="58" s="1"/>
  <c r="O6" i="41"/>
  <c r="L68" i="39"/>
  <c r="L75" i="39" s="1"/>
  <c r="T129" i="32" s="1"/>
  <c r="L84" i="39"/>
  <c r="T145" i="32" s="1"/>
  <c r="L50" i="39"/>
  <c r="T91" i="32" s="1"/>
  <c r="L66" i="39"/>
  <c r="T117" i="32" s="1"/>
  <c r="S86" i="32"/>
  <c r="K45" i="39" s="1"/>
  <c r="M38" i="44"/>
  <c r="I18" i="44"/>
  <c r="K6" i="41"/>
  <c r="L30" i="39"/>
  <c r="T61" i="32" s="1"/>
  <c r="S211" i="32"/>
  <c r="S142" i="32"/>
  <c r="K81" i="39" s="1"/>
  <c r="K51" i="39"/>
  <c r="V176" i="32"/>
  <c r="BW104" i="51" s="1"/>
  <c r="R13" i="44"/>
  <c r="T175" i="32" s="1"/>
  <c r="P8" i="44"/>
  <c r="S170" i="32"/>
  <c r="Q8" i="44" s="1"/>
  <c r="R55" i="44"/>
  <c r="T237" i="32" s="1"/>
  <c r="H88" i="33" s="1"/>
  <c r="R66" i="32"/>
  <c r="X81" i="58" s="1"/>
  <c r="S65" i="32"/>
  <c r="R8" i="45"/>
  <c r="T8" i="45"/>
  <c r="V177" i="32"/>
  <c r="R14" i="44"/>
  <c r="T176" i="32" s="1"/>
  <c r="BW104" i="33" s="1"/>
  <c r="T280" i="32"/>
  <c r="BR16" i="33" s="1"/>
  <c r="AO16" i="33" s="1"/>
  <c r="AJ16" i="33" s="1"/>
  <c r="T13" i="45"/>
  <c r="V280" i="32" s="1"/>
  <c r="BR16" i="51" s="1"/>
  <c r="AO16" i="51" s="1"/>
  <c r="AJ16" i="51" s="1"/>
  <c r="T11" i="45"/>
  <c r="V278" i="32" s="1"/>
  <c r="BR15" i="51" s="1"/>
  <c r="AO15" i="51" s="1"/>
  <c r="AJ15" i="51" s="1"/>
  <c r="R11" i="45"/>
  <c r="T278" i="32" s="1"/>
  <c r="BR15" i="33" s="1"/>
  <c r="AO15" i="33" s="1"/>
  <c r="AJ15" i="33" s="1"/>
  <c r="R85" i="32"/>
  <c r="L49" i="39"/>
  <c r="T90" i="32" s="1"/>
  <c r="H82" i="33" s="1"/>
  <c r="R10" i="45"/>
  <c r="T277" i="32" s="1"/>
  <c r="BR14" i="33" s="1"/>
  <c r="T10" i="45"/>
  <c r="V277" i="32" s="1"/>
  <c r="BR14" i="51" s="1"/>
  <c r="R36" i="44"/>
  <c r="T208" i="32" s="1"/>
  <c r="H87" i="33" s="1"/>
  <c r="R67" i="32"/>
  <c r="AD81" i="58" s="1"/>
  <c r="T12" i="45"/>
  <c r="V279" i="32" s="1"/>
  <c r="BR12" i="51" s="1"/>
  <c r="R12" i="45"/>
  <c r="T279" i="32" s="1"/>
  <c r="BR12" i="33" s="1"/>
  <c r="V208" i="32"/>
  <c r="H87" i="51" s="1"/>
  <c r="V237" i="32"/>
  <c r="H88" i="51" s="1"/>
  <c r="R54" i="44"/>
  <c r="T236" i="32" s="1"/>
  <c r="R57" i="32"/>
  <c r="S114" i="32"/>
  <c r="K63" i="39" s="1"/>
  <c r="T8" i="40"/>
  <c r="V282" i="32" s="1"/>
  <c r="V236" i="32"/>
  <c r="R213" i="32"/>
  <c r="AD87" i="58" s="1"/>
  <c r="R113" i="32"/>
  <c r="R203" i="32"/>
  <c r="R169" i="32"/>
  <c r="S181" i="32"/>
  <c r="S149" i="32"/>
  <c r="J27" i="39"/>
  <c r="V178" i="32"/>
  <c r="R15" i="44"/>
  <c r="T177" i="32" s="1"/>
  <c r="R29" i="44"/>
  <c r="T201" i="32" s="1"/>
  <c r="R9" i="45"/>
  <c r="T276" i="32" s="1"/>
  <c r="BR17" i="33" s="1"/>
  <c r="AO17" i="33" s="1"/>
  <c r="AJ17" i="33" s="1"/>
  <c r="T9" i="45"/>
  <c r="V276" i="32" s="1"/>
  <c r="BR17" i="51" s="1"/>
  <c r="AO17" i="51" s="1"/>
  <c r="AJ17" i="51" s="1"/>
  <c r="R16" i="44"/>
  <c r="T178" i="32" s="1"/>
  <c r="U174" i="32"/>
  <c r="L21" i="39"/>
  <c r="T45" i="32" s="1"/>
  <c r="T35" i="32"/>
  <c r="T34" i="32"/>
  <c r="N14" i="39"/>
  <c r="N11" i="39"/>
  <c r="V32" i="32" s="1"/>
  <c r="Q11" i="40"/>
  <c r="N13" i="39"/>
  <c r="V34" i="32" s="1"/>
  <c r="H79" i="51" s="1"/>
  <c r="N12" i="39"/>
  <c r="V33" i="32" s="1"/>
  <c r="L9" i="39"/>
  <c r="T30" i="32" s="1"/>
  <c r="BW114" i="33" s="1"/>
  <c r="AO114" i="33" s="1"/>
  <c r="AJ114" i="33" s="1"/>
  <c r="I12" i="41"/>
  <c r="E69" i="39"/>
  <c r="P212" i="32"/>
  <c r="X87" i="59" s="1"/>
  <c r="O8" i="41"/>
  <c r="I33" i="39"/>
  <c r="M10" i="41"/>
  <c r="G51" i="39"/>
  <c r="M12" i="41"/>
  <c r="G69" i="39"/>
  <c r="M6" i="41"/>
  <c r="G15" i="39"/>
  <c r="P182" i="32"/>
  <c r="P122" i="32"/>
  <c r="S83" i="59" s="1"/>
  <c r="K14" i="41"/>
  <c r="F87" i="39"/>
  <c r="M18" i="44"/>
  <c r="M16" i="41"/>
  <c r="M8" i="41"/>
  <c r="G33" i="39"/>
  <c r="H63" i="39"/>
  <c r="T32" i="32"/>
  <c r="O18" i="44"/>
  <c r="O16" i="41"/>
  <c r="K10" i="41"/>
  <c r="F51" i="39"/>
  <c r="I14" i="41"/>
  <c r="E87" i="39"/>
  <c r="K18" i="41"/>
  <c r="K38" i="44"/>
  <c r="H81" i="39"/>
  <c r="P66" i="32"/>
  <c r="W81" i="59" s="1"/>
  <c r="K12" i="41"/>
  <c r="F69" i="39"/>
  <c r="R183" i="32"/>
  <c r="AD86" i="58" s="1"/>
  <c r="O10" i="41"/>
  <c r="I51" i="39"/>
  <c r="I6" i="41"/>
  <c r="E15" i="39"/>
  <c r="N8" i="44"/>
  <c r="P242" i="32"/>
  <c r="AD88" i="59" s="1"/>
  <c r="P151" i="32"/>
  <c r="AD85" i="59" s="1"/>
  <c r="H45" i="39"/>
  <c r="O38" i="44"/>
  <c r="O18" i="41"/>
  <c r="O12" i="41"/>
  <c r="I69" i="39"/>
  <c r="I18" i="41"/>
  <c r="I38" i="44"/>
  <c r="I10" i="41"/>
  <c r="E51" i="39"/>
  <c r="Q12" i="41"/>
  <c r="K69" i="39"/>
  <c r="T20" i="41"/>
  <c r="V239" i="32" s="1"/>
  <c r="R20" i="41"/>
  <c r="Q16" i="41"/>
  <c r="Q18" i="44"/>
  <c r="Q18" i="41"/>
  <c r="Q38" i="44"/>
  <c r="R182" i="32"/>
  <c r="J86" i="58" s="1"/>
  <c r="G86" i="58" s="1"/>
  <c r="R151" i="32"/>
  <c r="AD85" i="58" s="1"/>
  <c r="V120" i="32"/>
  <c r="T120" i="32"/>
  <c r="N48" i="39"/>
  <c r="L48" i="39"/>
  <c r="Q20" i="41"/>
  <c r="Q57" i="44"/>
  <c r="T10" i="41"/>
  <c r="V92" i="32" s="1"/>
  <c r="R10" i="41"/>
  <c r="T92" i="32" s="1"/>
  <c r="R14" i="41"/>
  <c r="T148" i="32" s="1"/>
  <c r="T14" i="41"/>
  <c r="T6" i="41"/>
  <c r="V36" i="32" s="1"/>
  <c r="R6" i="41"/>
  <c r="T36" i="32" s="1"/>
  <c r="T18" i="41"/>
  <c r="V210" i="32" s="1"/>
  <c r="R18" i="41"/>
  <c r="T210" i="32" s="1"/>
  <c r="N82" i="39"/>
  <c r="L82" i="39"/>
  <c r="J45" i="39"/>
  <c r="Q14" i="41"/>
  <c r="K87" i="39"/>
  <c r="R212" i="32"/>
  <c r="P12" i="44"/>
  <c r="V175" i="32" s="1"/>
  <c r="J81" i="39"/>
  <c r="N65" i="39"/>
  <c r="V116" i="32" s="1"/>
  <c r="L65" i="39"/>
  <c r="N10" i="39"/>
  <c r="V31" i="32" s="1"/>
  <c r="T31" i="32"/>
  <c r="T8" i="41"/>
  <c r="V64" i="32" s="1"/>
  <c r="R8" i="41"/>
  <c r="T64" i="32" s="1"/>
  <c r="Q6" i="41"/>
  <c r="K15" i="39"/>
  <c r="T16" i="41"/>
  <c r="V180" i="32" s="1"/>
  <c r="R16" i="41"/>
  <c r="T180" i="32" s="1"/>
  <c r="R231" i="32"/>
  <c r="P50" i="44"/>
  <c r="N86" i="39"/>
  <c r="L86" i="39"/>
  <c r="J63" i="39"/>
  <c r="R28" i="32"/>
  <c r="J8" i="39"/>
  <c r="P232" i="32"/>
  <c r="S232" i="32" s="1"/>
  <c r="Q50" i="44" s="1"/>
  <c r="P174" i="32"/>
  <c r="S174" i="32" s="1"/>
  <c r="P150" i="32"/>
  <c r="Y85" i="59" s="1"/>
  <c r="P29" i="32"/>
  <c r="P204" i="32"/>
  <c r="S204" i="32" s="1"/>
  <c r="P93" i="32"/>
  <c r="P58" i="32"/>
  <c r="S58" i="32" s="1"/>
  <c r="P39" i="32"/>
  <c r="AD79" i="59" s="1"/>
  <c r="P38" i="32"/>
  <c r="P260" i="32"/>
  <c r="S260" i="32" s="1"/>
  <c r="P241" i="32"/>
  <c r="J88" i="59" s="1"/>
  <c r="G88" i="59" s="1"/>
  <c r="P141" i="32"/>
  <c r="P113" i="32"/>
  <c r="P213" i="32"/>
  <c r="AD87" i="59" s="1"/>
  <c r="P183" i="32"/>
  <c r="AD86" i="59" s="1"/>
  <c r="P123" i="32"/>
  <c r="AD83" i="59" s="1"/>
  <c r="P67" i="32"/>
  <c r="AD81" i="59" s="1"/>
  <c r="N37" i="32"/>
  <c r="N65" i="32"/>
  <c r="N121" i="32"/>
  <c r="N181" i="32"/>
  <c r="N260" i="32"/>
  <c r="T74" i="58" l="1"/>
  <c r="AP100" i="64"/>
  <c r="G73" i="61"/>
  <c r="AP99" i="59"/>
  <c r="W83" i="59"/>
  <c r="W85" i="59"/>
  <c r="BZ73" i="59"/>
  <c r="J81" i="59"/>
  <c r="G81" i="59" s="1"/>
  <c r="X88" i="59"/>
  <c r="Q83" i="59"/>
  <c r="N83" i="59" s="1"/>
  <c r="X85" i="59"/>
  <c r="W87" i="59"/>
  <c r="AP100" i="59"/>
  <c r="AC81" i="59"/>
  <c r="Q87" i="59"/>
  <c r="Q81" i="59"/>
  <c r="Y88" i="59"/>
  <c r="G73" i="60"/>
  <c r="BZ74" i="60"/>
  <c r="AP99" i="60"/>
  <c r="BZ74" i="61"/>
  <c r="T74" i="61"/>
  <c r="BY53" i="62"/>
  <c r="AP99" i="62"/>
  <c r="T75" i="62"/>
  <c r="AP99" i="64"/>
  <c r="E87" i="58"/>
  <c r="W87" i="58"/>
  <c r="AC86" i="59"/>
  <c r="Q86" i="59"/>
  <c r="S86" i="59"/>
  <c r="E86" i="59"/>
  <c r="J86" i="59"/>
  <c r="G86" i="59" s="1"/>
  <c r="W86" i="59"/>
  <c r="T86" i="59" s="1"/>
  <c r="AO90" i="60"/>
  <c r="AP107" i="59"/>
  <c r="AI107" i="59"/>
  <c r="BY107" i="59"/>
  <c r="AI108" i="60"/>
  <c r="BY108" i="60"/>
  <c r="AP108" i="60"/>
  <c r="AI109" i="64"/>
  <c r="BY109" i="64"/>
  <c r="AP109" i="64"/>
  <c r="T73" i="61"/>
  <c r="AJ73" i="61" s="1"/>
  <c r="AO70" i="59"/>
  <c r="BZ76" i="62"/>
  <c r="G76" i="62"/>
  <c r="AJ76" i="62" s="1"/>
  <c r="BY98" i="64"/>
  <c r="AI98" i="64"/>
  <c r="AP98" i="64"/>
  <c r="BY95" i="61"/>
  <c r="AI95" i="61"/>
  <c r="AP95" i="61"/>
  <c r="Q181" i="32"/>
  <c r="BW83" i="59"/>
  <c r="AO83" i="59" s="1"/>
  <c r="P21" i="32"/>
  <c r="Y79" i="59"/>
  <c r="E79" i="59"/>
  <c r="AC79" i="59"/>
  <c r="Q79" i="59"/>
  <c r="X79" i="59"/>
  <c r="W79" i="59"/>
  <c r="S79" i="59"/>
  <c r="J79" i="59"/>
  <c r="P11" i="64"/>
  <c r="P9" i="64" s="1"/>
  <c r="N16" i="64"/>
  <c r="P11" i="60"/>
  <c r="P9" i="60" s="1"/>
  <c r="N16" i="60"/>
  <c r="BY105" i="61"/>
  <c r="AI105" i="61"/>
  <c r="AP105" i="61"/>
  <c r="U84" i="62"/>
  <c r="AI109" i="59"/>
  <c r="BY109" i="59"/>
  <c r="AP109" i="59"/>
  <c r="AP14" i="61"/>
  <c r="O14" i="61"/>
  <c r="BY14" i="61"/>
  <c r="BY13" i="61" s="1"/>
  <c r="BY104" i="60"/>
  <c r="AI104" i="60"/>
  <c r="AP104" i="60"/>
  <c r="AI115" i="61"/>
  <c r="BY115" i="61"/>
  <c r="AP115" i="61"/>
  <c r="E70" i="61"/>
  <c r="BY92" i="59"/>
  <c r="AI92" i="59"/>
  <c r="AP92" i="59"/>
  <c r="BZ76" i="59"/>
  <c r="G76" i="59"/>
  <c r="AJ76" i="59" s="1"/>
  <c r="AC82" i="58"/>
  <c r="J82" i="58"/>
  <c r="G82" i="58" s="1"/>
  <c r="E79" i="58"/>
  <c r="X79" i="58"/>
  <c r="AI95" i="60"/>
  <c r="BY95" i="60"/>
  <c r="AP95" i="60"/>
  <c r="AD84" i="59"/>
  <c r="AP72" i="62"/>
  <c r="BY72" i="62"/>
  <c r="AO90" i="64"/>
  <c r="AI115" i="59"/>
  <c r="BY115" i="59"/>
  <c r="AP115" i="59"/>
  <c r="BY11" i="61"/>
  <c r="Q11" i="62"/>
  <c r="N12" i="62"/>
  <c r="AI105" i="64"/>
  <c r="BY105" i="64"/>
  <c r="AI102" i="64"/>
  <c r="BY111" i="61"/>
  <c r="AI111" i="61"/>
  <c r="N16" i="59"/>
  <c r="P11" i="59"/>
  <c r="P9" i="59" s="1"/>
  <c r="BY72" i="64"/>
  <c r="AP72" i="64"/>
  <c r="BY111" i="62"/>
  <c r="AI111" i="62"/>
  <c r="BY109" i="60"/>
  <c r="AI109" i="60"/>
  <c r="BZ73" i="60"/>
  <c r="BY103" i="62"/>
  <c r="AI103" i="62"/>
  <c r="AP53" i="59"/>
  <c r="BY53" i="59"/>
  <c r="AJ11" i="64"/>
  <c r="BY93" i="62"/>
  <c r="AI93" i="62"/>
  <c r="BY108" i="64"/>
  <c r="AI108" i="64"/>
  <c r="BY113" i="62"/>
  <c r="AI113" i="62"/>
  <c r="AJ112" i="62"/>
  <c r="AI112" i="62" s="1"/>
  <c r="BY93" i="60"/>
  <c r="AI93" i="60"/>
  <c r="BY91" i="60"/>
  <c r="AI91" i="60"/>
  <c r="AJ90" i="60"/>
  <c r="BY91" i="64"/>
  <c r="AI91" i="64"/>
  <c r="AJ90" i="64"/>
  <c r="BZ75" i="64"/>
  <c r="BZ78" i="61"/>
  <c r="G78" i="61"/>
  <c r="AJ78" i="61" s="1"/>
  <c r="I70" i="61"/>
  <c r="BY107" i="60"/>
  <c r="AI107" i="60"/>
  <c r="AE71" i="59"/>
  <c r="AE70" i="59" s="1"/>
  <c r="M71" i="59"/>
  <c r="M70" i="59" s="1"/>
  <c r="K71" i="59"/>
  <c r="AC71" i="59"/>
  <c r="AC70" i="59" s="1"/>
  <c r="V71" i="59"/>
  <c r="V70" i="59" s="1"/>
  <c r="V68" i="59" s="1"/>
  <c r="BZ78" i="59"/>
  <c r="I70" i="59"/>
  <c r="G78" i="59"/>
  <c r="AJ78" i="59" s="1"/>
  <c r="AP102" i="61"/>
  <c r="BY105" i="59"/>
  <c r="AJ105" i="59"/>
  <c r="BZ75" i="62"/>
  <c r="BZ73" i="62"/>
  <c r="AI116" i="62"/>
  <c r="BY116" i="62"/>
  <c r="BR11" i="61"/>
  <c r="AO13" i="61"/>
  <c r="AJ13" i="61" s="1"/>
  <c r="AO112" i="59"/>
  <c r="AI108" i="59"/>
  <c r="BY108" i="59"/>
  <c r="AJ74" i="60"/>
  <c r="AP72" i="60"/>
  <c r="BY72" i="60"/>
  <c r="AI95" i="64"/>
  <c r="BY95" i="64"/>
  <c r="BY92" i="61"/>
  <c r="AI92" i="61"/>
  <c r="AP91" i="61"/>
  <c r="AI91" i="61"/>
  <c r="BY91" i="61"/>
  <c r="AJ90" i="61"/>
  <c r="BZ74" i="59"/>
  <c r="U70" i="64"/>
  <c r="Y83" i="59"/>
  <c r="E85" i="59"/>
  <c r="AP105" i="64"/>
  <c r="BY95" i="62"/>
  <c r="AI95" i="62"/>
  <c r="BY97" i="62"/>
  <c r="AI97" i="62"/>
  <c r="BY105" i="62"/>
  <c r="AI105" i="62"/>
  <c r="BY113" i="61"/>
  <c r="BY112" i="61" s="1"/>
  <c r="AI113" i="61"/>
  <c r="AJ112" i="61"/>
  <c r="AI112" i="61" s="1"/>
  <c r="AP102" i="60"/>
  <c r="AI102" i="60"/>
  <c r="AI115" i="60"/>
  <c r="BY115" i="60"/>
  <c r="BZ77" i="60"/>
  <c r="L70" i="60"/>
  <c r="G77" i="60"/>
  <c r="AJ77" i="60" s="1"/>
  <c r="T73" i="64"/>
  <c r="AO70" i="64"/>
  <c r="BZ74" i="64"/>
  <c r="AB70" i="62"/>
  <c r="AB68" i="62" s="1"/>
  <c r="U70" i="61"/>
  <c r="BR11" i="62"/>
  <c r="AO13" i="62"/>
  <c r="AJ13" i="62" s="1"/>
  <c r="AO112" i="60"/>
  <c r="AI96" i="62"/>
  <c r="BY96" i="62"/>
  <c r="AP113" i="64"/>
  <c r="BY113" i="64"/>
  <c r="AI113" i="64"/>
  <c r="AJ112" i="64"/>
  <c r="AI112" i="64" s="1"/>
  <c r="AO101" i="62"/>
  <c r="AI108" i="61"/>
  <c r="BY108" i="61"/>
  <c r="AC88" i="59"/>
  <c r="AO101" i="59"/>
  <c r="AI104" i="62"/>
  <c r="BY104" i="62"/>
  <c r="AC71" i="60"/>
  <c r="AC70" i="60" s="1"/>
  <c r="V71" i="60"/>
  <c r="V70" i="60" s="1"/>
  <c r="V68" i="60" s="1"/>
  <c r="AE71" i="60"/>
  <c r="AE70" i="60" s="1"/>
  <c r="M71" i="60"/>
  <c r="M70" i="60" s="1"/>
  <c r="K71" i="60"/>
  <c r="AP53" i="64"/>
  <c r="BY93" i="61"/>
  <c r="AI93" i="61"/>
  <c r="BZ77" i="61"/>
  <c r="L70" i="61"/>
  <c r="G77" i="61"/>
  <c r="AJ77" i="61" s="1"/>
  <c r="E81" i="59"/>
  <c r="X81" i="59"/>
  <c r="Y87" i="59"/>
  <c r="Y84" i="59" s="1"/>
  <c r="S88" i="59"/>
  <c r="AC85" i="59"/>
  <c r="X84" i="59"/>
  <c r="AI111" i="59"/>
  <c r="BY111" i="59"/>
  <c r="AO101" i="60"/>
  <c r="AI110" i="64"/>
  <c r="BY110" i="64"/>
  <c r="BZ76" i="60"/>
  <c r="G76" i="60"/>
  <c r="AJ76" i="60" s="1"/>
  <c r="BY91" i="59"/>
  <c r="AI91" i="59"/>
  <c r="AJ90" i="59"/>
  <c r="O14" i="62"/>
  <c r="BY14" i="62"/>
  <c r="BY13" i="62" s="1"/>
  <c r="BY11" i="62" s="1"/>
  <c r="AP14" i="62"/>
  <c r="AI91" i="62"/>
  <c r="BY91" i="62"/>
  <c r="E70" i="62"/>
  <c r="BY115" i="64"/>
  <c r="AI115" i="64"/>
  <c r="T74" i="59"/>
  <c r="AJ74" i="59" s="1"/>
  <c r="T71" i="60"/>
  <c r="U70" i="60"/>
  <c r="T87" i="59"/>
  <c r="P22" i="32"/>
  <c r="BW85" i="59"/>
  <c r="O14" i="60"/>
  <c r="AP14" i="60"/>
  <c r="BY14" i="60"/>
  <c r="BY13" i="60" s="1"/>
  <c r="BZ77" i="62"/>
  <c r="G77" i="62"/>
  <c r="AJ77" i="62" s="1"/>
  <c r="L70" i="62"/>
  <c r="E88" i="59"/>
  <c r="BY12" i="60"/>
  <c r="AP12" i="60"/>
  <c r="Q12" i="60"/>
  <c r="AJ11" i="60"/>
  <c r="AO112" i="62"/>
  <c r="AP112" i="62"/>
  <c r="AC83" i="59"/>
  <c r="BY93" i="64"/>
  <c r="AI93" i="64"/>
  <c r="BY98" i="61"/>
  <c r="AI98" i="61"/>
  <c r="E70" i="59"/>
  <c r="BZ77" i="59"/>
  <c r="G77" i="59"/>
  <c r="AJ77" i="59" s="1"/>
  <c r="L70" i="59"/>
  <c r="N12" i="61"/>
  <c r="Q11" i="61"/>
  <c r="Q12" i="59"/>
  <c r="AP12" i="59"/>
  <c r="BY12" i="59"/>
  <c r="AJ11" i="59"/>
  <c r="AJ75" i="62"/>
  <c r="P11" i="61"/>
  <c r="P9" i="61" s="1"/>
  <c r="N16" i="61"/>
  <c r="AI115" i="62"/>
  <c r="BY115" i="62"/>
  <c r="BZ78" i="60"/>
  <c r="I70" i="60"/>
  <c r="G78" i="60"/>
  <c r="AJ78" i="60" s="1"/>
  <c r="BZ76" i="64"/>
  <c r="G76" i="64"/>
  <c r="AJ76" i="64" s="1"/>
  <c r="BZ78" i="64"/>
  <c r="I70" i="64"/>
  <c r="G78" i="64"/>
  <c r="AJ78" i="64" s="1"/>
  <c r="AE71" i="61"/>
  <c r="AE70" i="61" s="1"/>
  <c r="K71" i="61"/>
  <c r="K70" i="61" s="1"/>
  <c r="M71" i="61"/>
  <c r="V71" i="61"/>
  <c r="T71" i="61" s="1"/>
  <c r="AC71" i="61"/>
  <c r="AC70" i="61" s="1"/>
  <c r="AO90" i="61"/>
  <c r="AP90" i="61"/>
  <c r="BY103" i="60"/>
  <c r="AI103" i="60"/>
  <c r="T75" i="59"/>
  <c r="AJ75" i="59" s="1"/>
  <c r="X83" i="59"/>
  <c r="E83" i="59"/>
  <c r="T71" i="59"/>
  <c r="U70" i="59"/>
  <c r="S85" i="59"/>
  <c r="Q85" i="59"/>
  <c r="AP12" i="64"/>
  <c r="BY12" i="64"/>
  <c r="Q12" i="64"/>
  <c r="AI103" i="61"/>
  <c r="BY103" i="61"/>
  <c r="AO112" i="61"/>
  <c r="AP112" i="61"/>
  <c r="AP102" i="64"/>
  <c r="BY103" i="64"/>
  <c r="AI103" i="64"/>
  <c r="AP53" i="62"/>
  <c r="M71" i="64"/>
  <c r="M70" i="64" s="1"/>
  <c r="V71" i="64"/>
  <c r="V70" i="64" s="1"/>
  <c r="V68" i="64" s="1"/>
  <c r="K71" i="64"/>
  <c r="AE71" i="64"/>
  <c r="AE70" i="64" s="1"/>
  <c r="AC71" i="64"/>
  <c r="AC70" i="64" s="1"/>
  <c r="BY107" i="62"/>
  <c r="AI107" i="62"/>
  <c r="T75" i="61"/>
  <c r="AJ75" i="61" s="1"/>
  <c r="BY110" i="60"/>
  <c r="AI110" i="60"/>
  <c r="BW66" i="59"/>
  <c r="AH68" i="59" s="1"/>
  <c r="AH86" i="59" s="1"/>
  <c r="AH84" i="59" s="1"/>
  <c r="BW5" i="59"/>
  <c r="AO90" i="59"/>
  <c r="AP90" i="59"/>
  <c r="AI98" i="59"/>
  <c r="BY98" i="59"/>
  <c r="G73" i="59"/>
  <c r="BY97" i="59"/>
  <c r="AI97" i="59"/>
  <c r="AP91" i="62"/>
  <c r="BZ78" i="62"/>
  <c r="I70" i="62"/>
  <c r="G78" i="62"/>
  <c r="AJ78" i="62" s="1"/>
  <c r="M71" i="62"/>
  <c r="M70" i="62" s="1"/>
  <c r="AC71" i="62"/>
  <c r="AC70" i="62" s="1"/>
  <c r="V71" i="62"/>
  <c r="V70" i="62" s="1"/>
  <c r="V68" i="62" s="1"/>
  <c r="K71" i="62"/>
  <c r="AE71" i="62"/>
  <c r="AE70" i="62" s="1"/>
  <c r="BY107" i="61"/>
  <c r="AI107" i="61"/>
  <c r="AC87" i="59"/>
  <c r="AO112" i="64"/>
  <c r="AP112" i="64"/>
  <c r="AI102" i="62"/>
  <c r="BY14" i="59"/>
  <c r="BY13" i="59" s="1"/>
  <c r="O14" i="59"/>
  <c r="AP14" i="59"/>
  <c r="BY116" i="59"/>
  <c r="AI116" i="59"/>
  <c r="U84" i="61"/>
  <c r="BY97" i="60"/>
  <c r="AI97" i="60"/>
  <c r="AO70" i="60"/>
  <c r="BW66" i="64"/>
  <c r="AH68" i="64" s="1"/>
  <c r="AH86" i="64" s="1"/>
  <c r="AH84" i="64" s="1"/>
  <c r="AJ104" i="61"/>
  <c r="AP72" i="61"/>
  <c r="BY72" i="61"/>
  <c r="AI94" i="59"/>
  <c r="BY94" i="59"/>
  <c r="S81" i="59"/>
  <c r="E87" i="59"/>
  <c r="J87" i="59"/>
  <c r="G87" i="59" s="1"/>
  <c r="AB70" i="60"/>
  <c r="AB68" i="60" s="1"/>
  <c r="Q88" i="59"/>
  <c r="W88" i="59"/>
  <c r="W84" i="59" s="1"/>
  <c r="T85" i="59"/>
  <c r="AI108" i="62"/>
  <c r="BY108" i="62"/>
  <c r="BZ74" i="62"/>
  <c r="AJ74" i="62"/>
  <c r="U84" i="59"/>
  <c r="T75" i="60"/>
  <c r="BY94" i="64"/>
  <c r="AI94" i="64"/>
  <c r="BZ73" i="64"/>
  <c r="AI96" i="59"/>
  <c r="BY96" i="59"/>
  <c r="AJ112" i="60"/>
  <c r="AI112" i="60" s="1"/>
  <c r="BY113" i="60"/>
  <c r="AI113" i="60"/>
  <c r="AI102" i="59"/>
  <c r="BW66" i="61"/>
  <c r="AH68" i="61" s="1"/>
  <c r="AH86" i="61" s="1"/>
  <c r="AH84" i="61" s="1"/>
  <c r="AP72" i="59"/>
  <c r="BY72" i="59"/>
  <c r="AB70" i="64"/>
  <c r="AB68" i="64" s="1"/>
  <c r="Q37" i="32"/>
  <c r="P94" i="32"/>
  <c r="BW119" i="59" s="1"/>
  <c r="X82" i="59"/>
  <c r="Y82" i="59"/>
  <c r="BY92" i="62"/>
  <c r="AI92" i="62"/>
  <c r="BY98" i="62"/>
  <c r="AI98" i="62"/>
  <c r="BY116" i="60"/>
  <c r="AI116" i="60"/>
  <c r="BR11" i="60"/>
  <c r="BY111" i="64"/>
  <c r="AI111" i="64"/>
  <c r="BW66" i="60"/>
  <c r="AH68" i="60" s="1"/>
  <c r="AH86" i="60" s="1"/>
  <c r="AH84" i="60" s="1"/>
  <c r="BW5" i="60"/>
  <c r="BY96" i="60"/>
  <c r="AI96" i="60"/>
  <c r="AP91" i="60"/>
  <c r="AP91" i="64"/>
  <c r="AJ74" i="61"/>
  <c r="BZ73" i="61"/>
  <c r="AI104" i="59"/>
  <c r="BY104" i="59"/>
  <c r="AO101" i="61"/>
  <c r="AO11" i="59"/>
  <c r="T73" i="62"/>
  <c r="AJ73" i="62" s="1"/>
  <c r="AI110" i="59"/>
  <c r="BY110" i="59"/>
  <c r="BY105" i="60"/>
  <c r="AI105" i="60"/>
  <c r="AI113" i="59"/>
  <c r="BY113" i="59"/>
  <c r="BY112" i="59" s="1"/>
  <c r="AJ112" i="59"/>
  <c r="AI112" i="59" s="1"/>
  <c r="U84" i="64"/>
  <c r="BY109" i="62"/>
  <c r="AI109" i="62"/>
  <c r="AP53" i="60"/>
  <c r="BY53" i="60"/>
  <c r="BZ75" i="60"/>
  <c r="AJ75" i="60"/>
  <c r="AI104" i="64"/>
  <c r="BY104" i="64"/>
  <c r="T75" i="64"/>
  <c r="AJ75" i="64" s="1"/>
  <c r="BZ77" i="64"/>
  <c r="G77" i="64"/>
  <c r="AJ77" i="64" s="1"/>
  <c r="L70" i="64"/>
  <c r="BY94" i="61"/>
  <c r="AI94" i="61"/>
  <c r="AO70" i="61"/>
  <c r="U70" i="62"/>
  <c r="T71" i="62"/>
  <c r="J83" i="59"/>
  <c r="J85" i="59"/>
  <c r="BR11" i="64"/>
  <c r="AP111" i="59"/>
  <c r="AJ90" i="62"/>
  <c r="AI100" i="62"/>
  <c r="BY94" i="62"/>
  <c r="AI94" i="62"/>
  <c r="BY14" i="64"/>
  <c r="BY13" i="64" s="1"/>
  <c r="BY11" i="64" s="1"/>
  <c r="O14" i="64"/>
  <c r="AP14" i="64"/>
  <c r="AO101" i="64"/>
  <c r="AP111" i="61"/>
  <c r="AP110" i="64"/>
  <c r="BW66" i="62"/>
  <c r="AH68" i="62" s="1"/>
  <c r="AH86" i="62" s="1"/>
  <c r="AH84" i="62" s="1"/>
  <c r="BY110" i="61"/>
  <c r="AI110" i="61"/>
  <c r="AI103" i="59"/>
  <c r="BY103" i="59"/>
  <c r="AP94" i="64"/>
  <c r="G73" i="64"/>
  <c r="AJ73" i="64" s="1"/>
  <c r="BZ71" i="64"/>
  <c r="BZ70" i="64" s="1"/>
  <c r="E70" i="64"/>
  <c r="T74" i="64"/>
  <c r="AJ74" i="64" s="1"/>
  <c r="P11" i="62"/>
  <c r="P9" i="62" s="1"/>
  <c r="N16" i="62"/>
  <c r="BY109" i="61"/>
  <c r="AI109" i="61"/>
  <c r="BY96" i="61"/>
  <c r="AI96" i="61"/>
  <c r="BZ76" i="61"/>
  <c r="G76" i="61"/>
  <c r="AJ76" i="61" s="1"/>
  <c r="AP91" i="59"/>
  <c r="AP96" i="59"/>
  <c r="T73" i="59"/>
  <c r="AB70" i="61"/>
  <c r="AB68" i="61" s="1"/>
  <c r="AB70" i="59"/>
  <c r="AB68" i="59" s="1"/>
  <c r="AP113" i="60"/>
  <c r="AI107" i="64"/>
  <c r="BY107" i="64"/>
  <c r="AO90" i="62"/>
  <c r="AP111" i="62"/>
  <c r="AP102" i="59"/>
  <c r="AP109" i="60"/>
  <c r="AP100" i="60"/>
  <c r="T73" i="60"/>
  <c r="AJ73" i="60" s="1"/>
  <c r="E70" i="60"/>
  <c r="AP115" i="64"/>
  <c r="AI97" i="64"/>
  <c r="BY97" i="64"/>
  <c r="AI96" i="64"/>
  <c r="BY96" i="64"/>
  <c r="AP103" i="62"/>
  <c r="AP53" i="61"/>
  <c r="U84" i="60"/>
  <c r="BY93" i="59"/>
  <c r="AI93" i="59"/>
  <c r="Y81" i="59"/>
  <c r="Y80" i="59" s="1"/>
  <c r="S87" i="59"/>
  <c r="N87" i="59" s="1"/>
  <c r="AP54" i="58"/>
  <c r="F86" i="33"/>
  <c r="F84" i="33" s="1"/>
  <c r="F68" i="33" s="1"/>
  <c r="BW106" i="33"/>
  <c r="I86" i="33"/>
  <c r="I84" i="33" s="1"/>
  <c r="BW110" i="33"/>
  <c r="U88" i="33"/>
  <c r="M88" i="33"/>
  <c r="M84" i="33" s="1"/>
  <c r="AB88" i="33"/>
  <c r="AB84" i="33" s="1"/>
  <c r="K88" i="33"/>
  <c r="K84" i="33" s="1"/>
  <c r="V88" i="33"/>
  <c r="V84" i="33" s="1"/>
  <c r="AP16" i="33"/>
  <c r="P16" i="33"/>
  <c r="BY16" i="33"/>
  <c r="AE74" i="33"/>
  <c r="K74" i="33"/>
  <c r="G74" i="33" s="1"/>
  <c r="AB74" i="33"/>
  <c r="E74" i="33"/>
  <c r="V74" i="33"/>
  <c r="AC74" i="33"/>
  <c r="AP114" i="33"/>
  <c r="AI114" i="33"/>
  <c r="BY114" i="33"/>
  <c r="BY17" i="51"/>
  <c r="AI17" i="51"/>
  <c r="AI11" i="51" s="1"/>
  <c r="AI9" i="51" s="1"/>
  <c r="AP17" i="51"/>
  <c r="I86" i="51"/>
  <c r="I84" i="51" s="1"/>
  <c r="BW106" i="51"/>
  <c r="F86" i="51"/>
  <c r="F84" i="51" s="1"/>
  <c r="F68" i="51" s="1"/>
  <c r="BR13" i="33"/>
  <c r="AO13" i="33" s="1"/>
  <c r="AJ13" i="33" s="1"/>
  <c r="AP13" i="33" s="1"/>
  <c r="AO14" i="33"/>
  <c r="AJ14" i="33" s="1"/>
  <c r="BY15" i="51"/>
  <c r="AP15" i="51"/>
  <c r="O15" i="51"/>
  <c r="N15" i="51" s="1"/>
  <c r="AO104" i="33"/>
  <c r="AJ104" i="33" s="1"/>
  <c r="H80" i="33"/>
  <c r="N83" i="58"/>
  <c r="AP100" i="58"/>
  <c r="AB70" i="58"/>
  <c r="AB68" i="58" s="1"/>
  <c r="J79" i="58"/>
  <c r="BZ79" i="58" s="1"/>
  <c r="J87" i="58"/>
  <c r="G87" i="58" s="1"/>
  <c r="AO95" i="33"/>
  <c r="AJ95" i="33" s="1"/>
  <c r="AO96" i="33"/>
  <c r="AJ96" i="33" s="1"/>
  <c r="AP96" i="33" s="1"/>
  <c r="AO93" i="33"/>
  <c r="AJ93" i="33" s="1"/>
  <c r="AP93" i="33" s="1"/>
  <c r="AO94" i="33"/>
  <c r="AJ94" i="33" s="1"/>
  <c r="AP94" i="33" s="1"/>
  <c r="H86" i="51"/>
  <c r="H84" i="51" s="1"/>
  <c r="BW108" i="51"/>
  <c r="BW105" i="33"/>
  <c r="AO12" i="33"/>
  <c r="AJ12" i="33" s="1"/>
  <c r="BR13" i="51"/>
  <c r="AO13" i="51" s="1"/>
  <c r="AJ13" i="51" s="1"/>
  <c r="AP13" i="51" s="1"/>
  <c r="AO14" i="51"/>
  <c r="AJ14" i="51" s="1"/>
  <c r="AC76" i="33"/>
  <c r="AE76" i="33"/>
  <c r="V76" i="33"/>
  <c r="T76" i="33" s="1"/>
  <c r="K76" i="33"/>
  <c r="U75" i="33"/>
  <c r="AO109" i="51"/>
  <c r="AJ109" i="51" s="1"/>
  <c r="AP109" i="51" s="1"/>
  <c r="BY17" i="33"/>
  <c r="AI17" i="33"/>
  <c r="AI11" i="33" s="1"/>
  <c r="AI9" i="33" s="1"/>
  <c r="AP17" i="33"/>
  <c r="BW105" i="51"/>
  <c r="H86" i="33"/>
  <c r="BW108" i="33"/>
  <c r="BW54" i="51"/>
  <c r="AO54" i="51" s="1"/>
  <c r="BW111" i="51"/>
  <c r="AJ112" i="58"/>
  <c r="AI112" i="58" s="1"/>
  <c r="W85" i="58"/>
  <c r="U70" i="58"/>
  <c r="Y79" i="58"/>
  <c r="Q87" i="58"/>
  <c r="AO77" i="33"/>
  <c r="K75" i="33"/>
  <c r="G75" i="33" s="1"/>
  <c r="AC75" i="33"/>
  <c r="AE75" i="33"/>
  <c r="U74" i="33"/>
  <c r="V75" i="33"/>
  <c r="AB75" i="33"/>
  <c r="E75" i="33"/>
  <c r="AP100" i="33"/>
  <c r="AI100" i="33"/>
  <c r="AO97" i="33"/>
  <c r="AJ97" i="33" s="1"/>
  <c r="AP97" i="33" s="1"/>
  <c r="AP98" i="33"/>
  <c r="AI98" i="33"/>
  <c r="BY98" i="33"/>
  <c r="AJ53" i="51"/>
  <c r="AC46" i="51"/>
  <c r="AI114" i="51"/>
  <c r="BY114" i="51"/>
  <c r="AP15" i="33"/>
  <c r="O15" i="33"/>
  <c r="N15" i="33" s="1"/>
  <c r="BY15" i="33"/>
  <c r="BW126" i="58"/>
  <c r="BW107" i="33"/>
  <c r="AO107" i="33" s="1"/>
  <c r="AJ107" i="33" s="1"/>
  <c r="H79" i="33"/>
  <c r="BW53" i="33"/>
  <c r="BW109" i="33"/>
  <c r="AC53" i="33"/>
  <c r="BW110" i="51"/>
  <c r="AO110" i="51" s="1"/>
  <c r="AJ110" i="51" s="1"/>
  <c r="AB88" i="51"/>
  <c r="AB84" i="51" s="1"/>
  <c r="U88" i="51"/>
  <c r="M88" i="51"/>
  <c r="M84" i="51" s="1"/>
  <c r="K88" i="51"/>
  <c r="K84" i="51" s="1"/>
  <c r="V88" i="51"/>
  <c r="V84" i="51" s="1"/>
  <c r="AP16" i="51"/>
  <c r="P16" i="51"/>
  <c r="BY16" i="51"/>
  <c r="AO104" i="51"/>
  <c r="AJ104" i="51" s="1"/>
  <c r="BW54" i="33"/>
  <c r="AO54" i="33" s="1"/>
  <c r="BW111" i="33"/>
  <c r="E85" i="58"/>
  <c r="Y82" i="58"/>
  <c r="G73" i="58"/>
  <c r="AP99" i="58"/>
  <c r="S87" i="58"/>
  <c r="N87" i="58" s="1"/>
  <c r="AE78" i="33"/>
  <c r="K78" i="33"/>
  <c r="I78" i="33"/>
  <c r="AC78" i="33"/>
  <c r="V78" i="33"/>
  <c r="T78" i="33" s="1"/>
  <c r="BZ72" i="33"/>
  <c r="G72" i="33"/>
  <c r="AJ72" i="33" s="1"/>
  <c r="H70" i="33"/>
  <c r="E73" i="33"/>
  <c r="AB73" i="33"/>
  <c r="AC73" i="33"/>
  <c r="AE73" i="33"/>
  <c r="K73" i="33"/>
  <c r="U73" i="33"/>
  <c r="V73" i="33"/>
  <c r="M73" i="33"/>
  <c r="AO53" i="51"/>
  <c r="BW46" i="51"/>
  <c r="BW18" i="51" s="1"/>
  <c r="BW9" i="51" s="1"/>
  <c r="AH66" i="51" s="1"/>
  <c r="BW95" i="51"/>
  <c r="BW75" i="51"/>
  <c r="AO75" i="51" s="1"/>
  <c r="BW72" i="51"/>
  <c r="AO72" i="51" s="1"/>
  <c r="H72" i="51" s="1"/>
  <c r="BW98" i="51"/>
  <c r="AO98" i="51" s="1"/>
  <c r="AJ98" i="51" s="1"/>
  <c r="BW94" i="51"/>
  <c r="BW78" i="51"/>
  <c r="AO78" i="51" s="1"/>
  <c r="BW74" i="51"/>
  <c r="AO74" i="51" s="1"/>
  <c r="BW96" i="51"/>
  <c r="BW73" i="51"/>
  <c r="AO73" i="51" s="1"/>
  <c r="BW97" i="51"/>
  <c r="BW93" i="51"/>
  <c r="BW77" i="51"/>
  <c r="AO77" i="51" s="1"/>
  <c r="BW100" i="51"/>
  <c r="BW76" i="51"/>
  <c r="AO76" i="51" s="1"/>
  <c r="AO12" i="51"/>
  <c r="AJ12" i="51" s="1"/>
  <c r="H83" i="51"/>
  <c r="BW107" i="51"/>
  <c r="AO126" i="58"/>
  <c r="AJ126" i="58" s="1"/>
  <c r="AP126" i="58" s="1"/>
  <c r="AD84" i="58"/>
  <c r="AI92" i="58"/>
  <c r="BY92" i="58"/>
  <c r="BY96" i="58"/>
  <c r="AI96" i="58"/>
  <c r="E81" i="58"/>
  <c r="BW87" i="58"/>
  <c r="AO87" i="58" s="1"/>
  <c r="R24" i="32"/>
  <c r="BW81" i="58"/>
  <c r="AO81" i="58" s="1"/>
  <c r="R19" i="32"/>
  <c r="BW118" i="58"/>
  <c r="AC79" i="58"/>
  <c r="AP72" i="58"/>
  <c r="BY72" i="58"/>
  <c r="X85" i="58"/>
  <c r="S85" i="58"/>
  <c r="W86" i="58"/>
  <c r="T86" i="58" s="1"/>
  <c r="BY95" i="58"/>
  <c r="AI95" i="58"/>
  <c r="T73" i="58"/>
  <c r="BY98" i="58"/>
  <c r="AI98" i="58"/>
  <c r="BE8" i="58"/>
  <c r="BW124" i="58"/>
  <c r="AO124" i="58" s="1"/>
  <c r="AD79" i="58"/>
  <c r="S79" i="58"/>
  <c r="AD80" i="58"/>
  <c r="R25" i="32"/>
  <c r="BW88" i="58"/>
  <c r="AO88" i="58" s="1"/>
  <c r="BW83" i="58"/>
  <c r="AO83" i="58" s="1"/>
  <c r="R21" i="32"/>
  <c r="AC85" i="58"/>
  <c r="BY93" i="58"/>
  <c r="AI93" i="58"/>
  <c r="BZ83" i="58"/>
  <c r="AO112" i="58"/>
  <c r="BY53" i="58"/>
  <c r="AP53" i="58"/>
  <c r="E70" i="58"/>
  <c r="BY116" i="58"/>
  <c r="AI116" i="58"/>
  <c r="BY105" i="58"/>
  <c r="AI105" i="58"/>
  <c r="BY11" i="58"/>
  <c r="Q85" i="58"/>
  <c r="Q86" i="58"/>
  <c r="E86" i="58"/>
  <c r="AO101" i="58"/>
  <c r="Q82" i="58"/>
  <c r="E82" i="58"/>
  <c r="BW66" i="58"/>
  <c r="AH68" i="58" s="1"/>
  <c r="AH86" i="58" s="1"/>
  <c r="AH84" i="58" s="1"/>
  <c r="N14" i="58"/>
  <c r="N13" i="58" s="1"/>
  <c r="O13" i="58"/>
  <c r="O11" i="58" s="1"/>
  <c r="O9" i="58" s="1"/>
  <c r="O128" i="58" s="1"/>
  <c r="BZ88" i="58"/>
  <c r="BY97" i="58"/>
  <c r="AI97" i="58"/>
  <c r="AI107" i="58"/>
  <c r="BY107" i="58"/>
  <c r="W79" i="58"/>
  <c r="BW119" i="58"/>
  <c r="BW125" i="58"/>
  <c r="AO125" i="58" s="1"/>
  <c r="BW122" i="58"/>
  <c r="S81" i="58"/>
  <c r="J81" i="58"/>
  <c r="X87" i="58"/>
  <c r="R23" i="32"/>
  <c r="BW86" i="58"/>
  <c r="AO86" i="58" s="1"/>
  <c r="R22" i="32"/>
  <c r="BW85" i="58"/>
  <c r="T83" i="58"/>
  <c r="AJ83" i="58" s="1"/>
  <c r="V71" i="58"/>
  <c r="K71" i="58"/>
  <c r="AE71" i="58"/>
  <c r="AE70" i="58" s="1"/>
  <c r="AC71" i="58"/>
  <c r="AC70" i="58" s="1"/>
  <c r="M71" i="58"/>
  <c r="M70" i="58" s="1"/>
  <c r="S86" i="58"/>
  <c r="BY115" i="58"/>
  <c r="AI115" i="58"/>
  <c r="BZ73" i="58"/>
  <c r="AJ73" i="58"/>
  <c r="BY110" i="58"/>
  <c r="AI110" i="58"/>
  <c r="Q81" i="58"/>
  <c r="R18" i="32"/>
  <c r="BW79" i="58"/>
  <c r="AO79" i="58" s="1"/>
  <c r="AC86" i="58"/>
  <c r="BZ76" i="58"/>
  <c r="G76" i="58"/>
  <c r="AJ76" i="58" s="1"/>
  <c r="N12" i="58"/>
  <c r="Q11" i="58"/>
  <c r="AC81" i="58"/>
  <c r="X82" i="58"/>
  <c r="X80" i="58" s="1"/>
  <c r="AI108" i="58"/>
  <c r="BY108" i="58"/>
  <c r="G79" i="58"/>
  <c r="AO90" i="58"/>
  <c r="BW120" i="58"/>
  <c r="BW121" i="58"/>
  <c r="Y81" i="58"/>
  <c r="Y80" i="58" s="1"/>
  <c r="V26" i="32"/>
  <c r="R20" i="32"/>
  <c r="BW82" i="58"/>
  <c r="AI109" i="58"/>
  <c r="BY109" i="58"/>
  <c r="AP92" i="58"/>
  <c r="BZ77" i="58"/>
  <c r="G77" i="58"/>
  <c r="AJ77" i="58" s="1"/>
  <c r="L70" i="58"/>
  <c r="BZ75" i="58"/>
  <c r="BZ78" i="58"/>
  <c r="I70" i="58"/>
  <c r="G78" i="58"/>
  <c r="AJ78" i="58" s="1"/>
  <c r="AO11" i="58"/>
  <c r="U84" i="58"/>
  <c r="T88" i="58"/>
  <c r="AI113" i="58"/>
  <c r="BY113" i="58"/>
  <c r="T75" i="58"/>
  <c r="AJ75" i="58" s="1"/>
  <c r="BZ74" i="58"/>
  <c r="AJ74" i="58"/>
  <c r="AC87" i="58"/>
  <c r="J85" i="58"/>
  <c r="AI94" i="58"/>
  <c r="BY94" i="58"/>
  <c r="G88" i="58"/>
  <c r="N88" i="58"/>
  <c r="S82" i="58"/>
  <c r="W82" i="58"/>
  <c r="AP115" i="58"/>
  <c r="AP96" i="58"/>
  <c r="BY91" i="58"/>
  <c r="AI91" i="58"/>
  <c r="AJ90" i="58"/>
  <c r="AI90" i="58" s="1"/>
  <c r="AP110" i="58"/>
  <c r="BW123" i="58"/>
  <c r="BW127" i="58"/>
  <c r="AO127" i="58" s="1"/>
  <c r="Q79" i="58"/>
  <c r="W81" i="58"/>
  <c r="Y87" i="58"/>
  <c r="Y84" i="58" s="1"/>
  <c r="P95" i="32"/>
  <c r="P264" i="32" s="1"/>
  <c r="T211" i="32"/>
  <c r="T275" i="32"/>
  <c r="BR38" i="33" s="1"/>
  <c r="J168" i="43"/>
  <c r="N27" i="39"/>
  <c r="V58" i="32" s="1"/>
  <c r="V59" i="32"/>
  <c r="T181" i="32"/>
  <c r="P31" i="44"/>
  <c r="N93" i="39"/>
  <c r="V157" i="32" s="1"/>
  <c r="V147" i="32"/>
  <c r="N81" i="39"/>
  <c r="V142" i="32" s="1"/>
  <c r="V143" i="32"/>
  <c r="N45" i="39"/>
  <c r="V86" i="32" s="1"/>
  <c r="V89" i="32"/>
  <c r="N21" i="39"/>
  <c r="V45" i="32" s="1"/>
  <c r="V35" i="32"/>
  <c r="V37" i="32" s="1"/>
  <c r="V275" i="32"/>
  <c r="BR38" i="51" s="1"/>
  <c r="L168" i="43"/>
  <c r="L57" i="39"/>
  <c r="T101" i="32" s="1"/>
  <c r="N63" i="39"/>
  <c r="V114" i="32" s="1"/>
  <c r="T63" i="32"/>
  <c r="T65" i="32" s="1"/>
  <c r="S141" i="32"/>
  <c r="S113" i="32"/>
  <c r="L27" i="39"/>
  <c r="T58" i="32" s="1"/>
  <c r="T119" i="32"/>
  <c r="R261" i="32"/>
  <c r="Q260" i="32"/>
  <c r="R262" i="32"/>
  <c r="T93" i="32"/>
  <c r="R265" i="32"/>
  <c r="S93" i="32"/>
  <c r="P85" i="32"/>
  <c r="T37" i="32"/>
  <c r="V240" i="32"/>
  <c r="T239" i="32"/>
  <c r="T240" i="32" s="1"/>
  <c r="N8" i="39"/>
  <c r="V29" i="32" s="1"/>
  <c r="L93" i="39"/>
  <c r="T157" i="32" s="1"/>
  <c r="T147" i="32"/>
  <c r="T149" i="32" s="1"/>
  <c r="L63" i="39"/>
  <c r="T114" i="32" s="1"/>
  <c r="T116" i="32"/>
  <c r="L45" i="39"/>
  <c r="T86" i="32" s="1"/>
  <c r="T89" i="32"/>
  <c r="L81" i="39"/>
  <c r="T142" i="32" s="1"/>
  <c r="T143" i="32"/>
  <c r="V65" i="32"/>
  <c r="V93" i="32"/>
  <c r="V181" i="32"/>
  <c r="V121" i="32"/>
  <c r="L8" i="39"/>
  <c r="T29" i="32" s="1"/>
  <c r="V211" i="32"/>
  <c r="N122" i="32"/>
  <c r="Q83" i="60" s="1"/>
  <c r="H8" i="39"/>
  <c r="N66" i="32"/>
  <c r="E81" i="60" s="1"/>
  <c r="P57" i="32"/>
  <c r="H27" i="39"/>
  <c r="K27" i="39"/>
  <c r="R263" i="32"/>
  <c r="N38" i="32"/>
  <c r="W79" i="60" s="1"/>
  <c r="P28" i="32"/>
  <c r="P169" i="32"/>
  <c r="N12" i="44"/>
  <c r="R266" i="32"/>
  <c r="I12" i="43" s="1"/>
  <c r="Q12" i="44"/>
  <c r="Q65" i="32"/>
  <c r="Q121" i="32"/>
  <c r="R264" i="32"/>
  <c r="N182" i="32"/>
  <c r="S86" i="60" s="1"/>
  <c r="P203" i="32"/>
  <c r="N32" i="44"/>
  <c r="Q32" i="44"/>
  <c r="P231" i="32"/>
  <c r="N50" i="44"/>
  <c r="S29" i="32"/>
  <c r="K8" i="39" s="1"/>
  <c r="P49" i="44"/>
  <c r="P262" i="32"/>
  <c r="N114" i="32"/>
  <c r="N39" i="32"/>
  <c r="AD79" i="60" s="1"/>
  <c r="N240" i="32"/>
  <c r="N93" i="32"/>
  <c r="N86" i="32"/>
  <c r="N232" i="32"/>
  <c r="Q232" i="32" s="1"/>
  <c r="O50" i="44" s="1"/>
  <c r="N170" i="32"/>
  <c r="N211" i="32"/>
  <c r="N213" i="32" s="1"/>
  <c r="N204" i="32"/>
  <c r="Q204" i="32" s="1"/>
  <c r="O32" i="44" s="1"/>
  <c r="N174" i="32"/>
  <c r="N142" i="32"/>
  <c r="P266" i="32"/>
  <c r="P265" i="32"/>
  <c r="N58" i="32"/>
  <c r="Q58" i="32" s="1"/>
  <c r="I27" i="39" s="1"/>
  <c r="N29" i="32"/>
  <c r="Q29" i="32" s="1"/>
  <c r="I8" i="39" s="1"/>
  <c r="P263" i="32"/>
  <c r="P261" i="32"/>
  <c r="N149" i="32"/>
  <c r="N183" i="32"/>
  <c r="AD86" i="60" s="1"/>
  <c r="N123" i="32"/>
  <c r="AD83" i="60" s="1"/>
  <c r="N67" i="32"/>
  <c r="AD81" i="60" s="1"/>
  <c r="L37" i="32"/>
  <c r="AC80" i="58" l="1"/>
  <c r="Q82" i="59"/>
  <c r="N79" i="59"/>
  <c r="BW5" i="64"/>
  <c r="AJ88" i="58"/>
  <c r="AP90" i="58"/>
  <c r="W82" i="59"/>
  <c r="BW121" i="59"/>
  <c r="AO121" i="59" s="1"/>
  <c r="Y68" i="59"/>
  <c r="N88" i="59"/>
  <c r="AC82" i="59"/>
  <c r="AC80" i="59" s="1"/>
  <c r="E82" i="59"/>
  <c r="AD82" i="59"/>
  <c r="AD80" i="59" s="1"/>
  <c r="AD68" i="59" s="1"/>
  <c r="AD128" i="59" s="1"/>
  <c r="X79" i="60"/>
  <c r="AC83" i="60"/>
  <c r="S83" i="60"/>
  <c r="N83" i="60" s="1"/>
  <c r="E86" i="60"/>
  <c r="Y79" i="60"/>
  <c r="J81" i="60"/>
  <c r="G81" i="60" s="1"/>
  <c r="Y83" i="60"/>
  <c r="S81" i="60"/>
  <c r="BW5" i="61"/>
  <c r="BW5" i="62"/>
  <c r="BY112" i="64"/>
  <c r="AP74" i="64"/>
  <c r="BY74" i="64"/>
  <c r="AO119" i="59"/>
  <c r="AJ119" i="59" s="1"/>
  <c r="AP75" i="64"/>
  <c r="BY75" i="64"/>
  <c r="AP73" i="64"/>
  <c r="BY73" i="64"/>
  <c r="AP73" i="62"/>
  <c r="BY73" i="62"/>
  <c r="S203" i="32"/>
  <c r="BW87" i="59"/>
  <c r="AO87" i="59" s="1"/>
  <c r="P24" i="32"/>
  <c r="S169" i="32"/>
  <c r="P23" i="32"/>
  <c r="BW86" i="59"/>
  <c r="AO86" i="59" s="1"/>
  <c r="S85" i="32"/>
  <c r="BW82" i="59"/>
  <c r="AO82" i="59" s="1"/>
  <c r="P20" i="32"/>
  <c r="G83" i="59"/>
  <c r="AP74" i="61"/>
  <c r="BY74" i="61"/>
  <c r="T79" i="60"/>
  <c r="P128" i="61"/>
  <c r="BE8" i="61"/>
  <c r="BA10" i="59"/>
  <c r="L69" i="59"/>
  <c r="L68" i="59" s="1"/>
  <c r="O13" i="60"/>
  <c r="O11" i="60" s="1"/>
  <c r="O9" i="60" s="1"/>
  <c r="N14" i="60"/>
  <c r="N13" i="60" s="1"/>
  <c r="K70" i="60"/>
  <c r="G71" i="60"/>
  <c r="AJ71" i="60" s="1"/>
  <c r="AP112" i="60"/>
  <c r="U68" i="61"/>
  <c r="AP73" i="60"/>
  <c r="BY73" i="60"/>
  <c r="BY76" i="59"/>
  <c r="AP76" i="59"/>
  <c r="P128" i="64"/>
  <c r="BE8" i="64"/>
  <c r="AJ121" i="59"/>
  <c r="T81" i="59"/>
  <c r="AD87" i="60"/>
  <c r="Q93" i="32"/>
  <c r="S231" i="32"/>
  <c r="Q49" i="44" s="1"/>
  <c r="BW88" i="59"/>
  <c r="AO88" i="59" s="1"/>
  <c r="P25" i="32"/>
  <c r="P18" i="32"/>
  <c r="BW79" i="59"/>
  <c r="AP112" i="58"/>
  <c r="BZ71" i="60"/>
  <c r="BZ70" i="60" s="1"/>
  <c r="P128" i="62"/>
  <c r="BE8" i="62"/>
  <c r="AP75" i="60"/>
  <c r="BY75" i="60"/>
  <c r="AO11" i="60"/>
  <c r="T82" i="59"/>
  <c r="E79" i="60"/>
  <c r="T88" i="59"/>
  <c r="G71" i="62"/>
  <c r="AJ71" i="62" s="1"/>
  <c r="K70" i="62"/>
  <c r="G70" i="62" s="1"/>
  <c r="BY78" i="62"/>
  <c r="AP78" i="62"/>
  <c r="BY75" i="61"/>
  <c r="AP75" i="61"/>
  <c r="AE69" i="64"/>
  <c r="AE68" i="64" s="1"/>
  <c r="BT10" i="64"/>
  <c r="BT9" i="64" s="1"/>
  <c r="N85" i="59"/>
  <c r="Q84" i="59"/>
  <c r="BZ83" i="59"/>
  <c r="AE69" i="61"/>
  <c r="AE68" i="61" s="1"/>
  <c r="BT10" i="61"/>
  <c r="BT9" i="61" s="1"/>
  <c r="BY76" i="64"/>
  <c r="AP76" i="64"/>
  <c r="BY75" i="62"/>
  <c r="AP75" i="62"/>
  <c r="N12" i="59"/>
  <c r="Q11" i="59"/>
  <c r="AP77" i="59"/>
  <c r="BY77" i="59"/>
  <c r="BZ71" i="59"/>
  <c r="BZ70" i="59" s="1"/>
  <c r="AC81" i="60"/>
  <c r="W81" i="60"/>
  <c r="T70" i="60"/>
  <c r="U68" i="60"/>
  <c r="N14" i="62"/>
  <c r="N13" i="62" s="1"/>
  <c r="N11" i="62" s="1"/>
  <c r="O13" i="62"/>
  <c r="O11" i="62" s="1"/>
  <c r="O9" i="62" s="1"/>
  <c r="BA10" i="61"/>
  <c r="L69" i="61"/>
  <c r="L68" i="61" s="1"/>
  <c r="AC84" i="59"/>
  <c r="BY77" i="60"/>
  <c r="AP77" i="60"/>
  <c r="BW126" i="59"/>
  <c r="AI90" i="61"/>
  <c r="AO11" i="61"/>
  <c r="AE69" i="59"/>
  <c r="AE68" i="59" s="1"/>
  <c r="BT10" i="59"/>
  <c r="BT9" i="59" s="1"/>
  <c r="AP78" i="61"/>
  <c r="BY78" i="61"/>
  <c r="AI90" i="64"/>
  <c r="W83" i="60"/>
  <c r="J83" i="60"/>
  <c r="BW122" i="59"/>
  <c r="AC86" i="60"/>
  <c r="J86" i="60"/>
  <c r="G86" i="60" s="1"/>
  <c r="BZ86" i="59"/>
  <c r="N79" i="58"/>
  <c r="U68" i="58"/>
  <c r="BY90" i="64"/>
  <c r="AP76" i="61"/>
  <c r="BY76" i="61"/>
  <c r="AO11" i="64"/>
  <c r="U68" i="62"/>
  <c r="T70" i="62"/>
  <c r="S79" i="60"/>
  <c r="BY74" i="62"/>
  <c r="AP74" i="62"/>
  <c r="T84" i="59"/>
  <c r="BY104" i="61"/>
  <c r="AP104" i="61"/>
  <c r="K70" i="64"/>
  <c r="G70" i="64" s="1"/>
  <c r="G71" i="64"/>
  <c r="Q11" i="64"/>
  <c r="N12" i="64"/>
  <c r="S84" i="59"/>
  <c r="T83" i="59"/>
  <c r="AP78" i="64"/>
  <c r="BY78" i="64"/>
  <c r="BY78" i="60"/>
  <c r="AP78" i="60"/>
  <c r="V70" i="61"/>
  <c r="V68" i="61" s="1"/>
  <c r="BZ88" i="59"/>
  <c r="AJ88" i="59"/>
  <c r="BY11" i="60"/>
  <c r="Y81" i="60"/>
  <c r="X81" i="60"/>
  <c r="BW84" i="59"/>
  <c r="AO84" i="59" s="1"/>
  <c r="AO85" i="59"/>
  <c r="AI90" i="59"/>
  <c r="BY76" i="60"/>
  <c r="AP76" i="60"/>
  <c r="X80" i="59"/>
  <c r="AE69" i="60"/>
  <c r="AE68" i="60" s="1"/>
  <c r="BT10" i="60"/>
  <c r="BT9" i="60" s="1"/>
  <c r="BY90" i="62"/>
  <c r="AP13" i="62"/>
  <c r="AJ11" i="62"/>
  <c r="BA10" i="60"/>
  <c r="L69" i="60"/>
  <c r="L68" i="60" s="1"/>
  <c r="U68" i="64"/>
  <c r="T70" i="64"/>
  <c r="BY90" i="61"/>
  <c r="AP112" i="59"/>
  <c r="BY78" i="59"/>
  <c r="AP78" i="59"/>
  <c r="BY90" i="60"/>
  <c r="X83" i="60"/>
  <c r="N81" i="59"/>
  <c r="AJ81" i="59" s="1"/>
  <c r="BW127" i="59"/>
  <c r="P128" i="60"/>
  <c r="BE8" i="60"/>
  <c r="BW120" i="59"/>
  <c r="T79" i="59"/>
  <c r="BW124" i="59"/>
  <c r="BW118" i="59"/>
  <c r="W86" i="60"/>
  <c r="T86" i="60" s="1"/>
  <c r="Q86" i="60"/>
  <c r="N86" i="60" s="1"/>
  <c r="AI90" i="62"/>
  <c r="AP77" i="64"/>
  <c r="BY77" i="64"/>
  <c r="BZ87" i="59"/>
  <c r="AJ87" i="59"/>
  <c r="BT10" i="62"/>
  <c r="BT9" i="62" s="1"/>
  <c r="AE69" i="62"/>
  <c r="AE68" i="62" s="1"/>
  <c r="AP77" i="62"/>
  <c r="BY77" i="62"/>
  <c r="BZ71" i="62"/>
  <c r="BZ70" i="62" s="1"/>
  <c r="BY90" i="59"/>
  <c r="BY77" i="61"/>
  <c r="AP77" i="61"/>
  <c r="AP13" i="61"/>
  <c r="AJ11" i="61"/>
  <c r="AP90" i="60"/>
  <c r="AI90" i="60"/>
  <c r="P128" i="59"/>
  <c r="BE8" i="59"/>
  <c r="G79" i="59"/>
  <c r="S57" i="32"/>
  <c r="P19" i="32"/>
  <c r="BW81" i="59"/>
  <c r="BR11" i="51"/>
  <c r="AO11" i="51" s="1"/>
  <c r="C31" i="47" s="1"/>
  <c r="AP90" i="62"/>
  <c r="N14" i="64"/>
  <c r="N13" i="64" s="1"/>
  <c r="N11" i="64" s="1"/>
  <c r="O13" i="64"/>
  <c r="O11" i="64" s="1"/>
  <c r="O9" i="64" s="1"/>
  <c r="J84" i="59"/>
  <c r="G85" i="59"/>
  <c r="G84" i="59" s="1"/>
  <c r="L69" i="64"/>
  <c r="L68" i="64" s="1"/>
  <c r="BA10" i="64"/>
  <c r="J82" i="59"/>
  <c r="G82" i="59" s="1"/>
  <c r="S82" i="59"/>
  <c r="S80" i="59" s="1"/>
  <c r="AC79" i="60"/>
  <c r="Q79" i="60"/>
  <c r="J79" i="60"/>
  <c r="BY112" i="60"/>
  <c r="AI104" i="61"/>
  <c r="N14" i="59"/>
  <c r="N13" i="59" s="1"/>
  <c r="O13" i="59"/>
  <c r="O11" i="59" s="1"/>
  <c r="O9" i="59" s="1"/>
  <c r="AJ73" i="59"/>
  <c r="U68" i="59"/>
  <c r="T70" i="59"/>
  <c r="BY75" i="59"/>
  <c r="AP75" i="59"/>
  <c r="G71" i="61"/>
  <c r="AJ71" i="61" s="1"/>
  <c r="M70" i="61"/>
  <c r="G70" i="61" s="1"/>
  <c r="BY11" i="59"/>
  <c r="Q11" i="60"/>
  <c r="N12" i="60"/>
  <c r="N11" i="60" s="1"/>
  <c r="L69" i="62"/>
  <c r="L68" i="62" s="1"/>
  <c r="BA10" i="62"/>
  <c r="Q81" i="60"/>
  <c r="BY74" i="59"/>
  <c r="AP74" i="59"/>
  <c r="BZ81" i="59"/>
  <c r="E80" i="59"/>
  <c r="AO11" i="62"/>
  <c r="BZ85" i="59"/>
  <c r="E84" i="59"/>
  <c r="AJ85" i="59"/>
  <c r="T71" i="64"/>
  <c r="BY74" i="60"/>
  <c r="AP74" i="60"/>
  <c r="AI105" i="59"/>
  <c r="AP105" i="59"/>
  <c r="K70" i="59"/>
  <c r="G71" i="59"/>
  <c r="AJ71" i="59" s="1"/>
  <c r="BY112" i="62"/>
  <c r="E83" i="60"/>
  <c r="Q80" i="59"/>
  <c r="AP90" i="64"/>
  <c r="BW125" i="59"/>
  <c r="BZ71" i="61"/>
  <c r="BZ70" i="61" s="1"/>
  <c r="N14" i="61"/>
  <c r="N13" i="61" s="1"/>
  <c r="N11" i="61" s="1"/>
  <c r="O13" i="61"/>
  <c r="O11" i="61" s="1"/>
  <c r="O9" i="61" s="1"/>
  <c r="BW123" i="59"/>
  <c r="AO123" i="59" s="1"/>
  <c r="X68" i="59"/>
  <c r="BZ79" i="59"/>
  <c r="BY76" i="62"/>
  <c r="AP76" i="62"/>
  <c r="AP73" i="61"/>
  <c r="BY73" i="61"/>
  <c r="W80" i="59"/>
  <c r="T80" i="59" s="1"/>
  <c r="N86" i="59"/>
  <c r="AJ86" i="59" s="1"/>
  <c r="T74" i="33"/>
  <c r="AJ74" i="33" s="1"/>
  <c r="BZ75" i="33"/>
  <c r="T75" i="33"/>
  <c r="AJ75" i="33" s="1"/>
  <c r="AP75" i="33" s="1"/>
  <c r="AB70" i="33"/>
  <c r="AB68" i="33" s="1"/>
  <c r="BR11" i="33"/>
  <c r="AO11" i="33" s="1"/>
  <c r="AD68" i="58"/>
  <c r="AD128" i="58" s="1"/>
  <c r="AE77" i="33"/>
  <c r="AC77" i="33"/>
  <c r="L77" i="33"/>
  <c r="V77" i="33"/>
  <c r="T77" i="33" s="1"/>
  <c r="M77" i="33"/>
  <c r="AD46" i="51"/>
  <c r="AD18" i="51" s="1"/>
  <c r="AD9" i="51" s="1"/>
  <c r="AJ54" i="51"/>
  <c r="AP14" i="51"/>
  <c r="O14" i="51"/>
  <c r="BY14" i="51"/>
  <c r="BY13" i="51" s="1"/>
  <c r="AO105" i="33"/>
  <c r="AJ105" i="33" s="1"/>
  <c r="AI104" i="33"/>
  <c r="BY104" i="33"/>
  <c r="BY14" i="33"/>
  <c r="BY13" i="33" s="1"/>
  <c r="AP14" i="33"/>
  <c r="O14" i="33"/>
  <c r="AO106" i="33"/>
  <c r="T87" i="58"/>
  <c r="AJ87" i="58" s="1"/>
  <c r="AP72" i="33"/>
  <c r="BY72" i="33"/>
  <c r="BZ78" i="33"/>
  <c r="G78" i="33"/>
  <c r="AJ78" i="33" s="1"/>
  <c r="I70" i="33"/>
  <c r="AD46" i="33"/>
  <c r="AD18" i="33" s="1"/>
  <c r="AD9" i="33" s="1"/>
  <c r="AJ54" i="33"/>
  <c r="AP110" i="51"/>
  <c r="AI110" i="51"/>
  <c r="BY110" i="51"/>
  <c r="BY53" i="51"/>
  <c r="AP53" i="51"/>
  <c r="BZ76" i="33"/>
  <c r="G76" i="33"/>
  <c r="AJ76" i="33" s="1"/>
  <c r="AI94" i="33"/>
  <c r="BY94" i="33"/>
  <c r="AI96" i="33"/>
  <c r="BY96" i="33"/>
  <c r="BZ74" i="33"/>
  <c r="U84" i="33"/>
  <c r="X84" i="58"/>
  <c r="X68" i="58" s="1"/>
  <c r="BW66" i="51"/>
  <c r="AH68" i="51" s="1"/>
  <c r="AH86" i="51" s="1"/>
  <c r="AH84" i="51" s="1"/>
  <c r="T73" i="33"/>
  <c r="U70" i="33"/>
  <c r="AO111" i="33"/>
  <c r="AJ111" i="33" s="1"/>
  <c r="AP111" i="33" s="1"/>
  <c r="P11" i="51"/>
  <c r="P9" i="51" s="1"/>
  <c r="N16" i="51"/>
  <c r="U84" i="51"/>
  <c r="AJ53" i="33"/>
  <c r="AC46" i="33"/>
  <c r="AP107" i="33"/>
  <c r="AI107" i="33"/>
  <c r="BY107" i="33"/>
  <c r="AI97" i="33"/>
  <c r="BY97" i="33"/>
  <c r="AO108" i="33"/>
  <c r="AJ108" i="33" s="1"/>
  <c r="AO108" i="51"/>
  <c r="AJ108" i="51" s="1"/>
  <c r="AP108" i="51" s="1"/>
  <c r="BY95" i="33"/>
  <c r="AI95" i="33"/>
  <c r="AO106" i="51"/>
  <c r="BZ87" i="58"/>
  <c r="N16" i="33"/>
  <c r="P11" i="33"/>
  <c r="P9" i="33" s="1"/>
  <c r="AO110" i="33"/>
  <c r="AJ110" i="33" s="1"/>
  <c r="R269" i="32"/>
  <c r="BS41" i="58" s="1"/>
  <c r="BS44" i="58" s="1"/>
  <c r="BR44" i="58" s="1"/>
  <c r="AO44" i="58" s="1"/>
  <c r="AJ44" i="58" s="1"/>
  <c r="I8" i="43"/>
  <c r="AC84" i="58"/>
  <c r="AI104" i="51"/>
  <c r="BY104" i="51"/>
  <c r="BW46" i="33"/>
  <c r="BW18" i="33" s="1"/>
  <c r="BW9" i="33" s="1"/>
  <c r="AH66" i="33" s="1"/>
  <c r="AO53" i="33"/>
  <c r="AO105" i="51"/>
  <c r="AJ105" i="51" s="1"/>
  <c r="R271" i="32"/>
  <c r="BS37" i="58" s="1"/>
  <c r="BS38" i="58" s="1"/>
  <c r="AO38" i="58" s="1"/>
  <c r="AJ38" i="58" s="1"/>
  <c r="I10" i="43"/>
  <c r="R273" i="32"/>
  <c r="V95" i="32"/>
  <c r="AD82" i="51" s="1"/>
  <c r="V242" i="32"/>
  <c r="AD88" i="51" s="1"/>
  <c r="R272" i="32"/>
  <c r="BS57" i="58" s="1"/>
  <c r="BS59" i="58" s="1"/>
  <c r="BR59" i="58" s="1"/>
  <c r="AO59" i="58" s="1"/>
  <c r="I11" i="43"/>
  <c r="R268" i="32"/>
  <c r="BS19" i="58" s="1"/>
  <c r="BS25" i="58" s="1"/>
  <c r="AO25" i="58" s="1"/>
  <c r="AJ25" i="58" s="1"/>
  <c r="I7" i="43"/>
  <c r="R270" i="32"/>
  <c r="BS27" i="58" s="1"/>
  <c r="BS28" i="58" s="1"/>
  <c r="BR28" i="58" s="1"/>
  <c r="I9" i="43"/>
  <c r="W65" i="32"/>
  <c r="BW5" i="58"/>
  <c r="G73" i="33"/>
  <c r="AJ73" i="33" s="1"/>
  <c r="BZ73" i="33"/>
  <c r="AP104" i="51"/>
  <c r="AO109" i="33"/>
  <c r="AJ109" i="33" s="1"/>
  <c r="AP109" i="33" s="1"/>
  <c r="AO111" i="51"/>
  <c r="AJ111" i="51" s="1"/>
  <c r="H84" i="33"/>
  <c r="BY109" i="51"/>
  <c r="AI109" i="51"/>
  <c r="AJ11" i="33"/>
  <c r="Q12" i="33"/>
  <c r="AP12" i="33"/>
  <c r="BY12" i="33"/>
  <c r="BY93" i="33"/>
  <c r="AI93" i="33"/>
  <c r="AP95" i="33"/>
  <c r="AP104" i="33"/>
  <c r="AB75" i="51"/>
  <c r="U74" i="51"/>
  <c r="V75" i="51"/>
  <c r="E75" i="51"/>
  <c r="AC75" i="51"/>
  <c r="K75" i="51"/>
  <c r="G75" i="51" s="1"/>
  <c r="AE75" i="51"/>
  <c r="AO93" i="51"/>
  <c r="AJ93" i="51" s="1"/>
  <c r="AP98" i="51"/>
  <c r="BY98" i="51"/>
  <c r="AI98" i="51"/>
  <c r="AO94" i="51"/>
  <c r="AJ94" i="51" s="1"/>
  <c r="V76" i="51"/>
  <c r="T76" i="51" s="1"/>
  <c r="AE76" i="51"/>
  <c r="AC76" i="51"/>
  <c r="U75" i="51"/>
  <c r="K76" i="51"/>
  <c r="AO97" i="51"/>
  <c r="AJ97" i="51" s="1"/>
  <c r="AP97" i="51" s="1"/>
  <c r="AC74" i="51"/>
  <c r="AE74" i="51"/>
  <c r="E74" i="51"/>
  <c r="AB74" i="51"/>
  <c r="K74" i="51"/>
  <c r="G74" i="51" s="1"/>
  <c r="V74" i="51"/>
  <c r="AO95" i="51"/>
  <c r="AJ95" i="51" s="1"/>
  <c r="M77" i="51"/>
  <c r="AC77" i="51"/>
  <c r="L77" i="51"/>
  <c r="V77" i="51"/>
  <c r="T77" i="51" s="1"/>
  <c r="AE77" i="51"/>
  <c r="AO96" i="51"/>
  <c r="AJ96" i="51" s="1"/>
  <c r="AP96" i="51" s="1"/>
  <c r="AO100" i="51"/>
  <c r="AJ100" i="51" s="1"/>
  <c r="AI100" i="51" s="1"/>
  <c r="E73" i="51"/>
  <c r="K73" i="51"/>
  <c r="AC73" i="51"/>
  <c r="AE73" i="51"/>
  <c r="AB73" i="51"/>
  <c r="V73" i="51"/>
  <c r="M73" i="51"/>
  <c r="U73" i="51"/>
  <c r="AE78" i="51"/>
  <c r="V78" i="51"/>
  <c r="T78" i="51" s="1"/>
  <c r="I78" i="51"/>
  <c r="AC78" i="51"/>
  <c r="K78" i="51"/>
  <c r="BZ72" i="51"/>
  <c r="H70" i="51"/>
  <c r="G72" i="51"/>
  <c r="AJ72" i="51" s="1"/>
  <c r="AP12" i="51"/>
  <c r="AJ11" i="51"/>
  <c r="Q12" i="51"/>
  <c r="BY12" i="51"/>
  <c r="AO107" i="51"/>
  <c r="AJ107" i="51" s="1"/>
  <c r="AP107" i="51" s="1"/>
  <c r="H80" i="51"/>
  <c r="AP88" i="58"/>
  <c r="BY88" i="58"/>
  <c r="T81" i="58"/>
  <c r="W80" i="58"/>
  <c r="T80" i="58" s="1"/>
  <c r="V70" i="58"/>
  <c r="T71" i="58"/>
  <c r="AO119" i="58"/>
  <c r="AJ119" i="58" s="1"/>
  <c r="BZ86" i="58"/>
  <c r="AO118" i="58"/>
  <c r="AJ118" i="58" s="1"/>
  <c r="AP118" i="58" s="1"/>
  <c r="BW117" i="58"/>
  <c r="BS22" i="58"/>
  <c r="BR22" i="58" s="1"/>
  <c r="AO22" i="58" s="1"/>
  <c r="AJ22" i="58" s="1"/>
  <c r="U211" i="32"/>
  <c r="J84" i="58"/>
  <c r="G85" i="58"/>
  <c r="BW80" i="58"/>
  <c r="AO80" i="58" s="1"/>
  <c r="AO82" i="58"/>
  <c r="BS39" i="58"/>
  <c r="BS47" i="58"/>
  <c r="BS50" i="58"/>
  <c r="BR50" i="58" s="1"/>
  <c r="AO50" i="58" s="1"/>
  <c r="AJ50" i="58" s="1"/>
  <c r="BS51" i="58"/>
  <c r="BR51" i="58" s="1"/>
  <c r="AO51" i="58" s="1"/>
  <c r="AJ51" i="58" s="1"/>
  <c r="BS48" i="58"/>
  <c r="BR48" i="58" s="1"/>
  <c r="AO48" i="58" s="1"/>
  <c r="AJ48" i="58" s="1"/>
  <c r="BS52" i="58"/>
  <c r="BR52" i="58" s="1"/>
  <c r="AO52" i="58" s="1"/>
  <c r="AJ52" i="58" s="1"/>
  <c r="BS49" i="58"/>
  <c r="BR49" i="58" s="1"/>
  <c r="AO49" i="58" s="1"/>
  <c r="AJ49" i="58" s="1"/>
  <c r="T183" i="32"/>
  <c r="AD86" i="33" s="1"/>
  <c r="AJ127" i="58"/>
  <c r="BY75" i="58"/>
  <c r="AP75" i="58"/>
  <c r="AO121" i="58"/>
  <c r="AJ121" i="58" s="1"/>
  <c r="BZ85" i="58"/>
  <c r="BT10" i="58"/>
  <c r="BT9" i="58" s="1"/>
  <c r="AE69" i="58"/>
  <c r="AE68" i="58" s="1"/>
  <c r="AO122" i="58"/>
  <c r="AJ122" i="58" s="1"/>
  <c r="N85" i="58"/>
  <c r="Q84" i="58"/>
  <c r="BZ71" i="58"/>
  <c r="BZ70" i="58" s="1"/>
  <c r="W84" i="58"/>
  <c r="Y68" i="58"/>
  <c r="AO123" i="58"/>
  <c r="AJ123" i="58" s="1"/>
  <c r="AP123" i="58" s="1"/>
  <c r="BY90" i="58"/>
  <c r="T82" i="58"/>
  <c r="BY112" i="58"/>
  <c r="BY78" i="58"/>
  <c r="AP78" i="58"/>
  <c r="L69" i="58"/>
  <c r="L68" i="58" s="1"/>
  <c r="BA10" i="58"/>
  <c r="AO120" i="58"/>
  <c r="AJ120" i="58" s="1"/>
  <c r="AP120" i="58" s="1"/>
  <c r="N11" i="58"/>
  <c r="AP73" i="58"/>
  <c r="BY73" i="58"/>
  <c r="E84" i="58"/>
  <c r="G71" i="58"/>
  <c r="AJ71" i="58" s="1"/>
  <c r="K70" i="58"/>
  <c r="G70" i="58" s="1"/>
  <c r="AO85" i="58"/>
  <c r="BW84" i="58"/>
  <c r="AJ125" i="58"/>
  <c r="AP125" i="58" s="1"/>
  <c r="S84" i="58"/>
  <c r="E80" i="58"/>
  <c r="BZ81" i="58"/>
  <c r="T85" i="58"/>
  <c r="BS60" i="58"/>
  <c r="AO60" i="58" s="1"/>
  <c r="AJ60" i="58" s="1"/>
  <c r="BY74" i="58"/>
  <c r="AP74" i="58"/>
  <c r="AP77" i="58"/>
  <c r="BY77" i="58"/>
  <c r="AP76" i="58"/>
  <c r="BY76" i="58"/>
  <c r="J80" i="58"/>
  <c r="G81" i="58"/>
  <c r="BD8" i="58"/>
  <c r="BZ82" i="58"/>
  <c r="AJ124" i="58"/>
  <c r="AI126" i="58"/>
  <c r="BY126" i="58"/>
  <c r="AP83" i="58"/>
  <c r="BY83" i="58"/>
  <c r="N81" i="58"/>
  <c r="S80" i="58"/>
  <c r="T79" i="58"/>
  <c r="Q80" i="58"/>
  <c r="N82" i="58"/>
  <c r="N86" i="58"/>
  <c r="AJ86" i="58" s="1"/>
  <c r="U181" i="32"/>
  <c r="T182" i="32"/>
  <c r="J86" i="33" s="1"/>
  <c r="W181" i="32"/>
  <c r="T213" i="32"/>
  <c r="AD87" i="33" s="1"/>
  <c r="T212" i="32"/>
  <c r="W87" i="33" s="1"/>
  <c r="W211" i="32"/>
  <c r="U65" i="32"/>
  <c r="T38" i="32"/>
  <c r="J79" i="33" s="1"/>
  <c r="G79" i="33" s="1"/>
  <c r="U93" i="32"/>
  <c r="U240" i="32"/>
  <c r="U149" i="32"/>
  <c r="C33" i="47"/>
  <c r="T28" i="32"/>
  <c r="BW79" i="33" s="1"/>
  <c r="AO79" i="33" s="1"/>
  <c r="T66" i="32"/>
  <c r="S81" i="33" s="1"/>
  <c r="T67" i="32"/>
  <c r="AD81" i="33" s="1"/>
  <c r="W37" i="32"/>
  <c r="U37" i="32"/>
  <c r="T57" i="32"/>
  <c r="BW81" i="33" s="1"/>
  <c r="AO81" i="33" s="1"/>
  <c r="T39" i="32"/>
  <c r="T85" i="32"/>
  <c r="BW82" i="33" s="1"/>
  <c r="T121" i="32"/>
  <c r="T113" i="32" s="1"/>
  <c r="BW83" i="33" s="1"/>
  <c r="AO83" i="33" s="1"/>
  <c r="T141" i="32"/>
  <c r="BW85" i="33" s="1"/>
  <c r="T241" i="32"/>
  <c r="E88" i="33" s="1"/>
  <c r="T95" i="32"/>
  <c r="AD82" i="33" s="1"/>
  <c r="V241" i="32"/>
  <c r="T94" i="32"/>
  <c r="AC82" i="33" s="1"/>
  <c r="T151" i="32"/>
  <c r="AD85" i="33" s="1"/>
  <c r="T150" i="32"/>
  <c r="J85" i="33" s="1"/>
  <c r="G85" i="33" s="1"/>
  <c r="T242" i="32"/>
  <c r="AD88" i="33" s="1"/>
  <c r="W240" i="32"/>
  <c r="T260" i="32"/>
  <c r="V67" i="32"/>
  <c r="AD81" i="51" s="1"/>
  <c r="V183" i="32"/>
  <c r="AD86" i="51" s="1"/>
  <c r="V39" i="32"/>
  <c r="AD79" i="51" s="1"/>
  <c r="V212" i="32"/>
  <c r="V38" i="32"/>
  <c r="Q79" i="51" s="1"/>
  <c r="V28" i="32"/>
  <c r="V113" i="32"/>
  <c r="V122" i="32"/>
  <c r="W83" i="51" s="1"/>
  <c r="T634" i="32"/>
  <c r="T642" i="32"/>
  <c r="V213" i="32"/>
  <c r="AD87" i="51" s="1"/>
  <c r="V123" i="32"/>
  <c r="V182" i="32"/>
  <c r="W86" i="51" s="1"/>
  <c r="V94" i="32"/>
  <c r="J82" i="51" s="1"/>
  <c r="G82" i="51" s="1"/>
  <c r="W93" i="32"/>
  <c r="V85" i="32"/>
  <c r="V66" i="32"/>
  <c r="W81" i="51" s="1"/>
  <c r="V57" i="32"/>
  <c r="L12" i="44"/>
  <c r="P268" i="32"/>
  <c r="H7" i="43"/>
  <c r="P272" i="32"/>
  <c r="BS57" i="59" s="1"/>
  <c r="H11" i="43"/>
  <c r="L32" i="44"/>
  <c r="Q86" i="32"/>
  <c r="I45" i="39" s="1"/>
  <c r="N113" i="32"/>
  <c r="Q114" i="32"/>
  <c r="I63" i="39" s="1"/>
  <c r="Q174" i="32"/>
  <c r="O12" i="44" s="1"/>
  <c r="N151" i="32"/>
  <c r="AD85" i="60" s="1"/>
  <c r="Q149" i="32"/>
  <c r="N28" i="32"/>
  <c r="Q142" i="32"/>
  <c r="I81" i="39" s="1"/>
  <c r="L8" i="44"/>
  <c r="Q170" i="32"/>
  <c r="O8" i="44" s="1"/>
  <c r="N242" i="32"/>
  <c r="AD88" i="60" s="1"/>
  <c r="Q240" i="32"/>
  <c r="P271" i="32"/>
  <c r="BS37" i="59" s="1"/>
  <c r="H10" i="43"/>
  <c r="N57" i="32"/>
  <c r="L50" i="44"/>
  <c r="L38" i="32"/>
  <c r="Y79" i="61" s="1"/>
  <c r="P270" i="32"/>
  <c r="BS27" i="59" s="1"/>
  <c r="H9" i="43"/>
  <c r="P273" i="32"/>
  <c r="H12" i="43"/>
  <c r="N212" i="32"/>
  <c r="Y87" i="60" s="1"/>
  <c r="Q211" i="32"/>
  <c r="N94" i="32"/>
  <c r="P269" i="32"/>
  <c r="BS41" i="59" s="1"/>
  <c r="H8" i="43"/>
  <c r="N49" i="44"/>
  <c r="N31" i="44"/>
  <c r="Q31" i="44"/>
  <c r="O37" i="32"/>
  <c r="Q57" i="32"/>
  <c r="S28" i="32"/>
  <c r="N203" i="32"/>
  <c r="N95" i="32"/>
  <c r="BW126" i="60" s="1"/>
  <c r="N241" i="32"/>
  <c r="X88" i="60" s="1"/>
  <c r="N85" i="32"/>
  <c r="N231" i="32"/>
  <c r="L65" i="32"/>
  <c r="L58" i="32"/>
  <c r="O58" i="32" s="1"/>
  <c r="G27" i="39" s="1"/>
  <c r="N169" i="32"/>
  <c r="L39" i="32"/>
  <c r="AD79" i="61" s="1"/>
  <c r="L211" i="32"/>
  <c r="L204" i="32"/>
  <c r="L121" i="32"/>
  <c r="L114" i="32"/>
  <c r="O114" i="32" s="1"/>
  <c r="G63" i="39" s="1"/>
  <c r="L29" i="32"/>
  <c r="L181" i="32"/>
  <c r="L149" i="32"/>
  <c r="L93" i="32"/>
  <c r="L86" i="32"/>
  <c r="O86" i="32" s="1"/>
  <c r="G45" i="39" s="1"/>
  <c r="L170" i="32"/>
  <c r="O170" i="32" s="1"/>
  <c r="M8" i="44" s="1"/>
  <c r="N150" i="32"/>
  <c r="S85" i="60" s="1"/>
  <c r="L232" i="32"/>
  <c r="O232" i="32" s="1"/>
  <c r="M50" i="44" s="1"/>
  <c r="L174" i="32"/>
  <c r="O174" i="32" s="1"/>
  <c r="M12" i="44" s="1"/>
  <c r="L142" i="32"/>
  <c r="N141" i="32"/>
  <c r="L260" i="32"/>
  <c r="L240" i="32"/>
  <c r="T83" i="60" l="1"/>
  <c r="BS66" i="59"/>
  <c r="BS20" i="58"/>
  <c r="BR20" i="58" s="1"/>
  <c r="E68" i="58"/>
  <c r="BS23" i="58"/>
  <c r="BR23" i="58" s="1"/>
  <c r="AO23" i="58" s="1"/>
  <c r="AJ23" i="58" s="1"/>
  <c r="BS21" i="58"/>
  <c r="BR21" i="58" s="1"/>
  <c r="AO21" i="58" s="1"/>
  <c r="AJ21" i="58" s="1"/>
  <c r="BS24" i="58"/>
  <c r="AO24" i="58" s="1"/>
  <c r="E68" i="59"/>
  <c r="T68" i="59"/>
  <c r="BZ81" i="60"/>
  <c r="AJ79" i="58"/>
  <c r="BY79" i="58" s="1"/>
  <c r="BS43" i="58"/>
  <c r="BR43" i="58" s="1"/>
  <c r="AO43" i="58" s="1"/>
  <c r="AJ43" i="58" s="1"/>
  <c r="AJ82" i="58"/>
  <c r="W68" i="59"/>
  <c r="BZ82" i="59"/>
  <c r="Q68" i="59"/>
  <c r="BF67" i="59" s="1"/>
  <c r="AJ83" i="59"/>
  <c r="Y88" i="60"/>
  <c r="AD82" i="60"/>
  <c r="AD80" i="60" s="1"/>
  <c r="W87" i="60"/>
  <c r="S88" i="60"/>
  <c r="Q87" i="60"/>
  <c r="AJ86" i="60"/>
  <c r="AJ70" i="62"/>
  <c r="AP70" i="62" s="1"/>
  <c r="AJ70" i="64"/>
  <c r="AP70" i="64" s="1"/>
  <c r="AC79" i="51"/>
  <c r="Q81" i="33"/>
  <c r="N81" i="33" s="1"/>
  <c r="AC85" i="33"/>
  <c r="E81" i="51"/>
  <c r="AO126" i="60"/>
  <c r="AJ126" i="60" s="1"/>
  <c r="AP126" i="60" s="1"/>
  <c r="AD84" i="60"/>
  <c r="AD68" i="60" s="1"/>
  <c r="O149" i="32"/>
  <c r="BW122" i="60"/>
  <c r="AD84" i="33"/>
  <c r="AO125" i="59"/>
  <c r="AJ125" i="59" s="1"/>
  <c r="AP125" i="59" s="1"/>
  <c r="BY85" i="59"/>
  <c r="AJ84" i="59"/>
  <c r="AP85" i="59"/>
  <c r="BY71" i="61"/>
  <c r="BY70" i="61" s="1"/>
  <c r="AP71" i="61"/>
  <c r="BW127" i="60"/>
  <c r="AO127" i="60" s="1"/>
  <c r="Y85" i="60"/>
  <c r="Y84" i="60" s="1"/>
  <c r="J85" i="60"/>
  <c r="S68" i="59"/>
  <c r="BH67" i="59" s="1"/>
  <c r="BW123" i="60"/>
  <c r="BW120" i="60"/>
  <c r="BY71" i="60"/>
  <c r="BY70" i="60" s="1"/>
  <c r="AP71" i="60"/>
  <c r="AP83" i="59"/>
  <c r="BY83" i="59"/>
  <c r="L183" i="32"/>
  <c r="AD86" i="61" s="1"/>
  <c r="N19" i="32"/>
  <c r="BW81" i="60"/>
  <c r="AO81" i="60" s="1"/>
  <c r="BW79" i="60"/>
  <c r="N18" i="32"/>
  <c r="BS64" i="58"/>
  <c r="BR64" i="58" s="1"/>
  <c r="AO64" i="58" s="1"/>
  <c r="AJ64" i="58" s="1"/>
  <c r="AB64" i="58" s="1"/>
  <c r="W81" i="33"/>
  <c r="J81" i="51"/>
  <c r="G81" i="51" s="1"/>
  <c r="W79" i="51"/>
  <c r="AJ106" i="64"/>
  <c r="AJ106" i="62"/>
  <c r="AJ106" i="61"/>
  <c r="AJ106" i="60"/>
  <c r="AJ106" i="59"/>
  <c r="O128" i="61"/>
  <c r="BD8" i="61"/>
  <c r="BW121" i="60"/>
  <c r="AO121" i="60" s="1"/>
  <c r="AC85" i="60"/>
  <c r="Q85" i="60"/>
  <c r="X85" i="60"/>
  <c r="BW118" i="60"/>
  <c r="Q88" i="60"/>
  <c r="J79" i="61"/>
  <c r="AO118" i="59"/>
  <c r="AJ118" i="59" s="1"/>
  <c r="AP118" i="59" s="1"/>
  <c r="BW117" i="59"/>
  <c r="AO120" i="59"/>
  <c r="AJ120" i="59" s="1"/>
  <c r="AP120" i="59" s="1"/>
  <c r="BY81" i="59"/>
  <c r="O128" i="62"/>
  <c r="BD8" i="62"/>
  <c r="T81" i="60"/>
  <c r="N84" i="59"/>
  <c r="AP71" i="62"/>
  <c r="BY71" i="62"/>
  <c r="BY70" i="62" s="1"/>
  <c r="BW119" i="60"/>
  <c r="J82" i="60"/>
  <c r="G82" i="60" s="1"/>
  <c r="Q82" i="60"/>
  <c r="S87" i="60"/>
  <c r="S84" i="60" s="1"/>
  <c r="J87" i="60"/>
  <c r="G87" i="60" s="1"/>
  <c r="BZ86" i="60"/>
  <c r="T70" i="61"/>
  <c r="AJ70" i="61" s="1"/>
  <c r="AP70" i="61" s="1"/>
  <c r="G70" i="60"/>
  <c r="AJ70" i="60" s="1"/>
  <c r="AP70" i="60" s="1"/>
  <c r="J80" i="59"/>
  <c r="BW86" i="60"/>
  <c r="AO86" i="60" s="1"/>
  <c r="AP86" i="60" s="1"/>
  <c r="N23" i="32"/>
  <c r="BW82" i="60"/>
  <c r="N20" i="32"/>
  <c r="BS19" i="59"/>
  <c r="BY86" i="59"/>
  <c r="AP86" i="59"/>
  <c r="BZ83" i="60"/>
  <c r="N88" i="60"/>
  <c r="AO127" i="59"/>
  <c r="N82" i="59"/>
  <c r="AJ82" i="59" s="1"/>
  <c r="AC82" i="60"/>
  <c r="AC80" i="60" s="1"/>
  <c r="L66" i="59"/>
  <c r="L128" i="59"/>
  <c r="BY119" i="59"/>
  <c r="AI119" i="59"/>
  <c r="O211" i="32"/>
  <c r="BS32" i="59"/>
  <c r="AO32" i="59" s="1"/>
  <c r="BS35" i="59"/>
  <c r="BR35" i="59" s="1"/>
  <c r="AO35" i="59" s="1"/>
  <c r="AJ35" i="59" s="1"/>
  <c r="BS30" i="59"/>
  <c r="BR30" i="59" s="1"/>
  <c r="AO30" i="59" s="1"/>
  <c r="AJ30" i="59" s="1"/>
  <c r="BS33" i="59"/>
  <c r="AO33" i="59" s="1"/>
  <c r="AJ33" i="59" s="1"/>
  <c r="BS31" i="59"/>
  <c r="BR31" i="59" s="1"/>
  <c r="AO31" i="59" s="1"/>
  <c r="AJ31" i="59" s="1"/>
  <c r="BS34" i="59"/>
  <c r="BR34" i="59" s="1"/>
  <c r="AO34" i="59" s="1"/>
  <c r="AJ34" i="59" s="1"/>
  <c r="BS28" i="59"/>
  <c r="BR28" i="59" s="1"/>
  <c r="BS29" i="59"/>
  <c r="N21" i="32"/>
  <c r="BW83" i="60"/>
  <c r="AO83" i="60" s="1"/>
  <c r="BS61" i="59"/>
  <c r="BR61" i="59" s="1"/>
  <c r="AO61" i="59" s="1"/>
  <c r="AJ61" i="59" s="1"/>
  <c r="BS64" i="59"/>
  <c r="BR64" i="59" s="1"/>
  <c r="AO64" i="59" s="1"/>
  <c r="AJ64" i="59" s="1"/>
  <c r="BS60" i="59"/>
  <c r="AO60" i="59" s="1"/>
  <c r="AJ60" i="59" s="1"/>
  <c r="BS62" i="59"/>
  <c r="BS58" i="59"/>
  <c r="BR58" i="59" s="1"/>
  <c r="BS59" i="59"/>
  <c r="BR59" i="59" s="1"/>
  <c r="AO59" i="59" s="1"/>
  <c r="BS29" i="58"/>
  <c r="BR29" i="58" s="1"/>
  <c r="AO29" i="58" s="1"/>
  <c r="AJ29" i="58" s="1"/>
  <c r="BS42" i="58"/>
  <c r="BR42" i="58" s="1"/>
  <c r="AC83" i="51"/>
  <c r="S79" i="33"/>
  <c r="S85" i="33"/>
  <c r="Y79" i="51"/>
  <c r="Q87" i="33"/>
  <c r="P5" i="32"/>
  <c r="BZ84" i="59"/>
  <c r="BZ80" i="59"/>
  <c r="L128" i="62"/>
  <c r="L66" i="62"/>
  <c r="BY73" i="59"/>
  <c r="AP73" i="59"/>
  <c r="N79" i="60"/>
  <c r="O128" i="64"/>
  <c r="BD8" i="64"/>
  <c r="E85" i="60"/>
  <c r="W85" i="60"/>
  <c r="BW80" i="59"/>
  <c r="AO80" i="59" s="1"/>
  <c r="AO81" i="59"/>
  <c r="AP81" i="59" s="1"/>
  <c r="AC88" i="60"/>
  <c r="J88" i="60"/>
  <c r="G88" i="60" s="1"/>
  <c r="W88" i="60"/>
  <c r="T88" i="60" s="1"/>
  <c r="E79" i="61"/>
  <c r="W79" i="61"/>
  <c r="X79" i="61"/>
  <c r="BY87" i="59"/>
  <c r="AP87" i="59"/>
  <c r="AO124" i="59"/>
  <c r="AJ124" i="59" s="1"/>
  <c r="AP124" i="59" s="1"/>
  <c r="L128" i="60"/>
  <c r="L66" i="60"/>
  <c r="BW125" i="60"/>
  <c r="AO125" i="60" s="1"/>
  <c r="AO122" i="59"/>
  <c r="AJ122" i="59" s="1"/>
  <c r="AP122" i="59" s="1"/>
  <c r="G83" i="60"/>
  <c r="AJ83" i="60" s="1"/>
  <c r="AO126" i="59"/>
  <c r="AJ126" i="59" s="1"/>
  <c r="AP126" i="59" s="1"/>
  <c r="BZ79" i="60"/>
  <c r="X82" i="60"/>
  <c r="X80" i="60" s="1"/>
  <c r="Y82" i="60"/>
  <c r="Y80" i="60" s="1"/>
  <c r="AC87" i="60"/>
  <c r="X87" i="60"/>
  <c r="BY121" i="59"/>
  <c r="AI121" i="59"/>
  <c r="BW85" i="60"/>
  <c r="N22" i="32"/>
  <c r="BS49" i="59"/>
  <c r="BR49" i="59" s="1"/>
  <c r="AO49" i="59" s="1"/>
  <c r="AJ49" i="59" s="1"/>
  <c r="BS51" i="59"/>
  <c r="BR51" i="59" s="1"/>
  <c r="AO51" i="59" s="1"/>
  <c r="AJ51" i="59" s="1"/>
  <c r="BS48" i="59"/>
  <c r="BR48" i="59" s="1"/>
  <c r="AO48" i="59" s="1"/>
  <c r="AJ48" i="59" s="1"/>
  <c r="BS47" i="59"/>
  <c r="BS50" i="59"/>
  <c r="BR50" i="59" s="1"/>
  <c r="AO50" i="59" s="1"/>
  <c r="AJ50" i="59" s="1"/>
  <c r="BS52" i="59"/>
  <c r="BR52" i="59" s="1"/>
  <c r="AO52" i="59" s="1"/>
  <c r="AJ52" i="59" s="1"/>
  <c r="Y88" i="33"/>
  <c r="AJ123" i="59"/>
  <c r="AP123" i="59" s="1"/>
  <c r="G70" i="59"/>
  <c r="AJ70" i="59" s="1"/>
  <c r="AP70" i="59" s="1"/>
  <c r="N81" i="60"/>
  <c r="Q80" i="60"/>
  <c r="S82" i="60"/>
  <c r="S80" i="60" s="1"/>
  <c r="S68" i="60" s="1"/>
  <c r="BH67" i="60" s="1"/>
  <c r="O93" i="32"/>
  <c r="Q231" i="32"/>
  <c r="O49" i="44" s="1"/>
  <c r="N25" i="32"/>
  <c r="BW88" i="60"/>
  <c r="AO88" i="60" s="1"/>
  <c r="N24" i="32"/>
  <c r="BW87" i="60"/>
  <c r="AO87" i="60" s="1"/>
  <c r="BS43" i="59"/>
  <c r="BR43" i="59" s="1"/>
  <c r="AO43" i="59" s="1"/>
  <c r="AJ43" i="59" s="1"/>
  <c r="BS44" i="59"/>
  <c r="BR44" i="59" s="1"/>
  <c r="AO44" i="59" s="1"/>
  <c r="AJ44" i="59" s="1"/>
  <c r="BS42" i="59"/>
  <c r="BR42" i="59" s="1"/>
  <c r="BS39" i="59"/>
  <c r="BS38" i="59"/>
  <c r="AO38" i="59" s="1"/>
  <c r="AJ38" i="59" s="1"/>
  <c r="BS33" i="58"/>
  <c r="AO33" i="58" s="1"/>
  <c r="AJ33" i="58" s="1"/>
  <c r="BY11" i="51"/>
  <c r="AP100" i="51"/>
  <c r="X85" i="33"/>
  <c r="BW5" i="51"/>
  <c r="Q86" i="33"/>
  <c r="N80" i="59"/>
  <c r="AP71" i="59"/>
  <c r="BY71" i="59"/>
  <c r="BY70" i="59" s="1"/>
  <c r="O128" i="59"/>
  <c r="BD8" i="59"/>
  <c r="G79" i="60"/>
  <c r="L128" i="64"/>
  <c r="L66" i="64"/>
  <c r="E88" i="60"/>
  <c r="BZ88" i="60" s="1"/>
  <c r="AC79" i="61"/>
  <c r="S79" i="61"/>
  <c r="Q79" i="61"/>
  <c r="AJ79" i="59"/>
  <c r="BY88" i="59"/>
  <c r="AP88" i="59"/>
  <c r="AJ71" i="64"/>
  <c r="P8" i="32"/>
  <c r="L66" i="61"/>
  <c r="L128" i="61"/>
  <c r="N11" i="59"/>
  <c r="AO79" i="59"/>
  <c r="BW68" i="59"/>
  <c r="AO68" i="59" s="1"/>
  <c r="W82" i="60"/>
  <c r="E82" i="60"/>
  <c r="E87" i="60"/>
  <c r="AP121" i="59"/>
  <c r="O128" i="60"/>
  <c r="BD8" i="60"/>
  <c r="AP119" i="59"/>
  <c r="BW124" i="60"/>
  <c r="BS66" i="58"/>
  <c r="BY75" i="33"/>
  <c r="S82" i="33"/>
  <c r="G86" i="33"/>
  <c r="V18" i="32"/>
  <c r="BW79" i="51"/>
  <c r="AO79" i="51" s="1"/>
  <c r="Q11" i="33"/>
  <c r="N12" i="33"/>
  <c r="S82" i="51"/>
  <c r="X82" i="51"/>
  <c r="AI105" i="33"/>
  <c r="BY105" i="33"/>
  <c r="BS58" i="58"/>
  <c r="BR58" i="58" s="1"/>
  <c r="AO58" i="58" s="1"/>
  <c r="AJ58" i="58" s="1"/>
  <c r="J58" i="58" s="1"/>
  <c r="T84" i="58"/>
  <c r="BS31" i="58"/>
  <c r="BR31" i="58" s="1"/>
  <c r="AO31" i="58" s="1"/>
  <c r="AJ31" i="58" s="1"/>
  <c r="BS35" i="58"/>
  <c r="BR35" i="58" s="1"/>
  <c r="AO35" i="58" s="1"/>
  <c r="AJ35" i="58" s="1"/>
  <c r="E35" i="58" s="1"/>
  <c r="S83" i="51"/>
  <c r="AI109" i="33"/>
  <c r="BY109" i="33"/>
  <c r="BY73" i="33"/>
  <c r="AP73" i="33"/>
  <c r="X81" i="33"/>
  <c r="Y81" i="33"/>
  <c r="W82" i="33"/>
  <c r="Q82" i="33"/>
  <c r="Q79" i="33"/>
  <c r="AD79" i="33"/>
  <c r="W79" i="33"/>
  <c r="X79" i="33"/>
  <c r="S81" i="51"/>
  <c r="X81" i="51"/>
  <c r="Q88" i="51"/>
  <c r="Q85" i="33"/>
  <c r="Y82" i="51"/>
  <c r="W82" i="51"/>
  <c r="W80" i="51" s="1"/>
  <c r="BW66" i="33"/>
  <c r="AH68" i="33" s="1"/>
  <c r="AH86" i="33" s="1"/>
  <c r="AH84" i="33" s="1"/>
  <c r="J79" i="51"/>
  <c r="G79" i="51" s="1"/>
  <c r="BE8" i="33"/>
  <c r="P128" i="51"/>
  <c r="BE8" i="51"/>
  <c r="BY111" i="33"/>
  <c r="AI111" i="33"/>
  <c r="E87" i="33"/>
  <c r="J87" i="33"/>
  <c r="G87" i="33" s="1"/>
  <c r="AP76" i="33"/>
  <c r="BY76" i="33"/>
  <c r="AP54" i="33"/>
  <c r="BY54" i="33"/>
  <c r="W86" i="33"/>
  <c r="J88" i="33"/>
  <c r="G88" i="33" s="1"/>
  <c r="AJ106" i="33"/>
  <c r="AJ106" i="51"/>
  <c r="AC82" i="51"/>
  <c r="Y88" i="51"/>
  <c r="AI108" i="33"/>
  <c r="BY108" i="33"/>
  <c r="BS62" i="58"/>
  <c r="BR62" i="58" s="1"/>
  <c r="AO62" i="58" s="1"/>
  <c r="AJ62" i="58" s="1"/>
  <c r="BY62" i="58" s="1"/>
  <c r="BS32" i="58"/>
  <c r="AO32" i="58" s="1"/>
  <c r="BS30" i="58"/>
  <c r="BR30" i="58" s="1"/>
  <c r="AO30" i="58" s="1"/>
  <c r="AJ30" i="58" s="1"/>
  <c r="U30" i="58" s="1"/>
  <c r="BZ84" i="58"/>
  <c r="X83" i="51"/>
  <c r="BY11" i="33"/>
  <c r="AI111" i="51"/>
  <c r="BY111" i="51"/>
  <c r="E88" i="51"/>
  <c r="E81" i="33"/>
  <c r="J82" i="33"/>
  <c r="G82" i="33" s="1"/>
  <c r="Y82" i="33"/>
  <c r="Y79" i="33"/>
  <c r="Q81" i="51"/>
  <c r="S88" i="51"/>
  <c r="N88" i="51" s="1"/>
  <c r="J88" i="51"/>
  <c r="G88" i="51" s="1"/>
  <c r="Y85" i="33"/>
  <c r="W85" i="33"/>
  <c r="Q82" i="51"/>
  <c r="BY105" i="51"/>
  <c r="AI105" i="51"/>
  <c r="E79" i="51"/>
  <c r="X79" i="51"/>
  <c r="BY108" i="51"/>
  <c r="AI108" i="51"/>
  <c r="U68" i="33"/>
  <c r="S87" i="33"/>
  <c r="N87" i="33" s="1"/>
  <c r="E86" i="33"/>
  <c r="S88" i="33"/>
  <c r="O13" i="33"/>
  <c r="O11" i="33" s="1"/>
  <c r="O9" i="33" s="1"/>
  <c r="N14" i="33"/>
  <c r="N13" i="33" s="1"/>
  <c r="N14" i="51"/>
  <c r="N13" i="51" s="1"/>
  <c r="O13" i="51"/>
  <c r="O11" i="51" s="1"/>
  <c r="O9" i="51" s="1"/>
  <c r="AP54" i="51"/>
  <c r="BY54" i="51"/>
  <c r="BZ77" i="33"/>
  <c r="G77" i="33"/>
  <c r="AJ77" i="33" s="1"/>
  <c r="L70" i="33"/>
  <c r="AC81" i="33"/>
  <c r="AI110" i="33"/>
  <c r="BY110" i="33"/>
  <c r="AP78" i="33"/>
  <c r="BY78" i="33"/>
  <c r="AO85" i="33"/>
  <c r="BW80" i="33"/>
  <c r="AO80" i="33" s="1"/>
  <c r="AO82" i="33"/>
  <c r="W68" i="58"/>
  <c r="AJ81" i="58"/>
  <c r="BS61" i="58"/>
  <c r="BR61" i="58" s="1"/>
  <c r="AO61" i="58" s="1"/>
  <c r="AJ61" i="58" s="1"/>
  <c r="AP61" i="58" s="1"/>
  <c r="BS34" i="58"/>
  <c r="AC81" i="51"/>
  <c r="AB70" i="51"/>
  <c r="AB68" i="51" s="1"/>
  <c r="AP111" i="51"/>
  <c r="J81" i="33"/>
  <c r="X82" i="33"/>
  <c r="E82" i="33"/>
  <c r="E79" i="33"/>
  <c r="Y81" i="51"/>
  <c r="W88" i="51"/>
  <c r="E85" i="33"/>
  <c r="E82" i="51"/>
  <c r="BZ82" i="51" s="1"/>
  <c r="AP105" i="51"/>
  <c r="S79" i="51"/>
  <c r="N79" i="51" s="1"/>
  <c r="AP110" i="33"/>
  <c r="AP108" i="33"/>
  <c r="BY53" i="33"/>
  <c r="AP53" i="33"/>
  <c r="Y87" i="33"/>
  <c r="AP74" i="33"/>
  <c r="BY74" i="33"/>
  <c r="S86" i="33"/>
  <c r="Q88" i="33"/>
  <c r="W88" i="33"/>
  <c r="AP105" i="33"/>
  <c r="AC79" i="33"/>
  <c r="G73" i="51"/>
  <c r="AI94" i="51"/>
  <c r="BY94" i="51"/>
  <c r="BZ75" i="51"/>
  <c r="BZ73" i="51"/>
  <c r="BY96" i="51"/>
  <c r="AI96" i="51"/>
  <c r="AP94" i="51"/>
  <c r="BY95" i="51"/>
  <c r="AI95" i="51"/>
  <c r="BY72" i="51"/>
  <c r="AP72" i="51"/>
  <c r="T73" i="51"/>
  <c r="AJ73" i="51" s="1"/>
  <c r="U70" i="51"/>
  <c r="BZ74" i="51"/>
  <c r="AI97" i="51"/>
  <c r="BY97" i="51"/>
  <c r="T74" i="51"/>
  <c r="AJ74" i="51" s="1"/>
  <c r="BZ77" i="51"/>
  <c r="L70" i="51"/>
  <c r="G77" i="51"/>
  <c r="AJ77" i="51" s="1"/>
  <c r="AI93" i="51"/>
  <c r="BY93" i="51"/>
  <c r="BZ78" i="51"/>
  <c r="I70" i="51"/>
  <c r="G78" i="51"/>
  <c r="AJ78" i="51" s="1"/>
  <c r="AP95" i="51"/>
  <c r="BZ76" i="51"/>
  <c r="G76" i="51"/>
  <c r="AJ76" i="51" s="1"/>
  <c r="AP93" i="51"/>
  <c r="T75" i="51"/>
  <c r="AJ75" i="51" s="1"/>
  <c r="Q11" i="51"/>
  <c r="N12" i="51"/>
  <c r="N11" i="51" s="1"/>
  <c r="J87" i="51"/>
  <c r="G87" i="51" s="1"/>
  <c r="E87" i="51"/>
  <c r="Q87" i="51"/>
  <c r="S87" i="51"/>
  <c r="W87" i="51"/>
  <c r="Y87" i="51"/>
  <c r="J86" i="51"/>
  <c r="G86" i="51" s="1"/>
  <c r="E86" i="51"/>
  <c r="S86" i="51"/>
  <c r="Q86" i="51"/>
  <c r="Q83" i="51"/>
  <c r="AD83" i="51"/>
  <c r="AD80" i="51" s="1"/>
  <c r="E83" i="51"/>
  <c r="J83" i="51"/>
  <c r="Y83" i="51"/>
  <c r="BY107" i="51"/>
  <c r="AI107" i="51"/>
  <c r="V21" i="32"/>
  <c r="BW83" i="51"/>
  <c r="V20" i="32"/>
  <c r="BW82" i="51"/>
  <c r="AO82" i="51" s="1"/>
  <c r="V19" i="32"/>
  <c r="BW81" i="51"/>
  <c r="BY81" i="58"/>
  <c r="AP81" i="58"/>
  <c r="BY86" i="58"/>
  <c r="AP86" i="58"/>
  <c r="T18" i="32"/>
  <c r="AI124" i="58"/>
  <c r="BY124" i="58"/>
  <c r="BZ80" i="58"/>
  <c r="AJ106" i="58"/>
  <c r="E30" i="58"/>
  <c r="AB30" i="58"/>
  <c r="AP79" i="58"/>
  <c r="AI121" i="58"/>
  <c r="BY121" i="58"/>
  <c r="U49" i="58"/>
  <c r="BY49" i="58"/>
  <c r="AP49" i="58"/>
  <c r="AB49" i="58"/>
  <c r="E49" i="58"/>
  <c r="AB50" i="58"/>
  <c r="U50" i="58"/>
  <c r="E50" i="58"/>
  <c r="Y50" i="58"/>
  <c r="V50" i="58"/>
  <c r="X50" i="58"/>
  <c r="BY50" i="58"/>
  <c r="W50" i="58"/>
  <c r="C50" i="58"/>
  <c r="I50" i="58"/>
  <c r="G50" i="58" s="1"/>
  <c r="AP50" i="58"/>
  <c r="G84" i="58"/>
  <c r="AJ85" i="58"/>
  <c r="BR19" i="58"/>
  <c r="AO20" i="58"/>
  <c r="AJ20" i="58" s="1"/>
  <c r="AC25" i="58"/>
  <c r="AP25" i="58"/>
  <c r="BY25" i="58"/>
  <c r="AI119" i="58"/>
  <c r="BY119" i="58"/>
  <c r="T21" i="32"/>
  <c r="AP124" i="58"/>
  <c r="G80" i="58"/>
  <c r="Q62" i="58"/>
  <c r="BW68" i="58"/>
  <c r="AO68" i="58" s="1"/>
  <c r="AO84" i="58"/>
  <c r="BY120" i="58"/>
  <c r="AI120" i="58"/>
  <c r="L128" i="58"/>
  <c r="L66" i="58"/>
  <c r="AI123" i="58"/>
  <c r="BY123" i="58"/>
  <c r="BR34" i="58"/>
  <c r="AO34" i="58" s="1"/>
  <c r="AJ34" i="58" s="1"/>
  <c r="AO28" i="58"/>
  <c r="AJ28" i="58" s="1"/>
  <c r="Q68" i="58"/>
  <c r="BF67" i="58" s="1"/>
  <c r="AI122" i="58"/>
  <c r="BY122" i="58"/>
  <c r="BY127" i="58"/>
  <c r="AI127" i="58"/>
  <c r="AP52" i="58"/>
  <c r="AF52" i="58"/>
  <c r="AF46" i="58" s="1"/>
  <c r="AF18" i="58" s="1"/>
  <c r="AF9" i="58" s="1"/>
  <c r="BU5" i="58" s="1"/>
  <c r="BY52" i="58"/>
  <c r="BR47" i="58"/>
  <c r="BS46" i="58"/>
  <c r="BS18" i="58" s="1"/>
  <c r="AD129" i="58" s="1"/>
  <c r="AB22" i="58"/>
  <c r="BY22" i="58"/>
  <c r="E22" i="58"/>
  <c r="AP22" i="58"/>
  <c r="U22" i="58"/>
  <c r="AO117" i="58"/>
  <c r="BW89" i="58"/>
  <c r="AO42" i="58"/>
  <c r="AJ42" i="58" s="1"/>
  <c r="BR41" i="58"/>
  <c r="AO41" i="58" s="1"/>
  <c r="T20" i="32"/>
  <c r="N80" i="58"/>
  <c r="AC59" i="58"/>
  <c r="S59" i="58"/>
  <c r="R5" i="32"/>
  <c r="AC33" i="58"/>
  <c r="AP33" i="58"/>
  <c r="BY33" i="58"/>
  <c r="S68" i="58"/>
  <c r="BH67" i="58" s="1"/>
  <c r="N84" i="58"/>
  <c r="AP122" i="58"/>
  <c r="AP127" i="58"/>
  <c r="J48" i="58"/>
  <c r="J46" i="58" s="1"/>
  <c r="M48" i="58"/>
  <c r="M46" i="58" s="1"/>
  <c r="BY48" i="58"/>
  <c r="X48" i="58"/>
  <c r="I48" i="58"/>
  <c r="AB48" i="58"/>
  <c r="U48" i="58"/>
  <c r="K48" i="58"/>
  <c r="K46" i="58" s="1"/>
  <c r="E48" i="58"/>
  <c r="AP48" i="58"/>
  <c r="Y48" i="58"/>
  <c r="AB38" i="58"/>
  <c r="AB37" i="58" s="1"/>
  <c r="I38" i="58"/>
  <c r="W38" i="58"/>
  <c r="K38" i="58"/>
  <c r="K37" i="58" s="1"/>
  <c r="J38" i="58"/>
  <c r="J37" i="58" s="1"/>
  <c r="M38" i="58"/>
  <c r="M37" i="58" s="1"/>
  <c r="BY38" i="58"/>
  <c r="Y38" i="58"/>
  <c r="E38" i="58"/>
  <c r="AP38" i="58"/>
  <c r="U38" i="58"/>
  <c r="U23" i="58"/>
  <c r="E23" i="58"/>
  <c r="BY23" i="58"/>
  <c r="W23" i="58"/>
  <c r="X23" i="58"/>
  <c r="C23" i="58"/>
  <c r="I23" i="58"/>
  <c r="G23" i="58" s="1"/>
  <c r="AB23" i="58"/>
  <c r="AP23" i="58"/>
  <c r="Y23" i="58"/>
  <c r="V23" i="58"/>
  <c r="V21" i="58"/>
  <c r="I21" i="58"/>
  <c r="M21" i="58"/>
  <c r="M19" i="58" s="1"/>
  <c r="AB21" i="58"/>
  <c r="X21" i="58"/>
  <c r="W21" i="58"/>
  <c r="J21" i="58"/>
  <c r="J19" i="58" s="1"/>
  <c r="E21" i="58"/>
  <c r="K21" i="58"/>
  <c r="K19" i="58" s="1"/>
  <c r="Y21" i="58"/>
  <c r="BY21" i="58"/>
  <c r="U21" i="58"/>
  <c r="AP21" i="58"/>
  <c r="AI118" i="58"/>
  <c r="BY118" i="58"/>
  <c r="AJ117" i="58"/>
  <c r="AP117" i="58" s="1"/>
  <c r="R8" i="32"/>
  <c r="V68" i="58"/>
  <c r="T70" i="58"/>
  <c r="T68" i="58" s="1"/>
  <c r="F44" i="58"/>
  <c r="Z44" i="58"/>
  <c r="AP44" i="58"/>
  <c r="BY44" i="58"/>
  <c r="AA44" i="58"/>
  <c r="T19" i="32"/>
  <c r="BY82" i="58"/>
  <c r="AP82" i="58"/>
  <c r="AP71" i="58"/>
  <c r="BY71" i="58"/>
  <c r="BY70" i="58" s="1"/>
  <c r="AC32" i="58"/>
  <c r="S32" i="58"/>
  <c r="T22" i="32"/>
  <c r="BY60" i="58"/>
  <c r="AP60" i="58"/>
  <c r="AC60" i="58"/>
  <c r="Y64" i="58"/>
  <c r="BY125" i="58"/>
  <c r="AI125" i="58"/>
  <c r="W31" i="58"/>
  <c r="C31" i="58"/>
  <c r="BY31" i="58"/>
  <c r="X31" i="58"/>
  <c r="AB31" i="58"/>
  <c r="E31" i="58"/>
  <c r="Y31" i="58"/>
  <c r="AP31" i="58"/>
  <c r="U31" i="58"/>
  <c r="I31" i="58"/>
  <c r="G31" i="58" s="1"/>
  <c r="V31" i="58"/>
  <c r="V35" i="58"/>
  <c r="W35" i="58"/>
  <c r="C35" i="58"/>
  <c r="AP121" i="58"/>
  <c r="V51" i="58"/>
  <c r="AP51" i="58"/>
  <c r="X51" i="58"/>
  <c r="I51" i="58"/>
  <c r="G51" i="58" s="1"/>
  <c r="E51" i="58"/>
  <c r="W51" i="58"/>
  <c r="C51" i="58"/>
  <c r="BY51" i="58"/>
  <c r="Y51" i="58"/>
  <c r="AB51" i="58"/>
  <c r="U51" i="58"/>
  <c r="BR39" i="58"/>
  <c r="AO39" i="58" s="1"/>
  <c r="AJ39" i="58" s="1"/>
  <c r="AC24" i="58"/>
  <c r="S24" i="58"/>
  <c r="AP87" i="58"/>
  <c r="BY87" i="58"/>
  <c r="AP119" i="58"/>
  <c r="AA43" i="58"/>
  <c r="AP43" i="58"/>
  <c r="Z43" i="58"/>
  <c r="F43" i="58"/>
  <c r="BY43" i="58"/>
  <c r="U113" i="32"/>
  <c r="U121" i="32"/>
  <c r="U28" i="32"/>
  <c r="W28" i="32"/>
  <c r="U57" i="32"/>
  <c r="W57" i="32"/>
  <c r="U85" i="32"/>
  <c r="W113" i="32"/>
  <c r="U141" i="32"/>
  <c r="W85" i="32"/>
  <c r="W121" i="32"/>
  <c r="T123" i="32"/>
  <c r="AD83" i="33" s="1"/>
  <c r="AD80" i="33" s="1"/>
  <c r="T122" i="32"/>
  <c r="AC83" i="33" s="1"/>
  <c r="N261" i="32"/>
  <c r="N268" i="32" s="1"/>
  <c r="BS19" i="60" s="1"/>
  <c r="L151" i="32"/>
  <c r="AD85" i="61" s="1"/>
  <c r="N262" i="32"/>
  <c r="G8" i="43" s="1"/>
  <c r="L94" i="32"/>
  <c r="W82" i="61" s="1"/>
  <c r="N265" i="32"/>
  <c r="N272" i="32" s="1"/>
  <c r="BS57" i="60" s="1"/>
  <c r="T268" i="32"/>
  <c r="BS19" i="33" s="1"/>
  <c r="T269" i="32"/>
  <c r="T273" i="32"/>
  <c r="T271" i="32"/>
  <c r="T270" i="32"/>
  <c r="L122" i="32"/>
  <c r="S83" i="61" s="1"/>
  <c r="O121" i="32"/>
  <c r="L182" i="32"/>
  <c r="Q86" i="61" s="1"/>
  <c r="O181" i="32"/>
  <c r="J32" i="44"/>
  <c r="O142" i="32"/>
  <c r="G81" i="39" s="1"/>
  <c r="L242" i="32"/>
  <c r="AD88" i="61" s="1"/>
  <c r="N264" i="32"/>
  <c r="Q141" i="32"/>
  <c r="J12" i="44"/>
  <c r="L28" i="32"/>
  <c r="L212" i="32"/>
  <c r="Y87" i="61" s="1"/>
  <c r="L66" i="32"/>
  <c r="O65" i="32"/>
  <c r="O29" i="32"/>
  <c r="G8" i="39" s="1"/>
  <c r="O204" i="32"/>
  <c r="M32" i="44" s="1"/>
  <c r="L150" i="32"/>
  <c r="Y85" i="61" s="1"/>
  <c r="Q85" i="32"/>
  <c r="N263" i="32"/>
  <c r="J8" i="44"/>
  <c r="O260" i="32"/>
  <c r="N266" i="32"/>
  <c r="J50" i="44"/>
  <c r="L95" i="32"/>
  <c r="AD82" i="61" s="1"/>
  <c r="L49" i="44"/>
  <c r="L31" i="44"/>
  <c r="Q203" i="32"/>
  <c r="O31" i="44" s="1"/>
  <c r="O240" i="32"/>
  <c r="Q28" i="32"/>
  <c r="Q113" i="32"/>
  <c r="Q169" i="32"/>
  <c r="L67" i="32"/>
  <c r="L57" i="32"/>
  <c r="L203" i="32"/>
  <c r="L123" i="32"/>
  <c r="AD83" i="61" s="1"/>
  <c r="L113" i="32"/>
  <c r="L169" i="32"/>
  <c r="L85" i="32"/>
  <c r="L213" i="32"/>
  <c r="AD87" i="61" s="1"/>
  <c r="L141" i="32"/>
  <c r="L241" i="32"/>
  <c r="W88" i="61" s="1"/>
  <c r="L231" i="32"/>
  <c r="J93" i="32"/>
  <c r="T87" i="60" l="1"/>
  <c r="AJ79" i="60"/>
  <c r="AJ81" i="60"/>
  <c r="T82" i="60"/>
  <c r="J80" i="60"/>
  <c r="G80" i="60" s="1"/>
  <c r="BC67" i="59"/>
  <c r="AO67" i="59" s="1"/>
  <c r="BC67" i="58"/>
  <c r="AO67" i="58" s="1"/>
  <c r="AP62" i="58"/>
  <c r="N86" i="33"/>
  <c r="AJ80" i="58"/>
  <c r="AP80" i="58" s="1"/>
  <c r="T79" i="61"/>
  <c r="BZ82" i="33"/>
  <c r="BW121" i="61"/>
  <c r="AO121" i="61" s="1"/>
  <c r="AJ121" i="61" s="1"/>
  <c r="AP121" i="61" s="1"/>
  <c r="AD84" i="61"/>
  <c r="BW5" i="33"/>
  <c r="T79" i="51"/>
  <c r="AJ79" i="51" s="1"/>
  <c r="AC80" i="51"/>
  <c r="BZ81" i="51"/>
  <c r="X64" i="58"/>
  <c r="W64" i="58"/>
  <c r="AP30" i="58"/>
  <c r="BY30" i="58"/>
  <c r="U64" i="58"/>
  <c r="E64" i="58"/>
  <c r="H64" i="58"/>
  <c r="F64" i="58"/>
  <c r="F57" i="58" s="1"/>
  <c r="AA64" i="58"/>
  <c r="AA57" i="58" s="1"/>
  <c r="R64" i="58"/>
  <c r="Q64" i="58"/>
  <c r="Q57" i="58" s="1"/>
  <c r="BR57" i="58"/>
  <c r="AO57" i="58" s="1"/>
  <c r="K64" i="58"/>
  <c r="K57" i="58" s="1"/>
  <c r="C64" i="58"/>
  <c r="M64" i="58"/>
  <c r="M57" i="58" s="1"/>
  <c r="AP64" i="58"/>
  <c r="BY64" i="58"/>
  <c r="J64" i="58"/>
  <c r="J57" i="58" s="1"/>
  <c r="R61" i="58"/>
  <c r="N61" i="58" s="1"/>
  <c r="BR37" i="58"/>
  <c r="AO37" i="58" s="1"/>
  <c r="AC19" i="58"/>
  <c r="V64" i="58"/>
  <c r="Z64" i="58"/>
  <c r="Z57" i="58" s="1"/>
  <c r="I64" i="58"/>
  <c r="S64" i="58"/>
  <c r="S57" i="58" s="1"/>
  <c r="N88" i="33"/>
  <c r="X80" i="51"/>
  <c r="N79" i="33"/>
  <c r="BY82" i="59"/>
  <c r="AP82" i="59"/>
  <c r="AP83" i="60"/>
  <c r="BY83" i="60"/>
  <c r="BW82" i="61"/>
  <c r="AO82" i="61" s="1"/>
  <c r="L20" i="32"/>
  <c r="O203" i="32"/>
  <c r="M31" i="44" s="1"/>
  <c r="BW87" i="61"/>
  <c r="AO87" i="61" s="1"/>
  <c r="L24" i="32"/>
  <c r="O141" i="32"/>
  <c r="L22" i="32"/>
  <c r="BW85" i="61"/>
  <c r="O113" i="32"/>
  <c r="L21" i="32"/>
  <c r="BW83" i="61"/>
  <c r="AO83" i="61" s="1"/>
  <c r="BW126" i="61"/>
  <c r="BW123" i="33"/>
  <c r="AO123" i="33" s="1"/>
  <c r="AJ123" i="33" s="1"/>
  <c r="BZ88" i="33"/>
  <c r="T81" i="33"/>
  <c r="BW126" i="33"/>
  <c r="AO126" i="33" s="1"/>
  <c r="AJ126" i="33" s="1"/>
  <c r="AP126" i="33" s="1"/>
  <c r="BZ87" i="60"/>
  <c r="N3" i="44"/>
  <c r="BA66" i="64"/>
  <c r="BA9" i="64"/>
  <c r="I38" i="59"/>
  <c r="K38" i="59"/>
  <c r="K37" i="59" s="1"/>
  <c r="BY38" i="59"/>
  <c r="E38" i="59"/>
  <c r="AB38" i="59"/>
  <c r="AB37" i="59" s="1"/>
  <c r="M38" i="59"/>
  <c r="M37" i="59" s="1"/>
  <c r="J38" i="59"/>
  <c r="J37" i="59" s="1"/>
  <c r="Y38" i="59"/>
  <c r="W38" i="59"/>
  <c r="U38" i="59"/>
  <c r="AP38" i="59"/>
  <c r="AA44" i="59"/>
  <c r="AP44" i="59"/>
  <c r="Z44" i="59"/>
  <c r="F44" i="59"/>
  <c r="BY44" i="59"/>
  <c r="J82" i="61"/>
  <c r="G82" i="61" s="1"/>
  <c r="E82" i="61"/>
  <c r="U48" i="59"/>
  <c r="E48" i="59"/>
  <c r="X48" i="59"/>
  <c r="AP48" i="59"/>
  <c r="M48" i="59"/>
  <c r="M46" i="59" s="1"/>
  <c r="I48" i="59"/>
  <c r="K48" i="59"/>
  <c r="K46" i="59" s="1"/>
  <c r="AB48" i="59"/>
  <c r="Y48" i="59"/>
  <c r="J48" i="59"/>
  <c r="J46" i="59" s="1"/>
  <c r="BY48" i="59"/>
  <c r="J83" i="61"/>
  <c r="G83" i="61" s="1"/>
  <c r="BY126" i="59"/>
  <c r="AI126" i="59"/>
  <c r="AI122" i="59"/>
  <c r="BY122" i="59"/>
  <c r="AJ88" i="60"/>
  <c r="BR62" i="59"/>
  <c r="BR57" i="59" s="1"/>
  <c r="AO57" i="59" s="1"/>
  <c r="BY34" i="59"/>
  <c r="Q34" i="59"/>
  <c r="AP34" i="59"/>
  <c r="X35" i="59"/>
  <c r="U35" i="59"/>
  <c r="V35" i="59"/>
  <c r="BY35" i="59"/>
  <c r="W35" i="59"/>
  <c r="Y35" i="59"/>
  <c r="I35" i="59"/>
  <c r="G35" i="59" s="1"/>
  <c r="AB35" i="59"/>
  <c r="C35" i="59"/>
  <c r="AP35" i="59"/>
  <c r="E35" i="59"/>
  <c r="Q81" i="61"/>
  <c r="AD81" i="61"/>
  <c r="AD80" i="61" s="1"/>
  <c r="AD68" i="61" s="1"/>
  <c r="E87" i="61"/>
  <c r="J87" i="61"/>
  <c r="G87" i="61" s="1"/>
  <c r="Q88" i="61"/>
  <c r="J88" i="61"/>
  <c r="G88" i="61" s="1"/>
  <c r="BS24" i="59"/>
  <c r="AO24" i="59" s="1"/>
  <c r="BS25" i="59"/>
  <c r="AO25" i="59" s="1"/>
  <c r="AJ25" i="59" s="1"/>
  <c r="BS23" i="59"/>
  <c r="BR23" i="59" s="1"/>
  <c r="AO23" i="59" s="1"/>
  <c r="AJ23" i="59" s="1"/>
  <c r="BS22" i="59"/>
  <c r="BR22" i="59" s="1"/>
  <c r="AO22" i="59" s="1"/>
  <c r="AJ22" i="59" s="1"/>
  <c r="BS20" i="59"/>
  <c r="BR20" i="59" s="1"/>
  <c r="BS21" i="59"/>
  <c r="BR21" i="59" s="1"/>
  <c r="AO21" i="59" s="1"/>
  <c r="AJ21" i="59" s="1"/>
  <c r="AO119" i="60"/>
  <c r="AJ119" i="60" s="1"/>
  <c r="AP119" i="60" s="1"/>
  <c r="W80" i="60"/>
  <c r="AO117" i="59"/>
  <c r="BW89" i="59"/>
  <c r="BW123" i="61"/>
  <c r="X84" i="60"/>
  <c r="X68" i="60" s="1"/>
  <c r="AI106" i="60"/>
  <c r="BY106" i="60"/>
  <c r="BY101" i="60" s="1"/>
  <c r="AP106" i="60"/>
  <c r="AJ101" i="60"/>
  <c r="AC86" i="61"/>
  <c r="J86" i="61"/>
  <c r="G86" i="61" s="1"/>
  <c r="N87" i="60"/>
  <c r="AJ87" i="60" s="1"/>
  <c r="AO123" i="60"/>
  <c r="AJ123" i="60" s="1"/>
  <c r="AP123" i="60" s="1"/>
  <c r="Y68" i="60"/>
  <c r="BY125" i="59"/>
  <c r="AI125" i="59"/>
  <c r="S85" i="61"/>
  <c r="W85" i="61"/>
  <c r="BY86" i="60"/>
  <c r="L18" i="32"/>
  <c r="BW79" i="61"/>
  <c r="BS62" i="60"/>
  <c r="BR62" i="60" s="1"/>
  <c r="AO62" i="60" s="1"/>
  <c r="AJ62" i="60" s="1"/>
  <c r="BS61" i="60"/>
  <c r="BR61" i="60" s="1"/>
  <c r="AO61" i="60" s="1"/>
  <c r="AJ61" i="60" s="1"/>
  <c r="BS59" i="60"/>
  <c r="BS58" i="60"/>
  <c r="BR58" i="60" s="1"/>
  <c r="BS64" i="60"/>
  <c r="BR64" i="60" s="1"/>
  <c r="AO64" i="60" s="1"/>
  <c r="AJ64" i="60" s="1"/>
  <c r="BS60" i="60"/>
  <c r="AO60" i="60" s="1"/>
  <c r="AJ60" i="60" s="1"/>
  <c r="BS22" i="60"/>
  <c r="BR22" i="60" s="1"/>
  <c r="AO22" i="60" s="1"/>
  <c r="AJ22" i="60" s="1"/>
  <c r="BS25" i="60"/>
  <c r="AO25" i="60" s="1"/>
  <c r="AJ25" i="60" s="1"/>
  <c r="BS23" i="60"/>
  <c r="BR23" i="60" s="1"/>
  <c r="AO23" i="60" s="1"/>
  <c r="AJ23" i="60" s="1"/>
  <c r="BS20" i="60"/>
  <c r="BR20" i="60" s="1"/>
  <c r="BS24" i="60"/>
  <c r="AO24" i="60" s="1"/>
  <c r="BS21" i="60"/>
  <c r="BR21" i="60" s="1"/>
  <c r="AO21" i="60" s="1"/>
  <c r="AJ21" i="60" s="1"/>
  <c r="BW120" i="33"/>
  <c r="AO120" i="33" s="1"/>
  <c r="AJ120" i="33" s="1"/>
  <c r="AP120" i="33" s="1"/>
  <c r="BZ82" i="60"/>
  <c r="E80" i="60"/>
  <c r="BY71" i="64"/>
  <c r="BY70" i="64" s="1"/>
  <c r="AP71" i="64"/>
  <c r="N79" i="61"/>
  <c r="BR39" i="59"/>
  <c r="AO39" i="59" s="1"/>
  <c r="AJ39" i="59" s="1"/>
  <c r="AA43" i="59"/>
  <c r="BY43" i="59"/>
  <c r="AP43" i="59"/>
  <c r="F43" i="59"/>
  <c r="Z43" i="59"/>
  <c r="T43" i="59" s="1"/>
  <c r="X82" i="61"/>
  <c r="S82" i="61"/>
  <c r="N80" i="60"/>
  <c r="BY52" i="59"/>
  <c r="AF52" i="59"/>
  <c r="AF46" i="59" s="1"/>
  <c r="AF18" i="59" s="1"/>
  <c r="AF9" i="59" s="1"/>
  <c r="BU5" i="59" s="1"/>
  <c r="AP52" i="59"/>
  <c r="AB51" i="59"/>
  <c r="U51" i="59"/>
  <c r="W51" i="59"/>
  <c r="I51" i="59"/>
  <c r="G51" i="59" s="1"/>
  <c r="E51" i="59"/>
  <c r="AP51" i="59"/>
  <c r="V51" i="59"/>
  <c r="X51" i="59"/>
  <c r="BY51" i="59"/>
  <c r="C51" i="59"/>
  <c r="Y51" i="59"/>
  <c r="W83" i="61"/>
  <c r="X83" i="61"/>
  <c r="BW84" i="60"/>
  <c r="AO84" i="60" s="1"/>
  <c r="AO85" i="60"/>
  <c r="AJ125" i="60"/>
  <c r="AP125" i="60" s="1"/>
  <c r="T85" i="60"/>
  <c r="T84" i="60" s="1"/>
  <c r="W84" i="60"/>
  <c r="BA9" i="62"/>
  <c r="BA66" i="62"/>
  <c r="BY60" i="59"/>
  <c r="AC60" i="59"/>
  <c r="AP60" i="59"/>
  <c r="V31" i="59"/>
  <c r="I31" i="59"/>
  <c r="G31" i="59" s="1"/>
  <c r="X31" i="59"/>
  <c r="BY31" i="59"/>
  <c r="AB31" i="59"/>
  <c r="W31" i="59"/>
  <c r="C31" i="59"/>
  <c r="Y31" i="59"/>
  <c r="E31" i="59"/>
  <c r="U31" i="59"/>
  <c r="AP31" i="59"/>
  <c r="AC32" i="59"/>
  <c r="S32" i="59"/>
  <c r="W81" i="61"/>
  <c r="J81" i="61"/>
  <c r="S87" i="61"/>
  <c r="X87" i="61"/>
  <c r="E88" i="61"/>
  <c r="S88" i="61"/>
  <c r="N88" i="61" s="1"/>
  <c r="X88" i="61"/>
  <c r="BA9" i="59"/>
  <c r="BA66" i="59"/>
  <c r="AJ127" i="59"/>
  <c r="BY127" i="59" s="1"/>
  <c r="AI118" i="59"/>
  <c r="BY118" i="59"/>
  <c r="BW122" i="61"/>
  <c r="N85" i="60"/>
  <c r="N84" i="60" s="1"/>
  <c r="N68" i="60" s="1"/>
  <c r="Q84" i="60"/>
  <c r="Q68" i="60" s="1"/>
  <c r="BF67" i="60" s="1"/>
  <c r="BC67" i="60" s="1"/>
  <c r="AO67" i="60" s="1"/>
  <c r="AI106" i="61"/>
  <c r="BY106" i="61"/>
  <c r="BY101" i="61" s="1"/>
  <c r="AP106" i="61"/>
  <c r="AJ101" i="61"/>
  <c r="AO79" i="60"/>
  <c r="AP79" i="60" s="1"/>
  <c r="W86" i="61"/>
  <c r="T86" i="61" s="1"/>
  <c r="S86" i="61"/>
  <c r="N86" i="61" s="1"/>
  <c r="BW117" i="60"/>
  <c r="AO120" i="60"/>
  <c r="AJ120" i="60" s="1"/>
  <c r="AP120" i="60" s="1"/>
  <c r="AJ127" i="60"/>
  <c r="AP127" i="60" s="1"/>
  <c r="E85" i="61"/>
  <c r="AD128" i="60"/>
  <c r="BS66" i="60"/>
  <c r="BW125" i="61"/>
  <c r="O231" i="32"/>
  <c r="M49" i="44" s="1"/>
  <c r="BW88" i="61"/>
  <c r="AO88" i="61" s="1"/>
  <c r="L25" i="32"/>
  <c r="BA66" i="61"/>
  <c r="BA9" i="61"/>
  <c r="AP79" i="59"/>
  <c r="BY79" i="59"/>
  <c r="BW119" i="61"/>
  <c r="BY79" i="60"/>
  <c r="BW118" i="61"/>
  <c r="Y82" i="61"/>
  <c r="T82" i="61" s="1"/>
  <c r="Q82" i="61"/>
  <c r="BY81" i="60"/>
  <c r="AP81" i="60"/>
  <c r="BY123" i="59"/>
  <c r="AI123" i="59"/>
  <c r="AP50" i="59"/>
  <c r="BY50" i="59"/>
  <c r="AB50" i="59"/>
  <c r="U50" i="59"/>
  <c r="C50" i="59"/>
  <c r="E50" i="59"/>
  <c r="V50" i="59"/>
  <c r="X50" i="59"/>
  <c r="W50" i="59"/>
  <c r="I50" i="59"/>
  <c r="G50" i="59" s="1"/>
  <c r="Y50" i="59"/>
  <c r="BY49" i="59"/>
  <c r="AB49" i="59"/>
  <c r="AP49" i="59"/>
  <c r="U49" i="59"/>
  <c r="E49" i="59"/>
  <c r="Q83" i="61"/>
  <c r="N83" i="61" s="1"/>
  <c r="E83" i="61"/>
  <c r="AI124" i="59"/>
  <c r="BY124" i="59"/>
  <c r="AC84" i="60"/>
  <c r="BZ85" i="60"/>
  <c r="BZ84" i="60" s="1"/>
  <c r="E84" i="60"/>
  <c r="H3" i="39"/>
  <c r="S59" i="59"/>
  <c r="AC59" i="59"/>
  <c r="AA64" i="59"/>
  <c r="AA57" i="59" s="1"/>
  <c r="E64" i="59"/>
  <c r="I64" i="59"/>
  <c r="M64" i="59"/>
  <c r="M57" i="59" s="1"/>
  <c r="S64" i="59"/>
  <c r="BY64" i="59"/>
  <c r="R64" i="59"/>
  <c r="Y64" i="59"/>
  <c r="AB64" i="59"/>
  <c r="AP64" i="59"/>
  <c r="W64" i="59"/>
  <c r="Z64" i="59"/>
  <c r="Z57" i="59" s="1"/>
  <c r="C64" i="59"/>
  <c r="H64" i="59"/>
  <c r="K64" i="59"/>
  <c r="K57" i="59" s="1"/>
  <c r="V64" i="59"/>
  <c r="F64" i="59"/>
  <c r="F57" i="59" s="1"/>
  <c r="J64" i="59"/>
  <c r="Q64" i="59"/>
  <c r="U64" i="59"/>
  <c r="X64" i="59"/>
  <c r="BR29" i="59"/>
  <c r="AO29" i="59" s="1"/>
  <c r="AJ29" i="59" s="1"/>
  <c r="AC33" i="59"/>
  <c r="AC27" i="59" s="1"/>
  <c r="BY33" i="59"/>
  <c r="AP33" i="59"/>
  <c r="AC81" i="61"/>
  <c r="E81" i="61"/>
  <c r="X81" i="61"/>
  <c r="X80" i="61" s="1"/>
  <c r="Q87" i="61"/>
  <c r="N87" i="61" s="1"/>
  <c r="AC88" i="61"/>
  <c r="BW80" i="60"/>
  <c r="AO80" i="60" s="1"/>
  <c r="AO82" i="60"/>
  <c r="G80" i="59"/>
  <c r="AJ80" i="59" s="1"/>
  <c r="AP80" i="59" s="1"/>
  <c r="N82" i="60"/>
  <c r="BY120" i="59"/>
  <c r="AI120" i="59"/>
  <c r="BY106" i="62"/>
  <c r="BY101" i="62" s="1"/>
  <c r="AI106" i="62"/>
  <c r="AP106" i="62"/>
  <c r="AJ101" i="62"/>
  <c r="E86" i="61"/>
  <c r="BZ86" i="61" s="1"/>
  <c r="BY84" i="59"/>
  <c r="AO122" i="60"/>
  <c r="AJ122" i="60" s="1"/>
  <c r="AP122" i="60" s="1"/>
  <c r="J85" i="61"/>
  <c r="Q85" i="61"/>
  <c r="BW86" i="61"/>
  <c r="AO86" i="61" s="1"/>
  <c r="L23" i="32"/>
  <c r="L19" i="32"/>
  <c r="BW81" i="61"/>
  <c r="BW124" i="61"/>
  <c r="BW127" i="61"/>
  <c r="BS9" i="58"/>
  <c r="AD66" i="58" s="1"/>
  <c r="T30" i="58"/>
  <c r="J83" i="33"/>
  <c r="G83" i="33" s="1"/>
  <c r="T81" i="51"/>
  <c r="AO124" i="60"/>
  <c r="BW120" i="61"/>
  <c r="BR41" i="59"/>
  <c r="AO41" i="59" s="1"/>
  <c r="AO42" i="59"/>
  <c r="AJ42" i="59" s="1"/>
  <c r="AC82" i="61"/>
  <c r="BR47" i="59"/>
  <c r="BS46" i="59"/>
  <c r="BS18" i="59" s="1"/>
  <c r="AC83" i="61"/>
  <c r="Y83" i="61"/>
  <c r="BA66" i="60"/>
  <c r="BA9" i="60"/>
  <c r="BZ79" i="61"/>
  <c r="AO58" i="59"/>
  <c r="AJ58" i="59" s="1"/>
  <c r="AP61" i="59"/>
  <c r="R61" i="59"/>
  <c r="BY61" i="59"/>
  <c r="AO28" i="59"/>
  <c r="AJ28" i="59" s="1"/>
  <c r="BR27" i="59"/>
  <c r="AO27" i="59" s="1"/>
  <c r="AB30" i="59"/>
  <c r="E30" i="59"/>
  <c r="AP30" i="59"/>
  <c r="BY30" i="59"/>
  <c r="U30" i="59"/>
  <c r="T30" i="59" s="1"/>
  <c r="Y81" i="61"/>
  <c r="S81" i="61"/>
  <c r="AC87" i="61"/>
  <c r="W87" i="61"/>
  <c r="Y88" i="61"/>
  <c r="Y84" i="61" s="1"/>
  <c r="N8" i="32"/>
  <c r="N68" i="59"/>
  <c r="BY80" i="59"/>
  <c r="BY68" i="59" s="1"/>
  <c r="G79" i="61"/>
  <c r="AO118" i="60"/>
  <c r="AJ118" i="60" s="1"/>
  <c r="AP118" i="60" s="1"/>
  <c r="AJ121" i="60"/>
  <c r="AP121" i="60" s="1"/>
  <c r="AI106" i="59"/>
  <c r="BY106" i="59"/>
  <c r="BY101" i="59" s="1"/>
  <c r="AP106" i="59"/>
  <c r="AJ101" i="59"/>
  <c r="AI106" i="64"/>
  <c r="BY106" i="64"/>
  <c r="BY101" i="64" s="1"/>
  <c r="AP106" i="64"/>
  <c r="AJ101" i="64"/>
  <c r="J84" i="60"/>
  <c r="G85" i="60"/>
  <c r="G84" i="60" s="1"/>
  <c r="AC85" i="61"/>
  <c r="X85" i="61"/>
  <c r="X84" i="61" s="1"/>
  <c r="BY126" i="60"/>
  <c r="AI126" i="60"/>
  <c r="G84" i="33"/>
  <c r="T82" i="51"/>
  <c r="N82" i="51"/>
  <c r="BZ87" i="33"/>
  <c r="N82" i="33"/>
  <c r="Y80" i="51"/>
  <c r="T80" i="51" s="1"/>
  <c r="BZ86" i="51"/>
  <c r="BZ79" i="51"/>
  <c r="BY106" i="33"/>
  <c r="AI106" i="33"/>
  <c r="AP106" i="33"/>
  <c r="T43" i="58"/>
  <c r="U35" i="58"/>
  <c r="Y35" i="58"/>
  <c r="I35" i="58"/>
  <c r="G35" i="58" s="1"/>
  <c r="BY61" i="58"/>
  <c r="T83" i="51"/>
  <c r="BZ79" i="33"/>
  <c r="G81" i="33"/>
  <c r="AJ81" i="33" s="1"/>
  <c r="L69" i="33"/>
  <c r="L68" i="33" s="1"/>
  <c r="BA10" i="33"/>
  <c r="BD8" i="33"/>
  <c r="W84" i="33"/>
  <c r="T85" i="33"/>
  <c r="S83" i="33"/>
  <c r="S80" i="33" s="1"/>
  <c r="X83" i="33"/>
  <c r="X80" i="33" s="1"/>
  <c r="T79" i="33"/>
  <c r="BS21" i="33"/>
  <c r="BR21" i="33" s="1"/>
  <c r="AO21" i="33" s="1"/>
  <c r="AJ21" i="33" s="1"/>
  <c r="BS24" i="33"/>
  <c r="AO24" i="33" s="1"/>
  <c r="S24" i="33" s="1"/>
  <c r="BS20" i="33"/>
  <c r="BR20" i="33" s="1"/>
  <c r="BS22" i="33"/>
  <c r="BR22" i="33" s="1"/>
  <c r="AO22" i="33" s="1"/>
  <c r="AJ22" i="33" s="1"/>
  <c r="BS23" i="33"/>
  <c r="BZ86" i="33"/>
  <c r="BW121" i="33"/>
  <c r="BW127" i="33"/>
  <c r="AP35" i="58"/>
  <c r="X35" i="58"/>
  <c r="T44" i="58"/>
  <c r="BZ44" i="58" s="1"/>
  <c r="AJ70" i="58"/>
  <c r="AP70" i="58" s="1"/>
  <c r="BW125" i="33"/>
  <c r="BY77" i="33"/>
  <c r="AP77" i="33"/>
  <c r="O128" i="51"/>
  <c r="BD8" i="51"/>
  <c r="S84" i="33"/>
  <c r="BW119" i="33"/>
  <c r="BZ81" i="33"/>
  <c r="E83" i="33"/>
  <c r="Q83" i="33"/>
  <c r="AD68" i="33"/>
  <c r="BS66" i="33" s="1"/>
  <c r="T82" i="33"/>
  <c r="BZ85" i="33"/>
  <c r="E84" i="33"/>
  <c r="N85" i="33"/>
  <c r="N84" i="33" s="1"/>
  <c r="Q84" i="33"/>
  <c r="T51" i="58"/>
  <c r="BZ51" i="58" s="1"/>
  <c r="BY35" i="58"/>
  <c r="AB35" i="58"/>
  <c r="T49" i="58"/>
  <c r="BZ49" i="58" s="1"/>
  <c r="BW118" i="33"/>
  <c r="AC80" i="33"/>
  <c r="BZ88" i="51"/>
  <c r="W83" i="33"/>
  <c r="Y83" i="33"/>
  <c r="Y80" i="33" s="1"/>
  <c r="AI106" i="51"/>
  <c r="BY106" i="51"/>
  <c r="AP106" i="51"/>
  <c r="N81" i="51"/>
  <c r="BW122" i="33"/>
  <c r="S80" i="51"/>
  <c r="N11" i="33"/>
  <c r="J84" i="33"/>
  <c r="AP73" i="51"/>
  <c r="BY73" i="51"/>
  <c r="U68" i="51"/>
  <c r="BA10" i="51"/>
  <c r="L69" i="51"/>
  <c r="L68" i="51" s="1"/>
  <c r="AP78" i="51"/>
  <c r="BY78" i="51"/>
  <c r="AP74" i="51"/>
  <c r="BY74" i="51"/>
  <c r="BY75" i="51"/>
  <c r="AP75" i="51"/>
  <c r="AP76" i="51"/>
  <c r="BY76" i="51"/>
  <c r="AP77" i="51"/>
  <c r="BY77" i="51"/>
  <c r="BZ87" i="51"/>
  <c r="N87" i="51"/>
  <c r="N86" i="51"/>
  <c r="N83" i="51"/>
  <c r="Q80" i="51"/>
  <c r="E80" i="51"/>
  <c r="BZ83" i="51"/>
  <c r="J80" i="51"/>
  <c r="G80" i="51" s="1"/>
  <c r="G83" i="51"/>
  <c r="AO83" i="51"/>
  <c r="BW80" i="51"/>
  <c r="AO81" i="51"/>
  <c r="AC27" i="58"/>
  <c r="BR27" i="58"/>
  <c r="AO27" i="58" s="1"/>
  <c r="BZ30" i="58"/>
  <c r="G38" i="58"/>
  <c r="T22" i="58"/>
  <c r="BZ22" i="58" s="1"/>
  <c r="AB29" i="58"/>
  <c r="I29" i="58"/>
  <c r="W29" i="58"/>
  <c r="BY29" i="58"/>
  <c r="V29" i="58"/>
  <c r="X29" i="58"/>
  <c r="K29" i="58"/>
  <c r="K27" i="58" s="1"/>
  <c r="K18" i="58" s="1"/>
  <c r="J29" i="58"/>
  <c r="J27" i="58" s="1"/>
  <c r="J18" i="58" s="1"/>
  <c r="M29" i="58"/>
  <c r="M27" i="58" s="1"/>
  <c r="M18" i="58" s="1"/>
  <c r="AP29" i="58"/>
  <c r="U29" i="58"/>
  <c r="E29" i="58"/>
  <c r="BY34" i="58"/>
  <c r="Q34" i="58"/>
  <c r="AP34" i="58"/>
  <c r="T38" i="58"/>
  <c r="BZ38" i="58" s="1"/>
  <c r="N59" i="58"/>
  <c r="Y20" i="58"/>
  <c r="Y19" i="58" s="1"/>
  <c r="W20" i="58"/>
  <c r="W19" i="58" s="1"/>
  <c r="C20" i="58"/>
  <c r="AP20" i="58"/>
  <c r="U20" i="58"/>
  <c r="E20" i="58"/>
  <c r="E19" i="58" s="1"/>
  <c r="X20" i="58"/>
  <c r="X19" i="58" s="1"/>
  <c r="AB20" i="58"/>
  <c r="AB19" i="58" s="1"/>
  <c r="V20" i="58"/>
  <c r="V19" i="58" s="1"/>
  <c r="BY20" i="58"/>
  <c r="I20" i="58"/>
  <c r="E58" i="58"/>
  <c r="E57" i="58" s="1"/>
  <c r="Y58" i="58"/>
  <c r="Y57" i="58" s="1"/>
  <c r="AB58" i="58"/>
  <c r="AB57" i="58" s="1"/>
  <c r="U58" i="58"/>
  <c r="BY58" i="58"/>
  <c r="V58" i="58"/>
  <c r="I58" i="58"/>
  <c r="X58" i="58"/>
  <c r="W58" i="58"/>
  <c r="W57" i="58" s="1"/>
  <c r="AP58" i="58"/>
  <c r="C58" i="58"/>
  <c r="N24" i="58"/>
  <c r="S19" i="58"/>
  <c r="G48" i="58"/>
  <c r="BA9" i="58"/>
  <c r="BA66" i="58"/>
  <c r="H57" i="58"/>
  <c r="H9" i="58" s="1"/>
  <c r="AI106" i="58"/>
  <c r="BY106" i="58"/>
  <c r="BY101" i="58" s="1"/>
  <c r="AP106" i="58"/>
  <c r="AJ101" i="58"/>
  <c r="AJ89" i="58" s="1"/>
  <c r="T21" i="58"/>
  <c r="BZ21" i="58" s="1"/>
  <c r="AJ59" i="58"/>
  <c r="AP59" i="58" s="1"/>
  <c r="AC57" i="58"/>
  <c r="AO89" i="58"/>
  <c r="R16" i="32"/>
  <c r="AO47" i="58"/>
  <c r="AJ47" i="58" s="1"/>
  <c r="BR46" i="58"/>
  <c r="AO46" i="58" s="1"/>
  <c r="BY117" i="58"/>
  <c r="AO19" i="58"/>
  <c r="T31" i="58"/>
  <c r="BZ31" i="58" s="1"/>
  <c r="N68" i="58"/>
  <c r="T50" i="58"/>
  <c r="BZ50" i="58" s="1"/>
  <c r="BY80" i="58"/>
  <c r="BZ43" i="58"/>
  <c r="C39" i="58"/>
  <c r="I39" i="58"/>
  <c r="X39" i="58"/>
  <c r="X37" i="58" s="1"/>
  <c r="Y39" i="58"/>
  <c r="Y37" i="58" s="1"/>
  <c r="W39" i="58"/>
  <c r="W37" i="58" s="1"/>
  <c r="BY39" i="58"/>
  <c r="BY37" i="58" s="1"/>
  <c r="AP39" i="58"/>
  <c r="U39" i="58"/>
  <c r="E39" i="58"/>
  <c r="E37" i="58" s="1"/>
  <c r="V39" i="58"/>
  <c r="V37" i="58" s="1"/>
  <c r="S27" i="58"/>
  <c r="N32" i="58"/>
  <c r="AJ32" i="58" s="1"/>
  <c r="AI117" i="58"/>
  <c r="G21" i="58"/>
  <c r="T23" i="58"/>
  <c r="BZ23" i="58" s="1"/>
  <c r="T48" i="58"/>
  <c r="BZ48" i="58" s="1"/>
  <c r="Z42" i="58"/>
  <c r="BY42" i="58"/>
  <c r="BY41" i="58" s="1"/>
  <c r="F42" i="58"/>
  <c r="AP42" i="58"/>
  <c r="AA42" i="58"/>
  <c r="AA41" i="58" s="1"/>
  <c r="AA18" i="58" s="1"/>
  <c r="W28" i="58"/>
  <c r="E28" i="58"/>
  <c r="BY28" i="58"/>
  <c r="U28" i="58"/>
  <c r="AP28" i="58"/>
  <c r="I28" i="58"/>
  <c r="X28" i="58"/>
  <c r="Y28" i="58"/>
  <c r="C28" i="58"/>
  <c r="V28" i="58"/>
  <c r="N62" i="58"/>
  <c r="AP85" i="58"/>
  <c r="AJ84" i="58"/>
  <c r="BY85" i="58"/>
  <c r="BY84" i="58" s="1"/>
  <c r="P3" i="44"/>
  <c r="J3" i="39"/>
  <c r="N269" i="32"/>
  <c r="BS41" i="60" s="1"/>
  <c r="G7" i="43"/>
  <c r="L262" i="32"/>
  <c r="L269" i="32" s="1"/>
  <c r="BS41" i="61" s="1"/>
  <c r="G11" i="43"/>
  <c r="L261" i="32"/>
  <c r="F7" i="43" s="1"/>
  <c r="O57" i="32"/>
  <c r="O169" i="32"/>
  <c r="N270" i="32"/>
  <c r="BS27" i="60" s="1"/>
  <c r="G9" i="43"/>
  <c r="L264" i="32"/>
  <c r="O28" i="32"/>
  <c r="J49" i="44"/>
  <c r="J31" i="44"/>
  <c r="M93" i="32"/>
  <c r="N273" i="32"/>
  <c r="G12" i="43"/>
  <c r="O85" i="32"/>
  <c r="N271" i="32"/>
  <c r="BS37" i="60" s="1"/>
  <c r="G10" i="43"/>
  <c r="L265" i="32"/>
  <c r="L263" i="32"/>
  <c r="L266" i="32"/>
  <c r="J181" i="32"/>
  <c r="J149" i="32"/>
  <c r="J142" i="32"/>
  <c r="J65" i="32"/>
  <c r="J211" i="32"/>
  <c r="J121" i="32"/>
  <c r="J37" i="32"/>
  <c r="J240" i="32"/>
  <c r="J94" i="32"/>
  <c r="X82" i="62" s="1"/>
  <c r="J86" i="32"/>
  <c r="J260" i="32"/>
  <c r="J232" i="32"/>
  <c r="J170" i="32"/>
  <c r="J150" i="32"/>
  <c r="J95" i="32"/>
  <c r="AD82" i="62" s="1"/>
  <c r="J58" i="32"/>
  <c r="J29" i="32"/>
  <c r="J204" i="32"/>
  <c r="J174" i="32"/>
  <c r="J114" i="32"/>
  <c r="J213" i="32"/>
  <c r="S80" i="61" l="1"/>
  <c r="BZ83" i="61"/>
  <c r="BZ87" i="61"/>
  <c r="AJ79" i="61"/>
  <c r="BY79" i="61" s="1"/>
  <c r="AC84" i="61"/>
  <c r="T87" i="61"/>
  <c r="N82" i="61"/>
  <c r="AJ82" i="60"/>
  <c r="K9" i="58"/>
  <c r="AC18" i="58"/>
  <c r="W27" i="58"/>
  <c r="BY57" i="58"/>
  <c r="N64" i="58"/>
  <c r="AJ79" i="33"/>
  <c r="AA9" i="58"/>
  <c r="X57" i="58"/>
  <c r="BZ43" i="59"/>
  <c r="AJ117" i="59"/>
  <c r="AI117" i="59" s="1"/>
  <c r="Y80" i="61"/>
  <c r="X68" i="61"/>
  <c r="T88" i="61"/>
  <c r="AB27" i="58"/>
  <c r="E27" i="58"/>
  <c r="T64" i="58"/>
  <c r="BZ64" i="58" s="1"/>
  <c r="R57" i="58"/>
  <c r="R9" i="58" s="1"/>
  <c r="R128" i="58" s="1"/>
  <c r="M9" i="58"/>
  <c r="BB10" i="58" s="1"/>
  <c r="V27" i="58"/>
  <c r="Y27" i="58"/>
  <c r="BS9" i="59"/>
  <c r="AD66" i="59" s="1"/>
  <c r="AD129" i="59"/>
  <c r="T64" i="59"/>
  <c r="BZ64" i="59" s="1"/>
  <c r="AO62" i="59"/>
  <c r="AJ62" i="59" s="1"/>
  <c r="J9" i="58"/>
  <c r="G64" i="58"/>
  <c r="V57" i="58"/>
  <c r="T44" i="59"/>
  <c r="N83" i="33"/>
  <c r="AJ81" i="51"/>
  <c r="BY81" i="51" s="1"/>
  <c r="BZ83" i="33"/>
  <c r="T5" i="32" s="1"/>
  <c r="L3" i="39" s="1"/>
  <c r="AJ82" i="33"/>
  <c r="AP82" i="33" s="1"/>
  <c r="AP82" i="60"/>
  <c r="BY82" i="60"/>
  <c r="BY80" i="60" s="1"/>
  <c r="BY87" i="60"/>
  <c r="AP87" i="60"/>
  <c r="AD87" i="62"/>
  <c r="BS48" i="60"/>
  <c r="BR48" i="60" s="1"/>
  <c r="AO48" i="60" s="1"/>
  <c r="AJ48" i="60" s="1"/>
  <c r="BS50" i="60"/>
  <c r="BR50" i="60" s="1"/>
  <c r="AO50" i="60" s="1"/>
  <c r="AJ50" i="60" s="1"/>
  <c r="BS47" i="60"/>
  <c r="BS51" i="60"/>
  <c r="BR51" i="60" s="1"/>
  <c r="AO51" i="60" s="1"/>
  <c r="AJ51" i="60" s="1"/>
  <c r="BS49" i="60"/>
  <c r="BR49" i="60" s="1"/>
  <c r="AO49" i="60" s="1"/>
  <c r="AJ49" i="60" s="1"/>
  <c r="BS52" i="60"/>
  <c r="BR52" i="60" s="1"/>
  <c r="AO52" i="60" s="1"/>
  <c r="AJ52" i="60" s="1"/>
  <c r="BS43" i="61"/>
  <c r="BR43" i="61" s="1"/>
  <c r="AO43" i="61" s="1"/>
  <c r="AJ43" i="61" s="1"/>
  <c r="BS42" i="61"/>
  <c r="BR42" i="61" s="1"/>
  <c r="BS44" i="61"/>
  <c r="BR44" i="61" s="1"/>
  <c r="AO44" i="61" s="1"/>
  <c r="AJ44" i="61" s="1"/>
  <c r="AJ82" i="51"/>
  <c r="AP82" i="51" s="1"/>
  <c r="Y68" i="61"/>
  <c r="BZ30" i="59"/>
  <c r="J84" i="61"/>
  <c r="G85" i="61"/>
  <c r="G84" i="61" s="1"/>
  <c r="AO118" i="61"/>
  <c r="AJ118" i="61" s="1"/>
  <c r="AP118" i="61" s="1"/>
  <c r="Q82" i="62"/>
  <c r="BZ88" i="61"/>
  <c r="AJ88" i="61"/>
  <c r="W80" i="61"/>
  <c r="T80" i="61" s="1"/>
  <c r="T81" i="61"/>
  <c r="T31" i="59"/>
  <c r="BZ31" i="59" s="1"/>
  <c r="T83" i="61"/>
  <c r="BR37" i="59"/>
  <c r="AO37" i="59" s="1"/>
  <c r="BR19" i="60"/>
  <c r="AO20" i="60"/>
  <c r="AJ20" i="60" s="1"/>
  <c r="BY60" i="60"/>
  <c r="AP60" i="60"/>
  <c r="AC60" i="60"/>
  <c r="R61" i="60"/>
  <c r="AP61" i="60"/>
  <c r="BY61" i="60"/>
  <c r="AO123" i="61"/>
  <c r="AJ123" i="61" s="1"/>
  <c r="AP123" i="61" s="1"/>
  <c r="T80" i="60"/>
  <c r="T68" i="60" s="1"/>
  <c r="W68" i="60"/>
  <c r="V21" i="59"/>
  <c r="X21" i="59"/>
  <c r="U21" i="59"/>
  <c r="W21" i="59"/>
  <c r="AB21" i="59"/>
  <c r="I21" i="59"/>
  <c r="BY21" i="59"/>
  <c r="J21" i="59"/>
  <c r="J19" i="59" s="1"/>
  <c r="K21" i="59"/>
  <c r="K19" i="59" s="1"/>
  <c r="E21" i="59"/>
  <c r="AP21" i="59"/>
  <c r="Y21" i="59"/>
  <c r="M21" i="59"/>
  <c r="M19" i="59" s="1"/>
  <c r="BY25" i="59"/>
  <c r="AC25" i="59"/>
  <c r="AP25" i="59"/>
  <c r="AD128" i="61"/>
  <c r="BS66" i="61"/>
  <c r="N5" i="32"/>
  <c r="T48" i="59"/>
  <c r="BZ44" i="59"/>
  <c r="T35" i="58"/>
  <c r="BZ35" i="58" s="1"/>
  <c r="L3" i="44"/>
  <c r="N61" i="59"/>
  <c r="R57" i="59"/>
  <c r="R9" i="59" s="1"/>
  <c r="BR46" i="59"/>
  <c r="AO46" i="59" s="1"/>
  <c r="AO47" i="59"/>
  <c r="AJ47" i="59" s="1"/>
  <c r="BW117" i="61"/>
  <c r="AO120" i="61"/>
  <c r="AJ120" i="61" s="1"/>
  <c r="AP120" i="61" s="1"/>
  <c r="AO127" i="61"/>
  <c r="AJ127" i="61" s="1"/>
  <c r="AP127" i="61" s="1"/>
  <c r="AI101" i="62"/>
  <c r="AP101" i="62"/>
  <c r="BZ81" i="61"/>
  <c r="E80" i="61"/>
  <c r="AJ59" i="59"/>
  <c r="AP59" i="59" s="1"/>
  <c r="AC57" i="59"/>
  <c r="AJ83" i="61"/>
  <c r="AO119" i="61"/>
  <c r="AJ119" i="61" s="1"/>
  <c r="AP119" i="61" s="1"/>
  <c r="AC82" i="62"/>
  <c r="E82" i="62"/>
  <c r="Y82" i="62"/>
  <c r="BZ85" i="61"/>
  <c r="E84" i="61"/>
  <c r="AI120" i="60"/>
  <c r="BY120" i="60"/>
  <c r="BW68" i="60"/>
  <c r="AO68" i="60" s="1"/>
  <c r="AO122" i="61"/>
  <c r="S27" i="59"/>
  <c r="N32" i="59"/>
  <c r="I23" i="60"/>
  <c r="G23" i="60" s="1"/>
  <c r="C23" i="60"/>
  <c r="U23" i="60"/>
  <c r="AB23" i="60"/>
  <c r="Y23" i="60"/>
  <c r="V23" i="60"/>
  <c r="W23" i="60"/>
  <c r="BY23" i="60"/>
  <c r="E23" i="60"/>
  <c r="X23" i="60"/>
  <c r="AP23" i="60"/>
  <c r="J64" i="60"/>
  <c r="Q64" i="60"/>
  <c r="U64" i="60"/>
  <c r="F64" i="60"/>
  <c r="F57" i="60" s="1"/>
  <c r="Z64" i="60"/>
  <c r="Z57" i="60" s="1"/>
  <c r="H64" i="60"/>
  <c r="BY64" i="60"/>
  <c r="R64" i="60"/>
  <c r="Y64" i="60"/>
  <c r="S64" i="60"/>
  <c r="AA64" i="60"/>
  <c r="AA57" i="60" s="1"/>
  <c r="E64" i="60"/>
  <c r="I64" i="60"/>
  <c r="M64" i="60"/>
  <c r="M57" i="60" s="1"/>
  <c r="K64" i="60"/>
  <c r="K57" i="60" s="1"/>
  <c r="AP64" i="60"/>
  <c r="W64" i="60"/>
  <c r="C64" i="60"/>
  <c r="X64" i="60"/>
  <c r="V64" i="60"/>
  <c r="AB64" i="60"/>
  <c r="Q62" i="60"/>
  <c r="BY62" i="60"/>
  <c r="AP62" i="60"/>
  <c r="W84" i="61"/>
  <c r="W68" i="61" s="1"/>
  <c r="T85" i="61"/>
  <c r="T84" i="61" s="1"/>
  <c r="AJ86" i="61"/>
  <c r="AO89" i="59"/>
  <c r="P16" i="32"/>
  <c r="AO20" i="59"/>
  <c r="AJ20" i="59" s="1"/>
  <c r="BR19" i="59"/>
  <c r="AC24" i="59"/>
  <c r="AC19" i="59" s="1"/>
  <c r="AC18" i="59" s="1"/>
  <c r="S24" i="59"/>
  <c r="N81" i="61"/>
  <c r="Q80" i="61"/>
  <c r="AP62" i="59"/>
  <c r="Q62" i="59"/>
  <c r="BY62" i="59"/>
  <c r="BZ82" i="61"/>
  <c r="AJ82" i="61"/>
  <c r="T38" i="59"/>
  <c r="AI121" i="61"/>
  <c r="BY121" i="61"/>
  <c r="BS39" i="60"/>
  <c r="BS38" i="60"/>
  <c r="AO38" i="60" s="1"/>
  <c r="AJ38" i="60" s="1"/>
  <c r="BS43" i="60"/>
  <c r="BR43" i="60" s="1"/>
  <c r="AO43" i="60" s="1"/>
  <c r="AJ43" i="60" s="1"/>
  <c r="BS44" i="60"/>
  <c r="BR44" i="60" s="1"/>
  <c r="AO44" i="60" s="1"/>
  <c r="AJ44" i="60" s="1"/>
  <c r="BS42" i="60"/>
  <c r="BR42" i="60" s="1"/>
  <c r="AJ85" i="33"/>
  <c r="AP85" i="33" s="1"/>
  <c r="J80" i="33"/>
  <c r="G80" i="33" s="1"/>
  <c r="AI118" i="60"/>
  <c r="BY118" i="60"/>
  <c r="AO124" i="61"/>
  <c r="AI122" i="60"/>
  <c r="BY122" i="60"/>
  <c r="AC80" i="61"/>
  <c r="N64" i="59"/>
  <c r="S57" i="59"/>
  <c r="N59" i="59"/>
  <c r="AJ85" i="60"/>
  <c r="S82" i="62"/>
  <c r="J82" i="62"/>
  <c r="G82" i="62" s="1"/>
  <c r="AO125" i="61"/>
  <c r="AJ125" i="61" s="1"/>
  <c r="AP125" i="61" s="1"/>
  <c r="AI127" i="60"/>
  <c r="BY127" i="60"/>
  <c r="AO117" i="60"/>
  <c r="BW89" i="60"/>
  <c r="AI127" i="59"/>
  <c r="AP127" i="59"/>
  <c r="T51" i="59"/>
  <c r="BZ51" i="59" s="1"/>
  <c r="BZ80" i="60"/>
  <c r="E68" i="60"/>
  <c r="K21" i="60"/>
  <c r="K19" i="60" s="1"/>
  <c r="X21" i="60"/>
  <c r="Y21" i="60"/>
  <c r="V21" i="60"/>
  <c r="W21" i="60"/>
  <c r="M21" i="60"/>
  <c r="M19" i="60" s="1"/>
  <c r="AP21" i="60"/>
  <c r="AB21" i="60"/>
  <c r="E21" i="60"/>
  <c r="I21" i="60"/>
  <c r="BY21" i="60"/>
  <c r="U21" i="60"/>
  <c r="J21" i="60"/>
  <c r="J19" i="60" s="1"/>
  <c r="AC25" i="60"/>
  <c r="BY25" i="60"/>
  <c r="AP25" i="60"/>
  <c r="AO58" i="60"/>
  <c r="AJ58" i="60" s="1"/>
  <c r="AO79" i="61"/>
  <c r="S84" i="61"/>
  <c r="S68" i="61" s="1"/>
  <c r="BH67" i="61" s="1"/>
  <c r="BY119" i="60"/>
  <c r="AI119" i="60"/>
  <c r="AB22" i="59"/>
  <c r="E22" i="59"/>
  <c r="BY22" i="59"/>
  <c r="U22" i="59"/>
  <c r="AP22" i="59"/>
  <c r="AJ87" i="61"/>
  <c r="Q27" i="59"/>
  <c r="Q18" i="59" s="1"/>
  <c r="N34" i="59"/>
  <c r="AP88" i="60"/>
  <c r="BY88" i="60"/>
  <c r="G38" i="59"/>
  <c r="AO126" i="61"/>
  <c r="AJ126" i="61" s="1"/>
  <c r="AP126" i="61" s="1"/>
  <c r="BW84" i="61"/>
  <c r="AO84" i="61" s="1"/>
  <c r="AO85" i="61"/>
  <c r="W85" i="62"/>
  <c r="S85" i="62"/>
  <c r="E85" i="62"/>
  <c r="Y85" i="62"/>
  <c r="X85" i="62"/>
  <c r="Q85" i="62"/>
  <c r="J85" i="62"/>
  <c r="G85" i="62" s="1"/>
  <c r="AC85" i="62"/>
  <c r="BS28" i="60"/>
  <c r="BR28" i="60" s="1"/>
  <c r="BS29" i="60"/>
  <c r="BR29" i="60" s="1"/>
  <c r="AO29" i="60" s="1"/>
  <c r="AJ29" i="60" s="1"/>
  <c r="BS31" i="60"/>
  <c r="BR31" i="60" s="1"/>
  <c r="AO31" i="60" s="1"/>
  <c r="AJ31" i="60" s="1"/>
  <c r="BS30" i="60"/>
  <c r="BR30" i="60" s="1"/>
  <c r="AO30" i="60" s="1"/>
  <c r="AJ30" i="60" s="1"/>
  <c r="BS33" i="60"/>
  <c r="AO33" i="60" s="1"/>
  <c r="AJ33" i="60" s="1"/>
  <c r="BS35" i="60"/>
  <c r="BS34" i="60"/>
  <c r="BR34" i="60" s="1"/>
  <c r="AO34" i="60" s="1"/>
  <c r="AJ34" i="60" s="1"/>
  <c r="BS32" i="60"/>
  <c r="AO32" i="60" s="1"/>
  <c r="AI101" i="64"/>
  <c r="AP101" i="64"/>
  <c r="AI101" i="59"/>
  <c r="AP101" i="59"/>
  <c r="AJ89" i="59"/>
  <c r="AI121" i="60"/>
  <c r="BY121" i="60"/>
  <c r="AP28" i="59"/>
  <c r="BY28" i="59"/>
  <c r="C28" i="59"/>
  <c r="W28" i="59"/>
  <c r="E28" i="59"/>
  <c r="X28" i="59"/>
  <c r="Y28" i="59"/>
  <c r="Y27" i="59" s="1"/>
  <c r="I28" i="59"/>
  <c r="U28" i="59"/>
  <c r="V28" i="59"/>
  <c r="V58" i="59"/>
  <c r="V57" i="59" s="1"/>
  <c r="C58" i="59"/>
  <c r="W58" i="59"/>
  <c r="W57" i="59" s="1"/>
  <c r="J58" i="59"/>
  <c r="J57" i="59" s="1"/>
  <c r="BY58" i="59"/>
  <c r="BY57" i="59" s="1"/>
  <c r="AB58" i="59"/>
  <c r="AB57" i="59" s="1"/>
  <c r="I58" i="59"/>
  <c r="E58" i="59"/>
  <c r="E57" i="59" s="1"/>
  <c r="X58" i="59"/>
  <c r="X57" i="59" s="1"/>
  <c r="AP58" i="59"/>
  <c r="Y58" i="59"/>
  <c r="Y57" i="59" s="1"/>
  <c r="U58" i="59"/>
  <c r="AA42" i="59"/>
  <c r="AA41" i="59" s="1"/>
  <c r="AA18" i="59" s="1"/>
  <c r="AA9" i="59" s="1"/>
  <c r="BY42" i="59"/>
  <c r="BY41" i="59" s="1"/>
  <c r="AP42" i="59"/>
  <c r="Z42" i="59"/>
  <c r="F42" i="59"/>
  <c r="AJ124" i="60"/>
  <c r="AJ117" i="60" s="1"/>
  <c r="BW80" i="61"/>
  <c r="AO80" i="61" s="1"/>
  <c r="AO81" i="61"/>
  <c r="N85" i="61"/>
  <c r="N84" i="61" s="1"/>
  <c r="Q84" i="61"/>
  <c r="M29" i="59"/>
  <c r="M27" i="59" s="1"/>
  <c r="J29" i="59"/>
  <c r="J27" i="59" s="1"/>
  <c r="AP29" i="59"/>
  <c r="AB29" i="59"/>
  <c r="AB27" i="59" s="1"/>
  <c r="X29" i="59"/>
  <c r="BY29" i="59"/>
  <c r="U29" i="59"/>
  <c r="E29" i="59"/>
  <c r="W29" i="59"/>
  <c r="I29" i="59"/>
  <c r="V29" i="59"/>
  <c r="K29" i="59"/>
  <c r="K27" i="59" s="1"/>
  <c r="H57" i="59"/>
  <c r="H9" i="59" s="1"/>
  <c r="G64" i="59"/>
  <c r="T49" i="59"/>
  <c r="BZ49" i="59" s="1"/>
  <c r="T50" i="59"/>
  <c r="BZ50" i="59" s="1"/>
  <c r="W82" i="62"/>
  <c r="AI101" i="61"/>
  <c r="AP101" i="61"/>
  <c r="BY117" i="59"/>
  <c r="BY89" i="59" s="1"/>
  <c r="J80" i="61"/>
  <c r="G81" i="61"/>
  <c r="BY125" i="60"/>
  <c r="AI125" i="60"/>
  <c r="Y39" i="59"/>
  <c r="Y37" i="59" s="1"/>
  <c r="V39" i="59"/>
  <c r="V37" i="59" s="1"/>
  <c r="X39" i="59"/>
  <c r="X37" i="59" s="1"/>
  <c r="BY39" i="59"/>
  <c r="BY37" i="59" s="1"/>
  <c r="AP39" i="59"/>
  <c r="I39" i="59"/>
  <c r="G39" i="59" s="1"/>
  <c r="U39" i="59"/>
  <c r="E39" i="59"/>
  <c r="E37" i="59" s="1"/>
  <c r="C39" i="59"/>
  <c r="W39" i="59"/>
  <c r="W37" i="59" s="1"/>
  <c r="AC24" i="60"/>
  <c r="S24" i="60"/>
  <c r="E22" i="60"/>
  <c r="BY22" i="60"/>
  <c r="U22" i="60"/>
  <c r="AB22" i="60"/>
  <c r="AP22" i="60"/>
  <c r="BR59" i="60"/>
  <c r="BR57" i="60" s="1"/>
  <c r="AO57" i="60" s="1"/>
  <c r="BY123" i="60"/>
  <c r="AI123" i="60"/>
  <c r="AI101" i="60"/>
  <c r="AP101" i="60"/>
  <c r="AP117" i="59"/>
  <c r="I23" i="59"/>
  <c r="G23" i="59" s="1"/>
  <c r="AB23" i="59"/>
  <c r="AP23" i="59"/>
  <c r="U23" i="59"/>
  <c r="W23" i="59"/>
  <c r="C23" i="59"/>
  <c r="BY23" i="59"/>
  <c r="E23" i="59"/>
  <c r="Y23" i="59"/>
  <c r="X23" i="59"/>
  <c r="V23" i="59"/>
  <c r="T35" i="59"/>
  <c r="BZ35" i="59" s="1"/>
  <c r="G48" i="59"/>
  <c r="BZ48" i="59"/>
  <c r="BZ38" i="59"/>
  <c r="BY68" i="58"/>
  <c r="BZ84" i="33"/>
  <c r="AJ83" i="51"/>
  <c r="BY83" i="51" s="1"/>
  <c r="BY79" i="33"/>
  <c r="AP79" i="33"/>
  <c r="E21" i="33"/>
  <c r="V21" i="33"/>
  <c r="U21" i="33"/>
  <c r="W21" i="33"/>
  <c r="AB21" i="33"/>
  <c r="BY21" i="33"/>
  <c r="X21" i="33"/>
  <c r="K21" i="33"/>
  <c r="K19" i="33" s="1"/>
  <c r="J21" i="33"/>
  <c r="J19" i="33" s="1"/>
  <c r="AP21" i="33"/>
  <c r="M21" i="33"/>
  <c r="M19" i="33" s="1"/>
  <c r="Y21" i="33"/>
  <c r="AP79" i="51"/>
  <c r="BY79" i="51"/>
  <c r="AO121" i="33"/>
  <c r="AJ121" i="33" s="1"/>
  <c r="AP121" i="33" s="1"/>
  <c r="AI126" i="33"/>
  <c r="BY126" i="33"/>
  <c r="BY22" i="33"/>
  <c r="AB22" i="33"/>
  <c r="AP22" i="33"/>
  <c r="U22" i="33"/>
  <c r="AI123" i="33"/>
  <c r="BY123" i="33"/>
  <c r="AO127" i="33"/>
  <c r="AJ127" i="33" s="1"/>
  <c r="AP127" i="33" s="1"/>
  <c r="BR23" i="33"/>
  <c r="AO23" i="33" s="1"/>
  <c r="AJ23" i="33" s="1"/>
  <c r="BR18" i="58"/>
  <c r="B8" i="32"/>
  <c r="BY82" i="51"/>
  <c r="E80" i="33"/>
  <c r="AO20" i="33"/>
  <c r="AJ20" i="33" s="1"/>
  <c r="Q80" i="33"/>
  <c r="L66" i="33"/>
  <c r="AP123" i="33"/>
  <c r="AP81" i="51"/>
  <c r="AO122" i="33"/>
  <c r="AJ122" i="33" s="1"/>
  <c r="T83" i="33"/>
  <c r="W80" i="33"/>
  <c r="AO118" i="33"/>
  <c r="AJ118" i="33" s="1"/>
  <c r="BY120" i="33"/>
  <c r="AI120" i="33"/>
  <c r="AO119" i="33"/>
  <c r="AJ119" i="33" s="1"/>
  <c r="AP119" i="33" s="1"/>
  <c r="AO125" i="33"/>
  <c r="AJ125" i="33" s="1"/>
  <c r="AP125" i="33" s="1"/>
  <c r="N24" i="33"/>
  <c r="N19" i="33" s="1"/>
  <c r="S19" i="33"/>
  <c r="S68" i="33"/>
  <c r="BH67" i="33" s="1"/>
  <c r="BY81" i="33"/>
  <c r="AP81" i="33"/>
  <c r="L128" i="51"/>
  <c r="L66" i="51"/>
  <c r="BZ80" i="51"/>
  <c r="N80" i="51"/>
  <c r="AJ80" i="51" s="1"/>
  <c r="AO80" i="51"/>
  <c r="X27" i="58"/>
  <c r="AY10" i="58"/>
  <c r="J69" i="58"/>
  <c r="J68" i="58" s="1"/>
  <c r="J66" i="58" s="1"/>
  <c r="I37" i="58"/>
  <c r="G39" i="58"/>
  <c r="G37" i="58" s="1"/>
  <c r="T8" i="32"/>
  <c r="R3" i="44" s="1"/>
  <c r="C57" i="58"/>
  <c r="G58" i="58"/>
  <c r="I57" i="58"/>
  <c r="V8" i="32"/>
  <c r="T3" i="44" s="1"/>
  <c r="T28" i="58"/>
  <c r="U27" i="58"/>
  <c r="BG8" i="58"/>
  <c r="AP32" i="58"/>
  <c r="BY32" i="58"/>
  <c r="BY27" i="58" s="1"/>
  <c r="C37" i="58"/>
  <c r="AC9" i="58"/>
  <c r="U19" i="58"/>
  <c r="T20" i="58"/>
  <c r="T19" i="58" s="1"/>
  <c r="N57" i="58"/>
  <c r="K69" i="58"/>
  <c r="K68" i="58" s="1"/>
  <c r="AZ10" i="58"/>
  <c r="C27" i="58"/>
  <c r="AA128" i="58"/>
  <c r="BP7" i="58"/>
  <c r="AA7" i="58" s="1"/>
  <c r="BP5" i="58" s="1"/>
  <c r="Z41" i="58"/>
  <c r="T42" i="58"/>
  <c r="BZ42" i="58" s="1"/>
  <c r="BZ41" i="58" s="1"/>
  <c r="BY89" i="58"/>
  <c r="AW10" i="58"/>
  <c r="H69" i="58"/>
  <c r="N19" i="58"/>
  <c r="AJ24" i="58"/>
  <c r="F41" i="58"/>
  <c r="AI89" i="58"/>
  <c r="AP89" i="58"/>
  <c r="T39" i="58"/>
  <c r="T37" i="58" s="1"/>
  <c r="AB47" i="58"/>
  <c r="AB46" i="58" s="1"/>
  <c r="AB18" i="58" s="1"/>
  <c r="AB9" i="58" s="1"/>
  <c r="U47" i="58"/>
  <c r="C47" i="58"/>
  <c r="BY47" i="58"/>
  <c r="BY46" i="58" s="1"/>
  <c r="Y47" i="58"/>
  <c r="Y46" i="58" s="1"/>
  <c r="V47" i="58"/>
  <c r="V46" i="58" s="1"/>
  <c r="X47" i="58"/>
  <c r="X46" i="58" s="1"/>
  <c r="W47" i="58"/>
  <c r="W46" i="58" s="1"/>
  <c r="W18" i="58" s="1"/>
  <c r="W9" i="58" s="1"/>
  <c r="I47" i="58"/>
  <c r="E47" i="58"/>
  <c r="E46" i="58" s="1"/>
  <c r="E18" i="58" s="1"/>
  <c r="E9" i="58" s="1"/>
  <c r="AP47" i="58"/>
  <c r="AI101" i="58"/>
  <c r="AP101" i="58"/>
  <c r="N34" i="58"/>
  <c r="N27" i="58" s="1"/>
  <c r="Q27" i="58"/>
  <c r="Q18" i="58" s="1"/>
  <c r="Q9" i="58" s="1"/>
  <c r="Q128" i="58" s="1"/>
  <c r="G29" i="58"/>
  <c r="G28" i="58"/>
  <c r="I27" i="58"/>
  <c r="AO18" i="58"/>
  <c r="S18" i="58"/>
  <c r="S9" i="58" s="1"/>
  <c r="S128" i="58" s="1"/>
  <c r="U57" i="58"/>
  <c r="T58" i="58"/>
  <c r="G20" i="58"/>
  <c r="G19" i="58" s="1"/>
  <c r="I19" i="58"/>
  <c r="C19" i="58"/>
  <c r="U37" i="58"/>
  <c r="T29" i="58"/>
  <c r="BZ29" i="58" s="1"/>
  <c r="F8" i="43"/>
  <c r="L268" i="32"/>
  <c r="BS19" i="61" s="1"/>
  <c r="M86" i="32"/>
  <c r="F45" i="39" s="1"/>
  <c r="J122" i="32"/>
  <c r="W83" i="62" s="1"/>
  <c r="M121" i="32"/>
  <c r="J151" i="32"/>
  <c r="AD85" i="62" s="1"/>
  <c r="M149" i="32"/>
  <c r="M29" i="32"/>
  <c r="F8" i="39" s="1"/>
  <c r="H8" i="44"/>
  <c r="M170" i="32"/>
  <c r="K8" i="44" s="1"/>
  <c r="J212" i="32"/>
  <c r="Q87" i="62" s="1"/>
  <c r="M211" i="32"/>
  <c r="J182" i="32"/>
  <c r="E86" i="62" s="1"/>
  <c r="M181" i="32"/>
  <c r="J113" i="32"/>
  <c r="M114" i="32"/>
  <c r="F63" i="39" s="1"/>
  <c r="J57" i="32"/>
  <c r="M58" i="32"/>
  <c r="F27" i="39" s="1"/>
  <c r="J231" i="32"/>
  <c r="H50" i="44"/>
  <c r="M232" i="32"/>
  <c r="K50" i="44" s="1"/>
  <c r="J242" i="32"/>
  <c r="AD88" i="62" s="1"/>
  <c r="M240" i="32"/>
  <c r="J66" i="32"/>
  <c r="E81" i="62" s="1"/>
  <c r="M65" i="32"/>
  <c r="L273" i="32"/>
  <c r="F12" i="43"/>
  <c r="L271" i="32"/>
  <c r="BS37" i="61" s="1"/>
  <c r="F10" i="43"/>
  <c r="J203" i="32"/>
  <c r="H32" i="44"/>
  <c r="M204" i="32"/>
  <c r="K32" i="44" s="1"/>
  <c r="L272" i="32"/>
  <c r="BS57" i="61" s="1"/>
  <c r="F11" i="43"/>
  <c r="J85" i="32"/>
  <c r="J123" i="32"/>
  <c r="AD83" i="62" s="1"/>
  <c r="H12" i="44"/>
  <c r="M174" i="32"/>
  <c r="K12" i="44" s="1"/>
  <c r="M260" i="32"/>
  <c r="J38" i="32"/>
  <c r="M37" i="32"/>
  <c r="M142" i="32"/>
  <c r="F81" i="39" s="1"/>
  <c r="L270" i="32"/>
  <c r="BS27" i="61" s="1"/>
  <c r="F9" i="43"/>
  <c r="J39" i="32"/>
  <c r="AD79" i="62" s="1"/>
  <c r="J28" i="32"/>
  <c r="J67" i="32"/>
  <c r="AD81" i="62" s="1"/>
  <c r="J241" i="32"/>
  <c r="Q88" i="62" s="1"/>
  <c r="J183" i="32"/>
  <c r="AD86" i="62" s="1"/>
  <c r="J141" i="32"/>
  <c r="H204" i="32"/>
  <c r="J169" i="32"/>
  <c r="H121" i="32"/>
  <c r="H240" i="32"/>
  <c r="H170" i="32"/>
  <c r="K170" i="32" s="1"/>
  <c r="I8" i="44" s="1"/>
  <c r="H65" i="32"/>
  <c r="H58" i="32"/>
  <c r="H232" i="32"/>
  <c r="K232" i="32" s="1"/>
  <c r="I50" i="44" s="1"/>
  <c r="H181" i="32"/>
  <c r="H211" i="32"/>
  <c r="H114" i="32"/>
  <c r="H29" i="32"/>
  <c r="H260" i="32"/>
  <c r="K260" i="32" s="1"/>
  <c r="H174" i="32"/>
  <c r="H149" i="32"/>
  <c r="H142" i="32"/>
  <c r="K142" i="32" s="1"/>
  <c r="E81" i="39" s="1"/>
  <c r="H93" i="32"/>
  <c r="H86" i="32"/>
  <c r="H37" i="32"/>
  <c r="F293" i="32"/>
  <c r="D17" i="40" s="1"/>
  <c r="F292" i="32"/>
  <c r="D16" i="40" s="1"/>
  <c r="F291" i="32"/>
  <c r="D15" i="40" s="1"/>
  <c r="F290" i="32"/>
  <c r="D14" i="40" s="1"/>
  <c r="F289" i="32"/>
  <c r="D13" i="40" s="1"/>
  <c r="F288" i="32"/>
  <c r="D12" i="40" s="1"/>
  <c r="F287" i="32"/>
  <c r="F286" i="32"/>
  <c r="F285" i="32"/>
  <c r="D10" i="40" s="1"/>
  <c r="F284" i="32"/>
  <c r="B293" i="32"/>
  <c r="B292" i="32"/>
  <c r="B291" i="32"/>
  <c r="B290" i="32"/>
  <c r="B289" i="32"/>
  <c r="B288" i="32"/>
  <c r="B287" i="32"/>
  <c r="B286" i="32"/>
  <c r="B285" i="32"/>
  <c r="B284" i="32"/>
  <c r="L5" i="32" l="1"/>
  <c r="AP79" i="61"/>
  <c r="BZ84" i="61"/>
  <c r="AJ80" i="60"/>
  <c r="AP80" i="60" s="1"/>
  <c r="G21" i="60"/>
  <c r="T57" i="58"/>
  <c r="Y18" i="58"/>
  <c r="Y9" i="58" s="1"/>
  <c r="AI124" i="60"/>
  <c r="AJ81" i="61"/>
  <c r="AP81" i="61" s="1"/>
  <c r="BW118" i="62"/>
  <c r="AJ83" i="33"/>
  <c r="AP83" i="33" s="1"/>
  <c r="AC69" i="58"/>
  <c r="AC129" i="58" s="1"/>
  <c r="G57" i="58"/>
  <c r="AJ57" i="58" s="1"/>
  <c r="AP57" i="58" s="1"/>
  <c r="X18" i="58"/>
  <c r="X9" i="58" s="1"/>
  <c r="V18" i="58"/>
  <c r="V9" i="58" s="1"/>
  <c r="BR10" i="58"/>
  <c r="AC128" i="58" s="1"/>
  <c r="M69" i="58"/>
  <c r="M68" i="58" s="1"/>
  <c r="M66" i="58" s="1"/>
  <c r="BB9" i="58" s="1"/>
  <c r="T22" i="59"/>
  <c r="BZ22" i="59" s="1"/>
  <c r="T22" i="60"/>
  <c r="BZ22" i="60" s="1"/>
  <c r="AC19" i="60"/>
  <c r="T21" i="59"/>
  <c r="BZ21" i="59" s="1"/>
  <c r="X27" i="59"/>
  <c r="AC9" i="59"/>
  <c r="G21" i="59"/>
  <c r="BY82" i="33"/>
  <c r="BY80" i="51"/>
  <c r="AP83" i="51"/>
  <c r="BY85" i="33"/>
  <c r="AI117" i="60"/>
  <c r="AJ89" i="60"/>
  <c r="AP117" i="60"/>
  <c r="AD80" i="62"/>
  <c r="BY81" i="61"/>
  <c r="AD84" i="62"/>
  <c r="J23" i="32"/>
  <c r="BW86" i="62"/>
  <c r="AO86" i="62" s="1"/>
  <c r="BS39" i="61"/>
  <c r="BS38" i="61"/>
  <c r="AO38" i="61" s="1"/>
  <c r="AJ38" i="61" s="1"/>
  <c r="T58" i="59"/>
  <c r="T57" i="59" s="1"/>
  <c r="U57" i="59"/>
  <c r="V27" i="59"/>
  <c r="S32" i="60"/>
  <c r="AC32" i="60"/>
  <c r="U30" i="60"/>
  <c r="BY30" i="60"/>
  <c r="AP30" i="60"/>
  <c r="E30" i="60"/>
  <c r="AB30" i="60"/>
  <c r="T85" i="62"/>
  <c r="Y83" i="62"/>
  <c r="J83" i="62"/>
  <c r="G83" i="62" s="1"/>
  <c r="AP87" i="61"/>
  <c r="BY87" i="61"/>
  <c r="I58" i="60"/>
  <c r="Y58" i="60"/>
  <c r="Y57" i="60" s="1"/>
  <c r="X58" i="60"/>
  <c r="X57" i="60" s="1"/>
  <c r="AP58" i="60"/>
  <c r="V58" i="60"/>
  <c r="V57" i="60" s="1"/>
  <c r="E58" i="60"/>
  <c r="E57" i="60" s="1"/>
  <c r="BY58" i="60"/>
  <c r="BY57" i="60" s="1"/>
  <c r="AB58" i="60"/>
  <c r="AB57" i="60" s="1"/>
  <c r="U58" i="60"/>
  <c r="C58" i="60"/>
  <c r="W58" i="60"/>
  <c r="W57" i="60" s="1"/>
  <c r="J58" i="60"/>
  <c r="J57" i="60" s="1"/>
  <c r="Z44" i="60"/>
  <c r="BY44" i="60"/>
  <c r="AP44" i="60"/>
  <c r="F44" i="60"/>
  <c r="AA44" i="60"/>
  <c r="X79" i="62"/>
  <c r="J79" i="62"/>
  <c r="BW122" i="62"/>
  <c r="BW119" i="62"/>
  <c r="AO119" i="62" s="1"/>
  <c r="AJ119" i="62" s="1"/>
  <c r="AB38" i="60"/>
  <c r="AB37" i="60" s="1"/>
  <c r="I38" i="60"/>
  <c r="AP38" i="60"/>
  <c r="W38" i="60"/>
  <c r="M38" i="60"/>
  <c r="M37" i="60" s="1"/>
  <c r="U38" i="60"/>
  <c r="J38" i="60"/>
  <c r="J37" i="60" s="1"/>
  <c r="E38" i="60"/>
  <c r="Y38" i="60"/>
  <c r="K38" i="60"/>
  <c r="K37" i="60" s="1"/>
  <c r="BY38" i="60"/>
  <c r="N80" i="61"/>
  <c r="N68" i="61" s="1"/>
  <c r="Q68" i="61"/>
  <c r="BF67" i="61" s="1"/>
  <c r="BC67" i="61" s="1"/>
  <c r="AO67" i="61" s="1"/>
  <c r="AO19" i="59"/>
  <c r="BR18" i="59"/>
  <c r="AC69" i="59" s="1"/>
  <c r="T23" i="60"/>
  <c r="N27" i="59"/>
  <c r="AJ32" i="59"/>
  <c r="AJ85" i="61"/>
  <c r="BZ82" i="62"/>
  <c r="BY127" i="61"/>
  <c r="AI127" i="61"/>
  <c r="V47" i="59"/>
  <c r="V46" i="59" s="1"/>
  <c r="X47" i="59"/>
  <c r="X46" i="59" s="1"/>
  <c r="E47" i="59"/>
  <c r="E46" i="59" s="1"/>
  <c r="AB47" i="59"/>
  <c r="AB46" i="59" s="1"/>
  <c r="W47" i="59"/>
  <c r="W46" i="59" s="1"/>
  <c r="C47" i="59"/>
  <c r="I47" i="59"/>
  <c r="BY47" i="59"/>
  <c r="BY46" i="59" s="1"/>
  <c r="Y47" i="59"/>
  <c r="Y46" i="59" s="1"/>
  <c r="AP47" i="59"/>
  <c r="U47" i="59"/>
  <c r="AC81" i="62"/>
  <c r="J81" i="62"/>
  <c r="S81" i="62"/>
  <c r="X88" i="62"/>
  <c r="Y88" i="62"/>
  <c r="M18" i="59"/>
  <c r="M9" i="59" s="1"/>
  <c r="K18" i="59"/>
  <c r="K9" i="59" s="1"/>
  <c r="BY123" i="61"/>
  <c r="AI123" i="61"/>
  <c r="AO19" i="60"/>
  <c r="L8" i="32"/>
  <c r="F43" i="61"/>
  <c r="AP43" i="61"/>
  <c r="Z43" i="61"/>
  <c r="AA43" i="61"/>
  <c r="BY43" i="61"/>
  <c r="BR47" i="60"/>
  <c r="BS46" i="60"/>
  <c r="BS18" i="60" s="1"/>
  <c r="AD129" i="60" s="1"/>
  <c r="Q86" i="62"/>
  <c r="Q84" i="62" s="1"/>
  <c r="J86" i="62"/>
  <c r="J87" i="62"/>
  <c r="G87" i="62" s="1"/>
  <c r="E87" i="62"/>
  <c r="H183" i="32"/>
  <c r="AD86" i="64" s="1"/>
  <c r="BS31" i="61"/>
  <c r="BR31" i="61" s="1"/>
  <c r="AO31" i="61" s="1"/>
  <c r="AJ31" i="61" s="1"/>
  <c r="BS29" i="61"/>
  <c r="BR29" i="61" s="1"/>
  <c r="AO29" i="61" s="1"/>
  <c r="AJ29" i="61" s="1"/>
  <c r="BS35" i="61"/>
  <c r="BR35" i="61" s="1"/>
  <c r="AO35" i="61" s="1"/>
  <c r="AJ35" i="61" s="1"/>
  <c r="BS28" i="61"/>
  <c r="BR28" i="61" s="1"/>
  <c r="BS30" i="61"/>
  <c r="BR30" i="61" s="1"/>
  <c r="AO30" i="61" s="1"/>
  <c r="AJ30" i="61" s="1"/>
  <c r="BS34" i="61"/>
  <c r="BR34" i="61" s="1"/>
  <c r="AO34" i="61" s="1"/>
  <c r="AJ34" i="61" s="1"/>
  <c r="BS32" i="61"/>
  <c r="AO32" i="61" s="1"/>
  <c r="BS33" i="61"/>
  <c r="AO33" i="61" s="1"/>
  <c r="AJ33" i="61" s="1"/>
  <c r="J20" i="32"/>
  <c r="BW82" i="62"/>
  <c r="BW88" i="62"/>
  <c r="AO88" i="62" s="1"/>
  <c r="J25" i="32"/>
  <c r="J21" i="32"/>
  <c r="BW83" i="62"/>
  <c r="AO83" i="62" s="1"/>
  <c r="AO59" i="60"/>
  <c r="T39" i="59"/>
  <c r="BZ39" i="59" s="1"/>
  <c r="BZ37" i="59" s="1"/>
  <c r="G80" i="61"/>
  <c r="G29" i="59"/>
  <c r="F41" i="59"/>
  <c r="F18" i="59" s="1"/>
  <c r="F9" i="59" s="1"/>
  <c r="AA128" i="59"/>
  <c r="BP7" i="59"/>
  <c r="AA7" i="59" s="1"/>
  <c r="BP5" i="59" s="1"/>
  <c r="I57" i="59"/>
  <c r="G58" i="59"/>
  <c r="G57" i="59" s="1"/>
  <c r="U27" i="59"/>
  <c r="T28" i="59"/>
  <c r="BZ28" i="59" s="1"/>
  <c r="E27" i="59"/>
  <c r="BY34" i="60"/>
  <c r="AP34" i="60"/>
  <c r="Q34" i="60"/>
  <c r="X31" i="60"/>
  <c r="V31" i="60"/>
  <c r="AP31" i="60"/>
  <c r="W31" i="60"/>
  <c r="BY31" i="60"/>
  <c r="E31" i="60"/>
  <c r="I31" i="60"/>
  <c r="G31" i="60" s="1"/>
  <c r="C31" i="60"/>
  <c r="Y31" i="60"/>
  <c r="AB31" i="60"/>
  <c r="U31" i="60"/>
  <c r="AC83" i="62"/>
  <c r="S83" i="62"/>
  <c r="X83" i="62"/>
  <c r="T83" i="62" s="1"/>
  <c r="AI126" i="61"/>
  <c r="BY126" i="61"/>
  <c r="BW68" i="61"/>
  <c r="AO68" i="61" s="1"/>
  <c r="T21" i="60"/>
  <c r="BZ21" i="60" s="1"/>
  <c r="BY125" i="61"/>
  <c r="AI125" i="61"/>
  <c r="AP85" i="60"/>
  <c r="AJ84" i="60"/>
  <c r="BY85" i="60"/>
  <c r="BY84" i="60" s="1"/>
  <c r="BY68" i="60" s="1"/>
  <c r="AJ124" i="61"/>
  <c r="AI124" i="61" s="1"/>
  <c r="Z43" i="60"/>
  <c r="BY43" i="60"/>
  <c r="AA43" i="60"/>
  <c r="AP43" i="60"/>
  <c r="F43" i="60"/>
  <c r="Y79" i="62"/>
  <c r="BW124" i="62"/>
  <c r="AO124" i="62" s="1"/>
  <c r="BW126" i="62"/>
  <c r="AO126" i="62" s="1"/>
  <c r="AJ126" i="62" s="1"/>
  <c r="BW123" i="62"/>
  <c r="AO123" i="62" s="1"/>
  <c r="BR39" i="60"/>
  <c r="AO39" i="60" s="1"/>
  <c r="AJ39" i="60" s="1"/>
  <c r="U37" i="59"/>
  <c r="X20" i="59"/>
  <c r="X19" i="59" s="1"/>
  <c r="V20" i="59"/>
  <c r="V19" i="59" s="1"/>
  <c r="V18" i="59" s="1"/>
  <c r="V9" i="59" s="1"/>
  <c r="E20" i="59"/>
  <c r="E19" i="59" s="1"/>
  <c r="W20" i="59"/>
  <c r="W19" i="59" s="1"/>
  <c r="Y20" i="59"/>
  <c r="Y19" i="59" s="1"/>
  <c r="I20" i="59"/>
  <c r="AB20" i="59"/>
  <c r="AB19" i="59" s="1"/>
  <c r="AB18" i="59" s="1"/>
  <c r="AB9" i="59" s="1"/>
  <c r="U20" i="59"/>
  <c r="C20" i="59"/>
  <c r="BY20" i="59"/>
  <c r="AP20" i="59"/>
  <c r="AP86" i="61"/>
  <c r="BY86" i="61"/>
  <c r="T64" i="60"/>
  <c r="BZ64" i="60" s="1"/>
  <c r="BZ23" i="60"/>
  <c r="Q81" i="62"/>
  <c r="AC88" i="62"/>
  <c r="S88" i="62"/>
  <c r="N88" i="62" s="1"/>
  <c r="G3" i="39"/>
  <c r="J18" i="59"/>
  <c r="J9" i="59" s="1"/>
  <c r="N82" i="62"/>
  <c r="AF52" i="60"/>
  <c r="AF46" i="60" s="1"/>
  <c r="AF18" i="60" s="1"/>
  <c r="AF9" i="60" s="1"/>
  <c r="BU5" i="60" s="1"/>
  <c r="AP52" i="60"/>
  <c r="BY52" i="60"/>
  <c r="AP50" i="60"/>
  <c r="W50" i="60"/>
  <c r="C50" i="60"/>
  <c r="BY50" i="60"/>
  <c r="X50" i="60"/>
  <c r="U50" i="60"/>
  <c r="I50" i="60"/>
  <c r="G50" i="60" s="1"/>
  <c r="E50" i="60"/>
  <c r="Y50" i="60"/>
  <c r="AB50" i="60"/>
  <c r="V50" i="60"/>
  <c r="S86" i="62"/>
  <c r="S84" i="62" s="1"/>
  <c r="Y87" i="62"/>
  <c r="Y84" i="62" s="1"/>
  <c r="S87" i="62"/>
  <c r="N87" i="62" s="1"/>
  <c r="K65" i="32"/>
  <c r="K240" i="32"/>
  <c r="BW85" i="62"/>
  <c r="J22" i="32"/>
  <c r="BW79" i="62"/>
  <c r="AO79" i="62" s="1"/>
  <c r="J18" i="32"/>
  <c r="J24" i="32"/>
  <c r="BW87" i="62"/>
  <c r="AO87" i="62" s="1"/>
  <c r="BS47" i="61"/>
  <c r="BS51" i="61"/>
  <c r="BR51" i="61" s="1"/>
  <c r="AO51" i="61" s="1"/>
  <c r="AJ51" i="61" s="1"/>
  <c r="BS50" i="61"/>
  <c r="BR50" i="61" s="1"/>
  <c r="AO50" i="61" s="1"/>
  <c r="AJ50" i="61" s="1"/>
  <c r="BS52" i="61"/>
  <c r="BR52" i="61" s="1"/>
  <c r="AO52" i="61" s="1"/>
  <c r="AJ52" i="61" s="1"/>
  <c r="BS49" i="61"/>
  <c r="BR49" i="61" s="1"/>
  <c r="AO49" i="61" s="1"/>
  <c r="AJ49" i="61" s="1"/>
  <c r="BS48" i="61"/>
  <c r="BR48" i="61" s="1"/>
  <c r="AO48" i="61" s="1"/>
  <c r="AJ48" i="61" s="1"/>
  <c r="BS23" i="61"/>
  <c r="BR23" i="61" s="1"/>
  <c r="AO23" i="61" s="1"/>
  <c r="AJ23" i="61" s="1"/>
  <c r="BS24" i="61"/>
  <c r="AO24" i="61" s="1"/>
  <c r="BS21" i="61"/>
  <c r="BR21" i="61" s="1"/>
  <c r="AO21" i="61" s="1"/>
  <c r="AJ21" i="61" s="1"/>
  <c r="BS20" i="61"/>
  <c r="BR20" i="61" s="1"/>
  <c r="BS22" i="61"/>
  <c r="BR22" i="61" s="1"/>
  <c r="AO22" i="61" s="1"/>
  <c r="AJ22" i="61" s="1"/>
  <c r="BS25" i="61"/>
  <c r="AO25" i="61" s="1"/>
  <c r="AJ25" i="61" s="1"/>
  <c r="T23" i="59"/>
  <c r="BZ23" i="59" s="1"/>
  <c r="AW10" i="59"/>
  <c r="H69" i="59"/>
  <c r="T29" i="59"/>
  <c r="BZ29" i="59" s="1"/>
  <c r="T42" i="59"/>
  <c r="BZ42" i="59" s="1"/>
  <c r="BZ41" i="59" s="1"/>
  <c r="Z41" i="59"/>
  <c r="BZ58" i="59"/>
  <c r="BZ57" i="59" s="1"/>
  <c r="C57" i="59"/>
  <c r="G28" i="59"/>
  <c r="G27" i="59" s="1"/>
  <c r="I27" i="59"/>
  <c r="W27" i="59"/>
  <c r="AI89" i="59"/>
  <c r="AP89" i="59"/>
  <c r="BR35" i="60"/>
  <c r="AO35" i="60" s="1"/>
  <c r="AJ35" i="60" s="1"/>
  <c r="K29" i="60"/>
  <c r="K27" i="60" s="1"/>
  <c r="U29" i="60"/>
  <c r="E29" i="60"/>
  <c r="BY29" i="60"/>
  <c r="V29" i="60"/>
  <c r="W29" i="60"/>
  <c r="M29" i="60"/>
  <c r="M27" i="60" s="1"/>
  <c r="AB29" i="60"/>
  <c r="I29" i="60"/>
  <c r="AP29" i="60"/>
  <c r="X29" i="60"/>
  <c r="J29" i="60"/>
  <c r="J27" i="60" s="1"/>
  <c r="N85" i="62"/>
  <c r="BZ85" i="62"/>
  <c r="AJ85" i="62"/>
  <c r="Q83" i="62"/>
  <c r="N83" i="62" s="1"/>
  <c r="E83" i="62"/>
  <c r="E80" i="62" s="1"/>
  <c r="I37" i="59"/>
  <c r="AC79" i="62"/>
  <c r="BW120" i="62"/>
  <c r="E79" i="62"/>
  <c r="BW127" i="62"/>
  <c r="AO127" i="62" s="1"/>
  <c r="Q57" i="59"/>
  <c r="Q9" i="59" s="1"/>
  <c r="N62" i="59"/>
  <c r="N57" i="59" s="1"/>
  <c r="N24" i="59"/>
  <c r="S19" i="59"/>
  <c r="S18" i="59" s="1"/>
  <c r="S9" i="59" s="1"/>
  <c r="Q57" i="60"/>
  <c r="N62" i="60"/>
  <c r="H57" i="60"/>
  <c r="H9" i="60" s="1"/>
  <c r="G64" i="60"/>
  <c r="N64" i="60"/>
  <c r="AP83" i="61"/>
  <c r="BY83" i="61"/>
  <c r="BZ80" i="61"/>
  <c r="E68" i="61"/>
  <c r="AI120" i="61"/>
  <c r="BY120" i="61"/>
  <c r="R128" i="59"/>
  <c r="BG8" i="59"/>
  <c r="W81" i="62"/>
  <c r="Y81" i="62"/>
  <c r="Y80" i="62" s="1"/>
  <c r="E88" i="62"/>
  <c r="E84" i="62" s="1"/>
  <c r="J88" i="62"/>
  <c r="G88" i="62" s="1"/>
  <c r="T68" i="61"/>
  <c r="Z44" i="61"/>
  <c r="BY44" i="61"/>
  <c r="F44" i="61"/>
  <c r="AA44" i="61"/>
  <c r="AP44" i="61"/>
  <c r="E49" i="60"/>
  <c r="AP49" i="60"/>
  <c r="U49" i="60"/>
  <c r="AB49" i="60"/>
  <c r="BY49" i="60"/>
  <c r="U48" i="60"/>
  <c r="E48" i="60"/>
  <c r="AP48" i="60"/>
  <c r="J48" i="60"/>
  <c r="J46" i="60" s="1"/>
  <c r="Y48" i="60"/>
  <c r="AB48" i="60"/>
  <c r="I48" i="60"/>
  <c r="K48" i="60"/>
  <c r="K46" i="60" s="1"/>
  <c r="X48" i="60"/>
  <c r="M48" i="60"/>
  <c r="M46" i="60" s="1"/>
  <c r="BY48" i="60"/>
  <c r="W86" i="62"/>
  <c r="T86" i="62" s="1"/>
  <c r="AC87" i="62"/>
  <c r="W87" i="62"/>
  <c r="AO118" i="62"/>
  <c r="AJ118" i="62" s="1"/>
  <c r="AP118" i="62" s="1"/>
  <c r="BS58" i="61"/>
  <c r="BS59" i="61"/>
  <c r="BR59" i="61" s="1"/>
  <c r="AO59" i="61" s="1"/>
  <c r="BS64" i="61"/>
  <c r="BR64" i="61" s="1"/>
  <c r="AO64" i="61" s="1"/>
  <c r="AJ64" i="61" s="1"/>
  <c r="BS60" i="61"/>
  <c r="AO60" i="61" s="1"/>
  <c r="AJ60" i="61" s="1"/>
  <c r="BS61" i="61"/>
  <c r="BR61" i="61" s="1"/>
  <c r="AO61" i="61" s="1"/>
  <c r="AJ61" i="61" s="1"/>
  <c r="BS62" i="61"/>
  <c r="BR62" i="61" s="1"/>
  <c r="AO62" i="61" s="1"/>
  <c r="AJ62" i="61" s="1"/>
  <c r="J19" i="32"/>
  <c r="BW81" i="62"/>
  <c r="AO81" i="62" s="1"/>
  <c r="S19" i="60"/>
  <c r="N24" i="60"/>
  <c r="C37" i="59"/>
  <c r="BY124" i="60"/>
  <c r="BY117" i="60" s="1"/>
  <c r="BY89" i="60" s="1"/>
  <c r="AP124" i="60"/>
  <c r="F3" i="39"/>
  <c r="C27" i="59"/>
  <c r="BY33" i="60"/>
  <c r="AP33" i="60"/>
  <c r="AC33" i="60"/>
  <c r="BR27" i="60"/>
  <c r="AO27" i="60" s="1"/>
  <c r="AO28" i="60"/>
  <c r="AJ28" i="60" s="1"/>
  <c r="G37" i="59"/>
  <c r="AO89" i="60"/>
  <c r="N16" i="32"/>
  <c r="BR41" i="60"/>
  <c r="AO41" i="60" s="1"/>
  <c r="AO42" i="60"/>
  <c r="AJ42" i="60" s="1"/>
  <c r="BW121" i="62"/>
  <c r="BW125" i="62"/>
  <c r="Q79" i="62"/>
  <c r="S79" i="62"/>
  <c r="W79" i="62"/>
  <c r="BY82" i="61"/>
  <c r="AP82" i="61"/>
  <c r="AJ122" i="61"/>
  <c r="T82" i="62"/>
  <c r="AJ82" i="62" s="1"/>
  <c r="AI119" i="61"/>
  <c r="BY119" i="61"/>
  <c r="AO117" i="61"/>
  <c r="BW89" i="61"/>
  <c r="X81" i="62"/>
  <c r="X80" i="62" s="1"/>
  <c r="W88" i="62"/>
  <c r="T88" i="62" s="1"/>
  <c r="R57" i="60"/>
  <c r="R9" i="60" s="1"/>
  <c r="N61" i="60"/>
  <c r="E20" i="60"/>
  <c r="E19" i="60" s="1"/>
  <c r="V20" i="60"/>
  <c r="V19" i="60" s="1"/>
  <c r="AP20" i="60"/>
  <c r="X20" i="60"/>
  <c r="X19" i="60" s="1"/>
  <c r="AB20" i="60"/>
  <c r="AB19" i="60" s="1"/>
  <c r="U20" i="60"/>
  <c r="I20" i="60"/>
  <c r="W20" i="60"/>
  <c r="W19" i="60" s="1"/>
  <c r="Y20" i="60"/>
  <c r="Y19" i="60" s="1"/>
  <c r="C20" i="60"/>
  <c r="BY20" i="60"/>
  <c r="BY88" i="61"/>
  <c r="AP88" i="61"/>
  <c r="AI118" i="61"/>
  <c r="BY118" i="61"/>
  <c r="BR41" i="61"/>
  <c r="AO41" i="61" s="1"/>
  <c r="AO42" i="61"/>
  <c r="AJ42" i="61" s="1"/>
  <c r="X51" i="60"/>
  <c r="AB51" i="60"/>
  <c r="Y51" i="60"/>
  <c r="BY51" i="60"/>
  <c r="W51" i="60"/>
  <c r="E51" i="60"/>
  <c r="U51" i="60"/>
  <c r="I51" i="60"/>
  <c r="G51" i="60" s="1"/>
  <c r="V51" i="60"/>
  <c r="AP51" i="60"/>
  <c r="C51" i="60"/>
  <c r="AC86" i="62"/>
  <c r="X87" i="62"/>
  <c r="Y23" i="33"/>
  <c r="W23" i="33"/>
  <c r="AP23" i="33"/>
  <c r="AB23" i="33"/>
  <c r="U23" i="33"/>
  <c r="I23" i="33"/>
  <c r="G23" i="33" s="1"/>
  <c r="BY23" i="33"/>
  <c r="X23" i="33"/>
  <c r="V23" i="33"/>
  <c r="E23" i="33"/>
  <c r="AB20" i="33"/>
  <c r="U20" i="33"/>
  <c r="I20" i="33"/>
  <c r="AP20" i="33"/>
  <c r="V20" i="33"/>
  <c r="E20" i="33"/>
  <c r="BY20" i="33"/>
  <c r="X20" i="33"/>
  <c r="Y20" i="33"/>
  <c r="W20" i="33"/>
  <c r="BZ80" i="33"/>
  <c r="T27" i="58"/>
  <c r="BY125" i="33"/>
  <c r="AI125" i="33"/>
  <c r="T80" i="33"/>
  <c r="W68" i="33"/>
  <c r="BR19" i="33"/>
  <c r="T21" i="33"/>
  <c r="AI118" i="33"/>
  <c r="BY118" i="33"/>
  <c r="BY83" i="33"/>
  <c r="BA66" i="33"/>
  <c r="BA9" i="33"/>
  <c r="T22" i="33"/>
  <c r="AI121" i="33"/>
  <c r="BY121" i="33"/>
  <c r="BY122" i="33"/>
  <c r="AI122" i="33"/>
  <c r="BY119" i="33"/>
  <c r="AI119" i="33"/>
  <c r="AP118" i="33"/>
  <c r="AP122" i="33"/>
  <c r="Q68" i="33"/>
  <c r="BF67" i="33" s="1"/>
  <c r="BC67" i="33" s="1"/>
  <c r="AO67" i="33" s="1"/>
  <c r="N80" i="33"/>
  <c r="N68" i="33" s="1"/>
  <c r="BY127" i="33"/>
  <c r="AI127" i="33"/>
  <c r="BA66" i="51"/>
  <c r="BA9" i="51"/>
  <c r="AP80" i="51"/>
  <c r="BZ20" i="58"/>
  <c r="BZ19" i="58" s="1"/>
  <c r="BZ28" i="58"/>
  <c r="BZ27" i="58" s="1"/>
  <c r="X128" i="58"/>
  <c r="BM7" i="58"/>
  <c r="X7" i="58" s="1"/>
  <c r="BM5" i="58" s="1"/>
  <c r="E128" i="58"/>
  <c r="AT7" i="58"/>
  <c r="E7" i="58" s="1"/>
  <c r="AT5" i="58" s="1"/>
  <c r="W128" i="58"/>
  <c r="BL7" i="58"/>
  <c r="W7" i="58" s="1"/>
  <c r="BL5" i="58" s="1"/>
  <c r="AJ19" i="58"/>
  <c r="BZ69" i="58"/>
  <c r="BZ68" i="58" s="1"/>
  <c r="AC68" i="58"/>
  <c r="BR66" i="58" s="1"/>
  <c r="H68" i="58"/>
  <c r="Z18" i="58"/>
  <c r="Z9" i="58" s="1"/>
  <c r="T41" i="58"/>
  <c r="AJ37" i="58"/>
  <c r="AP37" i="58" s="1"/>
  <c r="AY66" i="58"/>
  <c r="AY9" i="58"/>
  <c r="Y128" i="58"/>
  <c r="BN7" i="58"/>
  <c r="Y7" i="58" s="1"/>
  <c r="BN5" i="58" s="1"/>
  <c r="BB66" i="58"/>
  <c r="BZ39" i="58"/>
  <c r="BZ37" i="58" s="1"/>
  <c r="BF8" i="58"/>
  <c r="T47" i="58"/>
  <c r="T46" i="58" s="1"/>
  <c r="U46" i="58"/>
  <c r="U18" i="58" s="1"/>
  <c r="U9" i="58" s="1"/>
  <c r="BY24" i="58"/>
  <c r="BY19" i="58" s="1"/>
  <c r="BY18" i="58" s="1"/>
  <c r="BY9" i="58" s="1"/>
  <c r="AP24" i="58"/>
  <c r="BZ58" i="58"/>
  <c r="BZ57" i="58" s="1"/>
  <c r="J128" i="58"/>
  <c r="BH8" i="58"/>
  <c r="C46" i="58"/>
  <c r="C18" i="58" s="1"/>
  <c r="C9" i="58" s="1"/>
  <c r="G27" i="58"/>
  <c r="AB128" i="58"/>
  <c r="BQ7" i="58"/>
  <c r="AB7" i="58" s="1"/>
  <c r="BQ5" i="58" s="1"/>
  <c r="I46" i="58"/>
  <c r="I18" i="58" s="1"/>
  <c r="I9" i="58" s="1"/>
  <c r="G47" i="58"/>
  <c r="G46" i="58" s="1"/>
  <c r="F18" i="58"/>
  <c r="F9" i="58" s="1"/>
  <c r="N18" i="58"/>
  <c r="N9" i="58" s="1"/>
  <c r="K128" i="58"/>
  <c r="K66" i="58"/>
  <c r="D11" i="40"/>
  <c r="J261" i="32"/>
  <c r="E7" i="43" s="1"/>
  <c r="H151" i="32"/>
  <c r="AD85" i="64" s="1"/>
  <c r="M113" i="32"/>
  <c r="J264" i="32"/>
  <c r="H169" i="32"/>
  <c r="F12" i="44"/>
  <c r="H212" i="32"/>
  <c r="S87" i="64" s="1"/>
  <c r="M169" i="32"/>
  <c r="M57" i="32"/>
  <c r="K211" i="32"/>
  <c r="K149" i="32"/>
  <c r="J265" i="32"/>
  <c r="H95" i="32"/>
  <c r="AD82" i="64" s="1"/>
  <c r="K93" i="32"/>
  <c r="H182" i="32"/>
  <c r="Q86" i="64" s="1"/>
  <c r="F8" i="44"/>
  <c r="F32" i="44"/>
  <c r="J262" i="32"/>
  <c r="K37" i="32"/>
  <c r="M85" i="32"/>
  <c r="K204" i="32"/>
  <c r="I32" i="44" s="1"/>
  <c r="H49" i="44"/>
  <c r="M231" i="32"/>
  <c r="K49" i="44" s="1"/>
  <c r="K181" i="32"/>
  <c r="H39" i="32"/>
  <c r="H122" i="32"/>
  <c r="J83" i="64" s="1"/>
  <c r="G83" i="64" s="1"/>
  <c r="H31" i="44"/>
  <c r="M203" i="32"/>
  <c r="K31" i="44" s="1"/>
  <c r="K58" i="32"/>
  <c r="E27" i="39" s="1"/>
  <c r="K121" i="32"/>
  <c r="H66" i="32"/>
  <c r="S81" i="64" s="1"/>
  <c r="H38" i="32"/>
  <c r="F50" i="44"/>
  <c r="H242" i="32"/>
  <c r="AD88" i="64" s="1"/>
  <c r="M141" i="32"/>
  <c r="M28" i="32"/>
  <c r="K174" i="32"/>
  <c r="I12" i="44" s="1"/>
  <c r="K114" i="32"/>
  <c r="E63" i="39" s="1"/>
  <c r="K29" i="32"/>
  <c r="E8" i="39" s="1"/>
  <c r="K86" i="32"/>
  <c r="E45" i="39" s="1"/>
  <c r="J266" i="32"/>
  <c r="J263" i="32"/>
  <c r="H123" i="32"/>
  <c r="AD83" i="64" s="1"/>
  <c r="H150" i="32"/>
  <c r="E85" i="64" s="1"/>
  <c r="H113" i="32"/>
  <c r="H85" i="32"/>
  <c r="H203" i="32"/>
  <c r="H141" i="32"/>
  <c r="H28" i="32"/>
  <c r="H231" i="32"/>
  <c r="H241" i="32"/>
  <c r="Q88" i="64" s="1"/>
  <c r="H213" i="32"/>
  <c r="AD87" i="64" s="1"/>
  <c r="H67" i="32"/>
  <c r="AD81" i="64" s="1"/>
  <c r="H57" i="32"/>
  <c r="H94" i="32"/>
  <c r="E82" i="64" s="1"/>
  <c r="F630" i="32"/>
  <c r="C260" i="43" s="1"/>
  <c r="F629" i="32"/>
  <c r="C259" i="43" s="1"/>
  <c r="F628" i="32"/>
  <c r="C258" i="43" s="1"/>
  <c r="F627" i="32"/>
  <c r="C257" i="43" s="1"/>
  <c r="F626" i="32"/>
  <c r="C256" i="43" s="1"/>
  <c r="F625" i="32"/>
  <c r="C255" i="43" s="1"/>
  <c r="F624" i="32"/>
  <c r="C254" i="43" s="1"/>
  <c r="F623" i="32"/>
  <c r="C253" i="43" s="1"/>
  <c r="F622" i="32"/>
  <c r="C252" i="43" s="1"/>
  <c r="F620" i="32"/>
  <c r="C250" i="43" s="1"/>
  <c r="F619" i="32"/>
  <c r="C249" i="43" s="1"/>
  <c r="F618" i="32"/>
  <c r="C248" i="43" s="1"/>
  <c r="F617" i="32"/>
  <c r="C247" i="43" s="1"/>
  <c r="F616" i="32"/>
  <c r="C246" i="43" s="1"/>
  <c r="F615" i="32"/>
  <c r="C245" i="43" s="1"/>
  <c r="F614" i="32"/>
  <c r="C244" i="43" s="1"/>
  <c r="F613" i="32"/>
  <c r="C243" i="43" s="1"/>
  <c r="F612" i="32"/>
  <c r="C242" i="43" s="1"/>
  <c r="F610" i="32"/>
  <c r="C240" i="43" s="1"/>
  <c r="F609" i="32"/>
  <c r="C239" i="43" s="1"/>
  <c r="F608" i="32"/>
  <c r="C238" i="43" s="1"/>
  <c r="F606" i="32"/>
  <c r="C236" i="43" s="1"/>
  <c r="F605" i="32"/>
  <c r="C235" i="43" s="1"/>
  <c r="F604" i="32"/>
  <c r="C234" i="43" s="1"/>
  <c r="F603" i="32"/>
  <c r="F602" i="32"/>
  <c r="F601" i="32"/>
  <c r="C231" i="43" s="1"/>
  <c r="F600" i="32"/>
  <c r="C230" i="43" s="1"/>
  <c r="F599" i="32"/>
  <c r="C229" i="43" s="1"/>
  <c r="F598" i="32"/>
  <c r="C228" i="43" s="1"/>
  <c r="F597" i="32"/>
  <c r="C227" i="43" s="1"/>
  <c r="F596" i="32"/>
  <c r="C226" i="43" s="1"/>
  <c r="F594" i="32"/>
  <c r="C224" i="43" s="1"/>
  <c r="F593" i="32"/>
  <c r="C223" i="43" s="1"/>
  <c r="F592" i="32"/>
  <c r="C222" i="43" s="1"/>
  <c r="F591" i="32"/>
  <c r="C221" i="43" s="1"/>
  <c r="F590" i="32"/>
  <c r="C220" i="43" s="1"/>
  <c r="F589" i="32"/>
  <c r="C219" i="43" s="1"/>
  <c r="F588" i="32"/>
  <c r="C218" i="43" s="1"/>
  <c r="F587" i="32"/>
  <c r="C217" i="43" s="1"/>
  <c r="F586" i="32"/>
  <c r="C216" i="43" s="1"/>
  <c r="F584" i="32"/>
  <c r="C214" i="43" s="1"/>
  <c r="F583" i="32"/>
  <c r="C213" i="43" s="1"/>
  <c r="F582" i="32"/>
  <c r="C212" i="43" s="1"/>
  <c r="F581" i="32"/>
  <c r="C211" i="43" s="1"/>
  <c r="F580" i="32"/>
  <c r="C210" i="43" s="1"/>
  <c r="F579" i="32"/>
  <c r="C209" i="43" s="1"/>
  <c r="F578" i="32"/>
  <c r="C208" i="43" s="1"/>
  <c r="F577" i="32"/>
  <c r="C207" i="43" s="1"/>
  <c r="F576" i="32"/>
  <c r="C206" i="43" s="1"/>
  <c r="F575" i="32"/>
  <c r="C205" i="43" s="1"/>
  <c r="F574" i="32"/>
  <c r="C204" i="43" s="1"/>
  <c r="F573" i="32"/>
  <c r="C203" i="43" s="1"/>
  <c r="F572" i="32"/>
  <c r="C202" i="43" s="1"/>
  <c r="F571" i="32"/>
  <c r="C201" i="43" s="1"/>
  <c r="F570" i="32"/>
  <c r="C200" i="43" s="1"/>
  <c r="F569" i="32"/>
  <c r="C199" i="43" s="1"/>
  <c r="F568" i="32"/>
  <c r="C198" i="43" s="1"/>
  <c r="F567" i="32"/>
  <c r="C197" i="43" s="1"/>
  <c r="F566" i="32"/>
  <c r="C196" i="43" s="1"/>
  <c r="F560" i="32"/>
  <c r="C190" i="43" s="1"/>
  <c r="F559" i="32"/>
  <c r="C189" i="43" s="1"/>
  <c r="F558" i="32"/>
  <c r="C188" i="43" s="1"/>
  <c r="F556" i="32"/>
  <c r="C186" i="43" s="1"/>
  <c r="F555" i="32"/>
  <c r="C185" i="43" s="1"/>
  <c r="F554" i="32"/>
  <c r="C184" i="43" s="1"/>
  <c r="F553" i="32"/>
  <c r="C183" i="43" s="1"/>
  <c r="F552" i="32"/>
  <c r="C182" i="43" s="1"/>
  <c r="F551" i="32"/>
  <c r="C181" i="43" s="1"/>
  <c r="F549" i="32"/>
  <c r="F548" i="32"/>
  <c r="C178" i="43" s="1"/>
  <c r="F547" i="32"/>
  <c r="C177" i="43" s="1"/>
  <c r="F546" i="32"/>
  <c r="C176" i="43" s="1"/>
  <c r="F545" i="32"/>
  <c r="C175" i="43" s="1"/>
  <c r="F544" i="32"/>
  <c r="C174" i="43" s="1"/>
  <c r="F543" i="32"/>
  <c r="C173" i="43" s="1"/>
  <c r="F542" i="32"/>
  <c r="C172" i="43" s="1"/>
  <c r="F541" i="32"/>
  <c r="C171" i="43" s="1"/>
  <c r="F540" i="32"/>
  <c r="C170" i="43" s="1"/>
  <c r="F538" i="32"/>
  <c r="C168" i="43" s="1"/>
  <c r="F537" i="32"/>
  <c r="C167" i="43" s="1"/>
  <c r="F536" i="32"/>
  <c r="F535" i="32"/>
  <c r="C165" i="43" s="1"/>
  <c r="F534" i="32"/>
  <c r="F533" i="32"/>
  <c r="C163" i="43" s="1"/>
  <c r="F532" i="32"/>
  <c r="C162" i="43" s="1"/>
  <c r="F531" i="32"/>
  <c r="C161" i="43" s="1"/>
  <c r="F530" i="32"/>
  <c r="C160" i="43" s="1"/>
  <c r="F529" i="32"/>
  <c r="C159" i="43" s="1"/>
  <c r="F528" i="32"/>
  <c r="C158" i="43" s="1"/>
  <c r="F526" i="32"/>
  <c r="C156" i="43" s="1"/>
  <c r="F525" i="32"/>
  <c r="C155" i="43" s="1"/>
  <c r="F524" i="32"/>
  <c r="C154" i="43" s="1"/>
  <c r="F523" i="32"/>
  <c r="C153" i="43" s="1"/>
  <c r="F522" i="32"/>
  <c r="C152" i="43" s="1"/>
  <c r="F521" i="32"/>
  <c r="C151" i="43" s="1"/>
  <c r="F520" i="32"/>
  <c r="C150" i="43" s="1"/>
  <c r="F519" i="32"/>
  <c r="C149" i="43" s="1"/>
  <c r="F518" i="32"/>
  <c r="C148" i="43" s="1"/>
  <c r="F512" i="32"/>
  <c r="C142" i="43" s="1"/>
  <c r="F511" i="32"/>
  <c r="C141" i="43" s="1"/>
  <c r="F510" i="32"/>
  <c r="C140" i="43" s="1"/>
  <c r="F509" i="32"/>
  <c r="C139" i="43" s="1"/>
  <c r="F508" i="32"/>
  <c r="C138" i="43" s="1"/>
  <c r="F507" i="32"/>
  <c r="C137" i="43" s="1"/>
  <c r="F506" i="32"/>
  <c r="C136" i="43" s="1"/>
  <c r="F505" i="32"/>
  <c r="C135" i="43" s="1"/>
  <c r="F504" i="32"/>
  <c r="C134" i="43" s="1"/>
  <c r="F502" i="32"/>
  <c r="C132" i="43" s="1"/>
  <c r="F501" i="32"/>
  <c r="C131" i="43" s="1"/>
  <c r="F500" i="32"/>
  <c r="C130" i="43" s="1"/>
  <c r="F498" i="32"/>
  <c r="C128" i="43" s="1"/>
  <c r="F497" i="32"/>
  <c r="F496" i="32"/>
  <c r="C126" i="43" s="1"/>
  <c r="F495" i="32"/>
  <c r="C125" i="43" s="1"/>
  <c r="F494" i="32"/>
  <c r="C124" i="43" s="1"/>
  <c r="F493" i="32"/>
  <c r="C123" i="43" s="1"/>
  <c r="F492" i="32"/>
  <c r="C122" i="43" s="1"/>
  <c r="F491" i="32"/>
  <c r="C121" i="43" s="1"/>
  <c r="F490" i="32"/>
  <c r="C120" i="43" s="1"/>
  <c r="F489" i="32"/>
  <c r="C119" i="43" s="1"/>
  <c r="F488" i="32"/>
  <c r="C118" i="43" s="1"/>
  <c r="F486" i="32"/>
  <c r="C116" i="43" s="1"/>
  <c r="F485" i="32"/>
  <c r="C115" i="43" s="1"/>
  <c r="F484" i="32"/>
  <c r="C114" i="43" s="1"/>
  <c r="F483" i="32"/>
  <c r="C113" i="43" s="1"/>
  <c r="F482" i="32"/>
  <c r="C112" i="43" s="1"/>
  <c r="F481" i="32"/>
  <c r="C111" i="43" s="1"/>
  <c r="F480" i="32"/>
  <c r="C110" i="43" s="1"/>
  <c r="F479" i="32"/>
  <c r="C109" i="43" s="1"/>
  <c r="F477" i="32"/>
  <c r="C107" i="43" s="1"/>
  <c r="F476" i="32"/>
  <c r="C106" i="43" s="1"/>
  <c r="F475" i="32"/>
  <c r="C105" i="43" s="1"/>
  <c r="F473" i="32"/>
  <c r="C103" i="43" s="1"/>
  <c r="F472" i="32"/>
  <c r="C102" i="43" s="1"/>
  <c r="F471" i="32"/>
  <c r="C101" i="43" s="1"/>
  <c r="F469" i="32"/>
  <c r="C99" i="43" s="1"/>
  <c r="F468" i="32"/>
  <c r="C98" i="43" s="1"/>
  <c r="F467" i="32"/>
  <c r="C97" i="43" s="1"/>
  <c r="F463" i="32"/>
  <c r="C93" i="43" s="1"/>
  <c r="F462" i="32"/>
  <c r="C92" i="43" s="1"/>
  <c r="F461" i="32"/>
  <c r="C91" i="43" s="1"/>
  <c r="F460" i="32"/>
  <c r="C90" i="43" s="1"/>
  <c r="F459" i="32"/>
  <c r="C89" i="43" s="1"/>
  <c r="F458" i="32"/>
  <c r="C88" i="43" s="1"/>
  <c r="F457" i="32"/>
  <c r="C87" i="43" s="1"/>
  <c r="F456" i="32"/>
  <c r="C86" i="43" s="1"/>
  <c r="F455" i="32"/>
  <c r="C85" i="43" s="1"/>
  <c r="F453" i="32"/>
  <c r="C83" i="43" s="1"/>
  <c r="F452" i="32"/>
  <c r="C82" i="43" s="1"/>
  <c r="F451" i="32"/>
  <c r="C81" i="43" s="1"/>
  <c r="F449" i="32"/>
  <c r="C79" i="43" s="1"/>
  <c r="F448" i="32"/>
  <c r="C78" i="43" s="1"/>
  <c r="F447" i="32"/>
  <c r="C77" i="43" s="1"/>
  <c r="F446" i="32"/>
  <c r="C76" i="43" s="1"/>
  <c r="F445" i="32"/>
  <c r="C75" i="43" s="1"/>
  <c r="F444" i="32"/>
  <c r="C74" i="43" s="1"/>
  <c r="F443" i="32"/>
  <c r="C73" i="43" s="1"/>
  <c r="F442" i="32"/>
  <c r="C72" i="43" s="1"/>
  <c r="F441" i="32"/>
  <c r="C71" i="43" s="1"/>
  <c r="F440" i="32"/>
  <c r="C70" i="43" s="1"/>
  <c r="F439" i="32"/>
  <c r="C69" i="43" s="1"/>
  <c r="F437" i="32"/>
  <c r="C67" i="43" s="1"/>
  <c r="F436" i="32"/>
  <c r="C66" i="43" s="1"/>
  <c r="F435" i="32"/>
  <c r="C65" i="43" s="1"/>
  <c r="F434" i="32"/>
  <c r="C64" i="43" s="1"/>
  <c r="F433" i="32"/>
  <c r="C63" i="43" s="1"/>
  <c r="F432" i="32"/>
  <c r="C62" i="43" s="1"/>
  <c r="F431" i="32"/>
  <c r="C61" i="43" s="1"/>
  <c r="F430" i="32"/>
  <c r="C60" i="43" s="1"/>
  <c r="F429" i="32"/>
  <c r="C59" i="43" s="1"/>
  <c r="F427" i="32"/>
  <c r="D73" i="44" s="1"/>
  <c r="F426" i="32"/>
  <c r="D72" i="44" s="1"/>
  <c r="F425" i="32"/>
  <c r="D71" i="44" s="1"/>
  <c r="F424" i="32"/>
  <c r="D70" i="44" s="1"/>
  <c r="F422" i="32"/>
  <c r="F421" i="32"/>
  <c r="F420" i="32"/>
  <c r="F419" i="32"/>
  <c r="F417" i="32"/>
  <c r="D81" i="44" s="1"/>
  <c r="F416" i="32"/>
  <c r="D80" i="44" s="1"/>
  <c r="F414" i="32"/>
  <c r="D77" i="44" s="1"/>
  <c r="F413" i="32"/>
  <c r="D76" i="44" s="1"/>
  <c r="F411" i="32"/>
  <c r="D69" i="42" s="1"/>
  <c r="F410" i="32"/>
  <c r="D68" i="42" s="1"/>
  <c r="F409" i="32"/>
  <c r="D67" i="42" s="1"/>
  <c r="F408" i="32"/>
  <c r="D66" i="42" s="1"/>
  <c r="F407" i="32"/>
  <c r="D65" i="42" s="1"/>
  <c r="F406" i="32"/>
  <c r="D64" i="42" s="1"/>
  <c r="F405" i="32"/>
  <c r="D63" i="42" s="1"/>
  <c r="F404" i="32"/>
  <c r="D62" i="42" s="1"/>
  <c r="F403" i="32"/>
  <c r="D61" i="42" s="1"/>
  <c r="F402" i="32"/>
  <c r="D60" i="42" s="1"/>
  <c r="F401" i="32"/>
  <c r="D59" i="42" s="1"/>
  <c r="G399" i="32"/>
  <c r="F399" i="32"/>
  <c r="G398" i="32"/>
  <c r="E57" i="42" s="1"/>
  <c r="F398" i="32"/>
  <c r="D57" i="42" s="1"/>
  <c r="G397" i="32"/>
  <c r="E56" i="42" s="1"/>
  <c r="F397" i="32"/>
  <c r="D56" i="42" s="1"/>
  <c r="G396" i="32"/>
  <c r="E55" i="42" s="1"/>
  <c r="F396" i="32"/>
  <c r="D55" i="42" s="1"/>
  <c r="G395" i="32"/>
  <c r="E54" i="42" s="1"/>
  <c r="F395" i="32"/>
  <c r="D54" i="42" s="1"/>
  <c r="G394" i="32"/>
  <c r="E53" i="42" s="1"/>
  <c r="F394" i="32"/>
  <c r="D53" i="42" s="1"/>
  <c r="G393" i="32"/>
  <c r="E52" i="42" s="1"/>
  <c r="F393" i="32"/>
  <c r="D52" i="42" s="1"/>
  <c r="G392" i="32"/>
  <c r="E51" i="42" s="1"/>
  <c r="F392" i="32"/>
  <c r="D51" i="42" s="1"/>
  <c r="G391" i="32"/>
  <c r="E50" i="42" s="1"/>
  <c r="F391" i="32"/>
  <c r="D50" i="42" s="1"/>
  <c r="G390" i="32"/>
  <c r="E49" i="42" s="1"/>
  <c r="F390" i="32"/>
  <c r="D49" i="42" s="1"/>
  <c r="G389" i="32"/>
  <c r="E48" i="42" s="1"/>
  <c r="G388" i="32"/>
  <c r="E47" i="42" s="1"/>
  <c r="F388" i="32"/>
  <c r="D47" i="42" s="1"/>
  <c r="F387" i="32"/>
  <c r="D46" i="42" s="1"/>
  <c r="F386" i="32"/>
  <c r="D45" i="42" s="1"/>
  <c r="F385" i="32"/>
  <c r="D44" i="42" s="1"/>
  <c r="F384" i="32"/>
  <c r="D43" i="42" s="1"/>
  <c r="F383" i="32"/>
  <c r="D42" i="42" s="1"/>
  <c r="F382" i="32"/>
  <c r="D41" i="42" s="1"/>
  <c r="G380" i="32"/>
  <c r="E39" i="42" s="1"/>
  <c r="F380" i="32"/>
  <c r="D39" i="42" s="1"/>
  <c r="G379" i="32"/>
  <c r="E38" i="42" s="1"/>
  <c r="F379" i="32"/>
  <c r="D38" i="42" s="1"/>
  <c r="G378" i="32"/>
  <c r="E37" i="42" s="1"/>
  <c r="F378" i="32"/>
  <c r="D37" i="42" s="1"/>
  <c r="G377" i="32"/>
  <c r="E36" i="42" s="1"/>
  <c r="F377" i="32"/>
  <c r="D36" i="42" s="1"/>
  <c r="G376" i="32"/>
  <c r="E35" i="42" s="1"/>
  <c r="F376" i="32"/>
  <c r="D35" i="42" s="1"/>
  <c r="G375" i="32"/>
  <c r="E34" i="42" s="1"/>
  <c r="F375" i="32"/>
  <c r="D34" i="42" s="1"/>
  <c r="G373" i="32"/>
  <c r="E31" i="42" s="1"/>
  <c r="F373" i="32"/>
  <c r="D31" i="42" s="1"/>
  <c r="G372" i="32"/>
  <c r="E30" i="42" s="1"/>
  <c r="F372" i="32"/>
  <c r="D30" i="42" s="1"/>
  <c r="G371" i="32"/>
  <c r="E29" i="42" s="1"/>
  <c r="F371" i="32"/>
  <c r="D29" i="42" s="1"/>
  <c r="G370" i="32"/>
  <c r="E28" i="42" s="1"/>
  <c r="F370" i="32"/>
  <c r="D28" i="42" s="1"/>
  <c r="G369" i="32"/>
  <c r="E27" i="42" s="1"/>
  <c r="F369" i="32"/>
  <c r="D27" i="42" s="1"/>
  <c r="G367" i="32"/>
  <c r="E25" i="42" s="1"/>
  <c r="F367" i="32"/>
  <c r="D25" i="42" s="1"/>
  <c r="G366" i="32"/>
  <c r="E24" i="42" s="1"/>
  <c r="F366" i="32"/>
  <c r="D24" i="42" s="1"/>
  <c r="G364" i="32"/>
  <c r="E22" i="42" s="1"/>
  <c r="F364" i="32"/>
  <c r="D22" i="42" s="1"/>
  <c r="G363" i="32"/>
  <c r="E21" i="42" s="1"/>
  <c r="F363" i="32"/>
  <c r="D21" i="42" s="1"/>
  <c r="G362" i="32"/>
  <c r="E20" i="42" s="1"/>
  <c r="F362" i="32"/>
  <c r="D20" i="42" s="1"/>
  <c r="G361" i="32"/>
  <c r="E19" i="42" s="1"/>
  <c r="F361" i="32"/>
  <c r="D19" i="42" s="1"/>
  <c r="G360" i="32"/>
  <c r="E18" i="42" s="1"/>
  <c r="F360" i="32"/>
  <c r="D18" i="42" s="1"/>
  <c r="G359" i="32"/>
  <c r="E17" i="42" s="1"/>
  <c r="F359" i="32"/>
  <c r="D17" i="42" s="1"/>
  <c r="G358" i="32"/>
  <c r="E16" i="42" s="1"/>
  <c r="F358" i="32"/>
  <c r="D16" i="42" s="1"/>
  <c r="G357" i="32"/>
  <c r="E15" i="42" s="1"/>
  <c r="F357" i="32"/>
  <c r="D15" i="42" s="1"/>
  <c r="F355" i="32"/>
  <c r="D13" i="42" s="1"/>
  <c r="F354" i="32"/>
  <c r="D12" i="42" s="1"/>
  <c r="F353" i="32"/>
  <c r="D11" i="42" s="1"/>
  <c r="G351" i="32"/>
  <c r="E32" i="42" s="1"/>
  <c r="F351" i="32"/>
  <c r="D32" i="42" s="1"/>
  <c r="G350" i="32"/>
  <c r="E9" i="42" s="1"/>
  <c r="F350" i="32"/>
  <c r="D9" i="42" s="1"/>
  <c r="G349" i="32"/>
  <c r="E8" i="42" s="1"/>
  <c r="F349" i="32"/>
  <c r="D8" i="42" s="1"/>
  <c r="G348" i="32"/>
  <c r="E7" i="42" s="1"/>
  <c r="F348" i="32"/>
  <c r="D7" i="42" s="1"/>
  <c r="G347" i="32"/>
  <c r="E6" i="42" s="1"/>
  <c r="F347" i="32"/>
  <c r="D6" i="42" s="1"/>
  <c r="G346" i="32"/>
  <c r="E5" i="42" s="1"/>
  <c r="F346" i="32"/>
  <c r="D5" i="42" s="1"/>
  <c r="G345" i="32"/>
  <c r="E4" i="42" s="1"/>
  <c r="F345" i="32"/>
  <c r="D4" i="42" s="1"/>
  <c r="F300" i="32"/>
  <c r="F299" i="32"/>
  <c r="F298" i="32"/>
  <c r="F297" i="32"/>
  <c r="F296" i="32"/>
  <c r="F295" i="32"/>
  <c r="F294" i="32"/>
  <c r="D5" i="45" s="1"/>
  <c r="F283" i="32"/>
  <c r="F281" i="32"/>
  <c r="F259" i="32"/>
  <c r="F258" i="32"/>
  <c r="F257" i="32"/>
  <c r="F256" i="32"/>
  <c r="F255" i="32"/>
  <c r="F254" i="32"/>
  <c r="F252" i="32"/>
  <c r="D67" i="44" s="1"/>
  <c r="F251" i="32"/>
  <c r="D66" i="44" s="1"/>
  <c r="F250" i="32"/>
  <c r="D65" i="44" s="1"/>
  <c r="F249" i="32"/>
  <c r="D64" i="44" s="1"/>
  <c r="F248" i="32"/>
  <c r="D63" i="44" s="1"/>
  <c r="F247" i="32"/>
  <c r="D62" i="44" s="1"/>
  <c r="F246" i="32"/>
  <c r="D61" i="44" s="1"/>
  <c r="F245" i="32"/>
  <c r="D60" i="44" s="1"/>
  <c r="F244" i="32"/>
  <c r="D59" i="44" s="1"/>
  <c r="F239" i="32"/>
  <c r="F238" i="32"/>
  <c r="F237" i="32"/>
  <c r="F235" i="32"/>
  <c r="F234" i="32"/>
  <c r="F233" i="32"/>
  <c r="F223" i="32"/>
  <c r="D48" i="44" s="1"/>
  <c r="F222" i="32"/>
  <c r="D47" i="44" s="1"/>
  <c r="F221" i="32"/>
  <c r="D46" i="44" s="1"/>
  <c r="F220" i="32"/>
  <c r="D45" i="44" s="1"/>
  <c r="F219" i="32"/>
  <c r="D44" i="44" s="1"/>
  <c r="F218" i="32"/>
  <c r="D43" i="44" s="1"/>
  <c r="F217" i="32"/>
  <c r="D42" i="44" s="1"/>
  <c r="F216" i="32"/>
  <c r="D41" i="44" s="1"/>
  <c r="F215" i="32"/>
  <c r="D40" i="44" s="1"/>
  <c r="F209" i="32"/>
  <c r="F208" i="32"/>
  <c r="H87" i="65" s="1"/>
  <c r="F207" i="32"/>
  <c r="F206" i="32"/>
  <c r="F205" i="32"/>
  <c r="F202" i="32"/>
  <c r="F201" i="32"/>
  <c r="F193" i="32"/>
  <c r="D28" i="44" s="1"/>
  <c r="F192" i="32"/>
  <c r="D27" i="44" s="1"/>
  <c r="F191" i="32"/>
  <c r="D26" i="44" s="1"/>
  <c r="F190" i="32"/>
  <c r="D25" i="44" s="1"/>
  <c r="F189" i="32"/>
  <c r="D24" i="44" s="1"/>
  <c r="F188" i="32"/>
  <c r="D23" i="44" s="1"/>
  <c r="F187" i="32"/>
  <c r="D22" i="44" s="1"/>
  <c r="F186" i="32"/>
  <c r="D21" i="44" s="1"/>
  <c r="F185" i="32"/>
  <c r="D20" i="44" s="1"/>
  <c r="F179" i="32"/>
  <c r="F173" i="32"/>
  <c r="BW103" i="65" s="1"/>
  <c r="F172" i="32"/>
  <c r="BW102" i="65" s="1"/>
  <c r="F171" i="32"/>
  <c r="F161" i="32"/>
  <c r="C97" i="39" s="1"/>
  <c r="F160" i="32"/>
  <c r="C96" i="39" s="1"/>
  <c r="F159" i="32"/>
  <c r="C95" i="39" s="1"/>
  <c r="F158" i="32"/>
  <c r="C94" i="39" s="1"/>
  <c r="F157" i="32"/>
  <c r="C93" i="39" s="1"/>
  <c r="F156" i="32"/>
  <c r="C92" i="39" s="1"/>
  <c r="F155" i="32"/>
  <c r="C91" i="39" s="1"/>
  <c r="F154" i="32"/>
  <c r="C90" i="39" s="1"/>
  <c r="F153" i="32"/>
  <c r="C89" i="39" s="1"/>
  <c r="F147" i="32"/>
  <c r="F146" i="32"/>
  <c r="F145" i="32"/>
  <c r="F144" i="32"/>
  <c r="F143" i="32"/>
  <c r="F133" i="32"/>
  <c r="C79" i="39" s="1"/>
  <c r="F132" i="32"/>
  <c r="C78" i="39" s="1"/>
  <c r="F131" i="32"/>
  <c r="C77" i="39" s="1"/>
  <c r="F130" i="32"/>
  <c r="C76" i="39" s="1"/>
  <c r="F129" i="32"/>
  <c r="C75" i="39" s="1"/>
  <c r="F128" i="32"/>
  <c r="C74" i="39" s="1"/>
  <c r="F127" i="32"/>
  <c r="C73" i="39" s="1"/>
  <c r="F126" i="32"/>
  <c r="C72" i="39" s="1"/>
  <c r="F125" i="32"/>
  <c r="C71" i="39" s="1"/>
  <c r="F119" i="32"/>
  <c r="F118" i="32"/>
  <c r="F117" i="32"/>
  <c r="F116" i="32"/>
  <c r="F115" i="32"/>
  <c r="F105" i="32"/>
  <c r="C61" i="39" s="1"/>
  <c r="F104" i="32"/>
  <c r="C60" i="39" s="1"/>
  <c r="F103" i="32"/>
  <c r="C59" i="39" s="1"/>
  <c r="F102" i="32"/>
  <c r="C58" i="39" s="1"/>
  <c r="F101" i="32"/>
  <c r="C57" i="39" s="1"/>
  <c r="F100" i="32"/>
  <c r="C56" i="39" s="1"/>
  <c r="F99" i="32"/>
  <c r="C55" i="39" s="1"/>
  <c r="F98" i="32"/>
  <c r="C54" i="39" s="1"/>
  <c r="F97" i="32"/>
  <c r="C53" i="39" s="1"/>
  <c r="F91" i="32"/>
  <c r="F90" i="32"/>
  <c r="F89" i="32"/>
  <c r="F88" i="32"/>
  <c r="F87" i="32"/>
  <c r="F77" i="32"/>
  <c r="C43" i="39" s="1"/>
  <c r="F76" i="32"/>
  <c r="C42" i="39" s="1"/>
  <c r="F75" i="32"/>
  <c r="C41" i="39" s="1"/>
  <c r="F74" i="32"/>
  <c r="C40" i="39" s="1"/>
  <c r="F73" i="32"/>
  <c r="C39" i="39" s="1"/>
  <c r="F72" i="32"/>
  <c r="C38" i="39" s="1"/>
  <c r="F71" i="32"/>
  <c r="C37" i="39" s="1"/>
  <c r="F70" i="32"/>
  <c r="C36" i="39" s="1"/>
  <c r="F69" i="32"/>
  <c r="C35" i="39" s="1"/>
  <c r="F63" i="32"/>
  <c r="F62" i="32"/>
  <c r="F61" i="32"/>
  <c r="F60" i="32"/>
  <c r="F59" i="32"/>
  <c r="F33" i="32"/>
  <c r="F32" i="32"/>
  <c r="F31" i="32"/>
  <c r="F30" i="32"/>
  <c r="BW114" i="65" s="1"/>
  <c r="AJ80" i="61" l="1"/>
  <c r="AP80" i="61" s="1"/>
  <c r="AJ117" i="61"/>
  <c r="AP117" i="61" s="1"/>
  <c r="M128" i="58"/>
  <c r="H82" i="65"/>
  <c r="H85" i="65"/>
  <c r="H81" i="65"/>
  <c r="H83" i="65"/>
  <c r="H80" i="65" s="1"/>
  <c r="H88" i="65"/>
  <c r="AD68" i="62"/>
  <c r="BY80" i="33"/>
  <c r="BZ10" i="58"/>
  <c r="X84" i="62"/>
  <c r="BW126" i="64"/>
  <c r="BW121" i="64"/>
  <c r="AO121" i="64" s="1"/>
  <c r="AJ121" i="64" s="1"/>
  <c r="AP121" i="64" s="1"/>
  <c r="E18" i="59"/>
  <c r="E9" i="59" s="1"/>
  <c r="E128" i="59" s="1"/>
  <c r="BK7" i="58"/>
  <c r="V7" i="58" s="1"/>
  <c r="BK5" i="58" s="1"/>
  <c r="V128" i="58"/>
  <c r="BR9" i="58"/>
  <c r="AC66" i="58" s="1"/>
  <c r="T37" i="59"/>
  <c r="AJ37" i="59" s="1"/>
  <c r="AP37" i="59" s="1"/>
  <c r="K18" i="60"/>
  <c r="K9" i="60" s="1"/>
  <c r="AZ10" i="60" s="1"/>
  <c r="T43" i="61"/>
  <c r="AJ27" i="58"/>
  <c r="AP27" i="58" s="1"/>
  <c r="M18" i="60"/>
  <c r="M9" i="60" s="1"/>
  <c r="M69" i="60" s="1"/>
  <c r="M68" i="60" s="1"/>
  <c r="M66" i="60" s="1"/>
  <c r="T49" i="60"/>
  <c r="BZ49" i="60" s="1"/>
  <c r="X18" i="59"/>
  <c r="X9" i="59" s="1"/>
  <c r="BM7" i="59" s="1"/>
  <c r="X7" i="59" s="1"/>
  <c r="BM5" i="59" s="1"/>
  <c r="BZ27" i="59"/>
  <c r="J18" i="60"/>
  <c r="J9" i="60" s="1"/>
  <c r="J69" i="60" s="1"/>
  <c r="J68" i="60" s="1"/>
  <c r="J66" i="60" s="1"/>
  <c r="Y18" i="59"/>
  <c r="Y9" i="59" s="1"/>
  <c r="T51" i="60"/>
  <c r="BZ51" i="60" s="1"/>
  <c r="AD84" i="64"/>
  <c r="K69" i="60"/>
  <c r="K68" i="60" s="1"/>
  <c r="K66" i="60" s="1"/>
  <c r="AD80" i="64"/>
  <c r="AO126" i="64"/>
  <c r="AJ126" i="64" s="1"/>
  <c r="BY82" i="62"/>
  <c r="Y35" i="60"/>
  <c r="E35" i="60"/>
  <c r="BY35" i="60"/>
  <c r="X35" i="60"/>
  <c r="AP35" i="60"/>
  <c r="I35" i="60"/>
  <c r="G35" i="60" s="1"/>
  <c r="AB35" i="60"/>
  <c r="U35" i="60"/>
  <c r="W35" i="60"/>
  <c r="V35" i="60"/>
  <c r="C35" i="60"/>
  <c r="H19" i="32"/>
  <c r="BW81" i="64"/>
  <c r="AO81" i="64" s="1"/>
  <c r="K231" i="32"/>
  <c r="I49" i="44" s="1"/>
  <c r="BW88" i="64"/>
  <c r="AO88" i="64" s="1"/>
  <c r="H25" i="32"/>
  <c r="K85" i="32"/>
  <c r="H20" i="32"/>
  <c r="BW82" i="64"/>
  <c r="AB19" i="33"/>
  <c r="AI117" i="61"/>
  <c r="AJ89" i="61"/>
  <c r="BY122" i="61"/>
  <c r="AP122" i="61"/>
  <c r="N79" i="62"/>
  <c r="Q128" i="59"/>
  <c r="BF8" i="59"/>
  <c r="BY60" i="61"/>
  <c r="AC60" i="61"/>
  <c r="AP60" i="61"/>
  <c r="AC83" i="64"/>
  <c r="S83" i="64"/>
  <c r="X83" i="64"/>
  <c r="J85" i="64"/>
  <c r="BZ85" i="64" s="1"/>
  <c r="S85" i="64"/>
  <c r="BW123" i="64"/>
  <c r="AO123" i="64" s="1"/>
  <c r="AJ123" i="64" s="1"/>
  <c r="BW122" i="64"/>
  <c r="BW120" i="64"/>
  <c r="AD79" i="64"/>
  <c r="BZ88" i="62"/>
  <c r="AJ88" i="62"/>
  <c r="BZ79" i="62"/>
  <c r="E68" i="62"/>
  <c r="T29" i="60"/>
  <c r="BZ29" i="60" s="1"/>
  <c r="AB22" i="61"/>
  <c r="BY22" i="61"/>
  <c r="E22" i="61"/>
  <c r="U22" i="61"/>
  <c r="AP22" i="61"/>
  <c r="X23" i="61"/>
  <c r="W23" i="61"/>
  <c r="U23" i="61"/>
  <c r="Y23" i="61"/>
  <c r="V23" i="61"/>
  <c r="I23" i="61"/>
  <c r="G23" i="61" s="1"/>
  <c r="C23" i="61"/>
  <c r="BY23" i="61"/>
  <c r="AB23" i="61"/>
  <c r="AP23" i="61"/>
  <c r="E23" i="61"/>
  <c r="BY50" i="61"/>
  <c r="E50" i="61"/>
  <c r="I50" i="61"/>
  <c r="G50" i="61" s="1"/>
  <c r="V50" i="61"/>
  <c r="AP50" i="61"/>
  <c r="W50" i="61"/>
  <c r="U50" i="61"/>
  <c r="AB50" i="61"/>
  <c r="Y50" i="61"/>
  <c r="X50" i="61"/>
  <c r="C50" i="61"/>
  <c r="AO85" i="62"/>
  <c r="AP85" i="62" s="1"/>
  <c r="BW84" i="62"/>
  <c r="W88" i="64"/>
  <c r="Y88" i="64"/>
  <c r="J81" i="64"/>
  <c r="Q81" i="64"/>
  <c r="Q87" i="64"/>
  <c r="N87" i="64" s="1"/>
  <c r="J69" i="59"/>
  <c r="J68" i="59" s="1"/>
  <c r="J66" i="59" s="1"/>
  <c r="AY10" i="59"/>
  <c r="AC84" i="62"/>
  <c r="C19" i="59"/>
  <c r="Y128" i="59"/>
  <c r="BN7" i="59"/>
  <c r="Y7" i="59" s="1"/>
  <c r="BN5" i="59" s="1"/>
  <c r="AJ123" i="62"/>
  <c r="AP123" i="62" s="1"/>
  <c r="T43" i="60"/>
  <c r="BZ43" i="60" s="1"/>
  <c r="N34" i="60"/>
  <c r="Q27" i="60"/>
  <c r="Q18" i="60" s="1"/>
  <c r="Q9" i="60" s="1"/>
  <c r="T27" i="59"/>
  <c r="AJ27" i="59" s="1"/>
  <c r="AP27" i="59" s="1"/>
  <c r="U30" i="61"/>
  <c r="E30" i="61"/>
  <c r="AB30" i="61"/>
  <c r="BY30" i="61"/>
  <c r="AP30" i="61"/>
  <c r="I31" i="61"/>
  <c r="G31" i="61" s="1"/>
  <c r="V31" i="61"/>
  <c r="E31" i="61"/>
  <c r="AP31" i="61"/>
  <c r="Y31" i="61"/>
  <c r="W31" i="61"/>
  <c r="AB31" i="61"/>
  <c r="C31" i="61"/>
  <c r="X31" i="61"/>
  <c r="U31" i="61"/>
  <c r="BY31" i="61"/>
  <c r="W86" i="64"/>
  <c r="T86" i="64" s="1"/>
  <c r="W82" i="64"/>
  <c r="Q82" i="64"/>
  <c r="J84" i="62"/>
  <c r="G86" i="62"/>
  <c r="BZ43" i="61"/>
  <c r="AZ10" i="59"/>
  <c r="K69" i="59"/>
  <c r="K68" i="59" s="1"/>
  <c r="K66" i="59" s="1"/>
  <c r="S80" i="62"/>
  <c r="C46" i="59"/>
  <c r="G38" i="60"/>
  <c r="G79" i="62"/>
  <c r="C57" i="60"/>
  <c r="BY80" i="61"/>
  <c r="K28" i="32"/>
  <c r="BW79" i="64"/>
  <c r="H18" i="32"/>
  <c r="K113" i="32"/>
  <c r="BW83" i="64"/>
  <c r="AO83" i="64" s="1"/>
  <c r="H21" i="32"/>
  <c r="K169" i="32"/>
  <c r="H23" i="32"/>
  <c r="BW86" i="64"/>
  <c r="AO86" i="64" s="1"/>
  <c r="X19" i="33"/>
  <c r="I19" i="60"/>
  <c r="G20" i="60"/>
  <c r="G19" i="60" s="1"/>
  <c r="R128" i="60"/>
  <c r="BG8" i="60"/>
  <c r="AO89" i="61"/>
  <c r="L16" i="32"/>
  <c r="AI122" i="61"/>
  <c r="AO125" i="62"/>
  <c r="AJ125" i="62" s="1"/>
  <c r="AP125" i="62" s="1"/>
  <c r="Z64" i="61"/>
  <c r="Z57" i="61" s="1"/>
  <c r="C64" i="61"/>
  <c r="H64" i="61"/>
  <c r="W64" i="61"/>
  <c r="J64" i="61"/>
  <c r="Q64" i="61"/>
  <c r="S64" i="61"/>
  <c r="K64" i="61"/>
  <c r="K57" i="61" s="1"/>
  <c r="AP64" i="61"/>
  <c r="I64" i="61"/>
  <c r="F64" i="61"/>
  <c r="F57" i="61" s="1"/>
  <c r="V64" i="61"/>
  <c r="Y64" i="61"/>
  <c r="AB64" i="61"/>
  <c r="AA64" i="61"/>
  <c r="AA57" i="61" s="1"/>
  <c r="X64" i="61"/>
  <c r="BY64" i="61"/>
  <c r="U64" i="61"/>
  <c r="R64" i="61"/>
  <c r="M64" i="61"/>
  <c r="M57" i="61" s="1"/>
  <c r="E64" i="61"/>
  <c r="Q83" i="64"/>
  <c r="AC85" i="64"/>
  <c r="Y85" i="64"/>
  <c r="W85" i="64"/>
  <c r="X79" i="64"/>
  <c r="Q79" i="64"/>
  <c r="BW124" i="64"/>
  <c r="AI118" i="62"/>
  <c r="BY118" i="62"/>
  <c r="G48" i="60"/>
  <c r="T44" i="61"/>
  <c r="BZ44" i="61" s="1"/>
  <c r="Y68" i="62"/>
  <c r="BW117" i="62"/>
  <c r="AO120" i="62"/>
  <c r="AJ120" i="62" s="1"/>
  <c r="AP120" i="62" s="1"/>
  <c r="BY85" i="62"/>
  <c r="G29" i="60"/>
  <c r="AJ57" i="59"/>
  <c r="AP57" i="59" s="1"/>
  <c r="AO20" i="61"/>
  <c r="AJ20" i="61" s="1"/>
  <c r="BR19" i="61"/>
  <c r="X48" i="61"/>
  <c r="AB48" i="61"/>
  <c r="U48" i="61"/>
  <c r="BY48" i="61"/>
  <c r="K48" i="61"/>
  <c r="K46" i="61" s="1"/>
  <c r="AP48" i="61"/>
  <c r="Y48" i="61"/>
  <c r="M48" i="61"/>
  <c r="M46" i="61" s="1"/>
  <c r="J48" i="61"/>
  <c r="J46" i="61" s="1"/>
  <c r="E48" i="61"/>
  <c r="I48" i="61"/>
  <c r="AP51" i="61"/>
  <c r="AB51" i="61"/>
  <c r="Y51" i="61"/>
  <c r="C51" i="61"/>
  <c r="X51" i="61"/>
  <c r="V51" i="61"/>
  <c r="U51" i="61"/>
  <c r="BY51" i="61"/>
  <c r="W51" i="61"/>
  <c r="I51" i="61"/>
  <c r="G51" i="61" s="1"/>
  <c r="E51" i="61"/>
  <c r="E88" i="64"/>
  <c r="X88" i="64"/>
  <c r="S88" i="64"/>
  <c r="N88" i="64" s="1"/>
  <c r="Y81" i="64"/>
  <c r="AC87" i="64"/>
  <c r="Y87" i="64"/>
  <c r="W87" i="64"/>
  <c r="Q80" i="62"/>
  <c r="N80" i="62" s="1"/>
  <c r="N81" i="62"/>
  <c r="U19" i="59"/>
  <c r="T20" i="59"/>
  <c r="T19" i="59" s="1"/>
  <c r="W18" i="59"/>
  <c r="W9" i="59" s="1"/>
  <c r="AP126" i="62"/>
  <c r="AI126" i="62"/>
  <c r="BY126" i="62"/>
  <c r="BY124" i="61"/>
  <c r="BY117" i="61" s="1"/>
  <c r="BY89" i="61" s="1"/>
  <c r="AP124" i="61"/>
  <c r="T31" i="60"/>
  <c r="BZ31" i="60" s="1"/>
  <c r="S59" i="60"/>
  <c r="AC59" i="60"/>
  <c r="BY33" i="61"/>
  <c r="AP33" i="61"/>
  <c r="AC33" i="61"/>
  <c r="BR27" i="61"/>
  <c r="AO27" i="61" s="1"/>
  <c r="AO28" i="61"/>
  <c r="AJ28" i="61" s="1"/>
  <c r="AC86" i="64"/>
  <c r="E86" i="64"/>
  <c r="AC82" i="64"/>
  <c r="J82" i="64"/>
  <c r="G82" i="64" s="1"/>
  <c r="Y82" i="64"/>
  <c r="N86" i="62"/>
  <c r="N84" i="62" s="1"/>
  <c r="J3" i="44"/>
  <c r="BB10" i="59"/>
  <c r="M69" i="59"/>
  <c r="M68" i="59" s="1"/>
  <c r="M66" i="59" s="1"/>
  <c r="J80" i="62"/>
  <c r="G80" i="62" s="1"/>
  <c r="G81" i="62"/>
  <c r="X68" i="62"/>
  <c r="U57" i="60"/>
  <c r="T58" i="60"/>
  <c r="T57" i="60" s="1"/>
  <c r="I57" i="60"/>
  <c r="G58" i="60"/>
  <c r="G57" i="60" s="1"/>
  <c r="AB27" i="60"/>
  <c r="T30" i="60"/>
  <c r="AP89" i="60"/>
  <c r="AI89" i="60"/>
  <c r="K141" i="32"/>
  <c r="H22" i="32"/>
  <c r="BW85" i="64"/>
  <c r="BW118" i="64"/>
  <c r="Z42" i="61"/>
  <c r="AP42" i="61"/>
  <c r="F42" i="61"/>
  <c r="BY42" i="61"/>
  <c r="BY41" i="61" s="1"/>
  <c r="AA42" i="61"/>
  <c r="AA41" i="61" s="1"/>
  <c r="AA18" i="61" s="1"/>
  <c r="C19" i="60"/>
  <c r="T20" i="60"/>
  <c r="T19" i="60" s="1"/>
  <c r="U19" i="60"/>
  <c r="T79" i="62"/>
  <c r="AO121" i="62"/>
  <c r="AJ121" i="62" s="1"/>
  <c r="AP121" i="62" s="1"/>
  <c r="S68" i="62"/>
  <c r="BH67" i="62" s="1"/>
  <c r="AJ24" i="60"/>
  <c r="N19" i="60"/>
  <c r="Q62" i="61"/>
  <c r="AP62" i="61"/>
  <c r="BY62" i="61"/>
  <c r="S59" i="61"/>
  <c r="AC59" i="61"/>
  <c r="Y83" i="64"/>
  <c r="W83" i="64"/>
  <c r="X85" i="64"/>
  <c r="Q85" i="64"/>
  <c r="AC79" i="64"/>
  <c r="BW119" i="64"/>
  <c r="AO119" i="64" s="1"/>
  <c r="AJ119" i="64" s="1"/>
  <c r="E79" i="64"/>
  <c r="BW125" i="64"/>
  <c r="T87" i="62"/>
  <c r="T84" i="62" s="1"/>
  <c r="W80" i="62"/>
  <c r="T80" i="62" s="1"/>
  <c r="T81" i="62"/>
  <c r="H69" i="60"/>
  <c r="AW10" i="60"/>
  <c r="S128" i="59"/>
  <c r="BH8" i="59"/>
  <c r="H68" i="59"/>
  <c r="U21" i="61"/>
  <c r="M21" i="61"/>
  <c r="M19" i="61" s="1"/>
  <c r="BY21" i="61"/>
  <c r="I21" i="61"/>
  <c r="AP21" i="61"/>
  <c r="J21" i="61"/>
  <c r="J19" i="61" s="1"/>
  <c r="K21" i="61"/>
  <c r="K19" i="61" s="1"/>
  <c r="AB21" i="61"/>
  <c r="E21" i="61"/>
  <c r="W21" i="61"/>
  <c r="V21" i="61"/>
  <c r="X21" i="61"/>
  <c r="Y21" i="61"/>
  <c r="U49" i="61"/>
  <c r="BY49" i="61"/>
  <c r="AP49" i="61"/>
  <c r="E49" i="61"/>
  <c r="AB49" i="61"/>
  <c r="T49" i="61" s="1"/>
  <c r="BR47" i="61"/>
  <c r="BS46" i="61"/>
  <c r="BS18" i="61" s="1"/>
  <c r="AD129" i="61" s="1"/>
  <c r="AC88" i="64"/>
  <c r="W81" i="64"/>
  <c r="E81" i="64"/>
  <c r="X87" i="64"/>
  <c r="E87" i="64"/>
  <c r="T50" i="60"/>
  <c r="BZ50" i="60" s="1"/>
  <c r="BQ7" i="59"/>
  <c r="AB7" i="59" s="1"/>
  <c r="BQ5" i="59" s="1"/>
  <c r="AB128" i="59"/>
  <c r="AT7" i="59"/>
  <c r="E7" i="59" s="1"/>
  <c r="AT5" i="59" s="1"/>
  <c r="E39" i="60"/>
  <c r="E37" i="60" s="1"/>
  <c r="U39" i="60"/>
  <c r="U37" i="60" s="1"/>
  <c r="C39" i="60"/>
  <c r="Y39" i="60"/>
  <c r="Y37" i="60" s="1"/>
  <c r="V39" i="60"/>
  <c r="V37" i="60" s="1"/>
  <c r="X39" i="60"/>
  <c r="X37" i="60" s="1"/>
  <c r="BY39" i="60"/>
  <c r="BY37" i="60" s="1"/>
  <c r="I39" i="60"/>
  <c r="G39" i="60" s="1"/>
  <c r="W39" i="60"/>
  <c r="W37" i="60" s="1"/>
  <c r="AP39" i="60"/>
  <c r="AJ124" i="62"/>
  <c r="F128" i="59"/>
  <c r="AU7" i="59"/>
  <c r="F7" i="59" s="1"/>
  <c r="AU5" i="59" s="1"/>
  <c r="AC32" i="61"/>
  <c r="S32" i="61"/>
  <c r="I35" i="61"/>
  <c r="G35" i="61" s="1"/>
  <c r="AB35" i="61"/>
  <c r="U35" i="61"/>
  <c r="AP35" i="61"/>
  <c r="W35" i="61"/>
  <c r="Y35" i="61"/>
  <c r="V35" i="61"/>
  <c r="C35" i="61"/>
  <c r="E35" i="61"/>
  <c r="X35" i="61"/>
  <c r="BY35" i="61"/>
  <c r="S86" i="64"/>
  <c r="N86" i="64" s="1"/>
  <c r="J86" i="64"/>
  <c r="G86" i="64" s="1"/>
  <c r="S82" i="64"/>
  <c r="X82" i="64"/>
  <c r="BZ87" i="62"/>
  <c r="AJ87" i="62"/>
  <c r="BS9" i="60"/>
  <c r="AD66" i="60" s="1"/>
  <c r="AC80" i="62"/>
  <c r="AP85" i="61"/>
  <c r="BY85" i="61"/>
  <c r="BY84" i="61" s="1"/>
  <c r="AJ84" i="61"/>
  <c r="AO18" i="59"/>
  <c r="BR10" i="59"/>
  <c r="T38" i="60"/>
  <c r="AP119" i="62"/>
  <c r="BY119" i="62"/>
  <c r="AI119" i="62"/>
  <c r="T44" i="60"/>
  <c r="BZ44" i="60" s="1"/>
  <c r="BZ30" i="60"/>
  <c r="AC27" i="60"/>
  <c r="AC18" i="60" s="1"/>
  <c r="BY38" i="61"/>
  <c r="AP38" i="61"/>
  <c r="J38" i="61"/>
  <c r="J37" i="61" s="1"/>
  <c r="M38" i="61"/>
  <c r="M37" i="61" s="1"/>
  <c r="U38" i="61"/>
  <c r="I38" i="61"/>
  <c r="Y38" i="61"/>
  <c r="W38" i="61"/>
  <c r="K38" i="61"/>
  <c r="K37" i="61" s="1"/>
  <c r="AB38" i="61"/>
  <c r="AB37" i="61" s="1"/>
  <c r="E38" i="61"/>
  <c r="BZ81" i="62"/>
  <c r="H24" i="32"/>
  <c r="BW87" i="64"/>
  <c r="AO87" i="64" s="1"/>
  <c r="AC129" i="59"/>
  <c r="AC68" i="59"/>
  <c r="BR66" i="59" s="1"/>
  <c r="BZ69" i="59"/>
  <c r="BZ68" i="59" s="1"/>
  <c r="Z42" i="60"/>
  <c r="F42" i="60"/>
  <c r="AA42" i="60"/>
  <c r="AA41" i="60" s="1"/>
  <c r="AA18" i="60" s="1"/>
  <c r="AA9" i="60" s="1"/>
  <c r="AP42" i="60"/>
  <c r="BY42" i="60"/>
  <c r="BY41" i="60" s="1"/>
  <c r="W28" i="60"/>
  <c r="Y28" i="60"/>
  <c r="AP28" i="60"/>
  <c r="V28" i="60"/>
  <c r="C28" i="60"/>
  <c r="BY28" i="60"/>
  <c r="E28" i="60"/>
  <c r="U28" i="60"/>
  <c r="X28" i="60"/>
  <c r="I28" i="60"/>
  <c r="AP61" i="61"/>
  <c r="R61" i="61"/>
  <c r="BY61" i="61"/>
  <c r="BR58" i="61"/>
  <c r="BR57" i="61" s="1"/>
  <c r="AO57" i="61" s="1"/>
  <c r="E83" i="64"/>
  <c r="BZ83" i="64" s="1"/>
  <c r="J79" i="64"/>
  <c r="BW127" i="64"/>
  <c r="Y79" i="64"/>
  <c r="S79" i="64"/>
  <c r="W79" i="64"/>
  <c r="T48" i="60"/>
  <c r="BZ48" i="60" s="1"/>
  <c r="N19" i="59"/>
  <c r="N18" i="59" s="1"/>
  <c r="N9" i="59" s="1"/>
  <c r="AJ24" i="59"/>
  <c r="AJ127" i="62"/>
  <c r="AP127" i="62" s="1"/>
  <c r="BZ83" i="62"/>
  <c r="AJ83" i="62"/>
  <c r="T41" i="59"/>
  <c r="AJ41" i="59" s="1"/>
  <c r="AP41" i="59" s="1"/>
  <c r="Z18" i="59"/>
  <c r="Z9" i="59" s="1"/>
  <c r="BY25" i="61"/>
  <c r="AP25" i="61"/>
  <c r="AC25" i="61"/>
  <c r="AC24" i="61"/>
  <c r="S24" i="61"/>
  <c r="AP52" i="61"/>
  <c r="AF52" i="61"/>
  <c r="AF46" i="61" s="1"/>
  <c r="AF18" i="61" s="1"/>
  <c r="AF9" i="61" s="1"/>
  <c r="BU5" i="61" s="1"/>
  <c r="BY52" i="61"/>
  <c r="J88" i="64"/>
  <c r="G88" i="64" s="1"/>
  <c r="AC81" i="64"/>
  <c r="X81" i="64"/>
  <c r="J87" i="64"/>
  <c r="G87" i="64" s="1"/>
  <c r="I19" i="59"/>
  <c r="G20" i="59"/>
  <c r="G19" i="59" s="1"/>
  <c r="V128" i="59"/>
  <c r="BK7" i="59"/>
  <c r="V7" i="59" s="1"/>
  <c r="BK5" i="59" s="1"/>
  <c r="BR37" i="60"/>
  <c r="AO37" i="60" s="1"/>
  <c r="BW80" i="62"/>
  <c r="AO80" i="62" s="1"/>
  <c r="AO82" i="62"/>
  <c r="AP82" i="62" s="1"/>
  <c r="BY34" i="61"/>
  <c r="AP34" i="61"/>
  <c r="Q34" i="61"/>
  <c r="V29" i="61"/>
  <c r="W29" i="61"/>
  <c r="J29" i="61"/>
  <c r="J27" i="61" s="1"/>
  <c r="I29" i="61"/>
  <c r="AB29" i="61"/>
  <c r="X29" i="61"/>
  <c r="U29" i="61"/>
  <c r="K29" i="61"/>
  <c r="K27" i="61" s="1"/>
  <c r="BY29" i="61"/>
  <c r="E29" i="61"/>
  <c r="M29" i="61"/>
  <c r="M27" i="61" s="1"/>
  <c r="AP29" i="61"/>
  <c r="BR46" i="60"/>
  <c r="AO46" i="60" s="1"/>
  <c r="AO47" i="60"/>
  <c r="AJ47" i="60" s="1"/>
  <c r="U46" i="59"/>
  <c r="T47" i="59"/>
  <c r="T46" i="59" s="1"/>
  <c r="G47" i="59"/>
  <c r="G46" i="59" s="1"/>
  <c r="I46" i="59"/>
  <c r="BY32" i="59"/>
  <c r="BY27" i="59" s="1"/>
  <c r="AP32" i="59"/>
  <c r="AO122" i="62"/>
  <c r="AJ122" i="62" s="1"/>
  <c r="W84" i="62"/>
  <c r="N32" i="60"/>
  <c r="S27" i="60"/>
  <c r="S18" i="60" s="1"/>
  <c r="BR39" i="61"/>
  <c r="AO39" i="61" s="1"/>
  <c r="AJ39" i="61" s="1"/>
  <c r="AD128" i="62"/>
  <c r="BS66" i="62"/>
  <c r="BZ86" i="62"/>
  <c r="W19" i="33"/>
  <c r="AJ80" i="33"/>
  <c r="AP80" i="33" s="1"/>
  <c r="Y19" i="33"/>
  <c r="V19" i="33"/>
  <c r="AO114" i="65"/>
  <c r="AJ114" i="65" s="1"/>
  <c r="AP114" i="65" s="1"/>
  <c r="C164" i="43"/>
  <c r="V38" i="65"/>
  <c r="AJ106" i="65"/>
  <c r="C233" i="43"/>
  <c r="W48" i="65"/>
  <c r="BW113" i="65"/>
  <c r="AO102" i="65"/>
  <c r="AJ102" i="65" s="1"/>
  <c r="AP102" i="65" s="1"/>
  <c r="BW109" i="65"/>
  <c r="BW53" i="65"/>
  <c r="AC53" i="65"/>
  <c r="BW115" i="65"/>
  <c r="AO103" i="65"/>
  <c r="AJ103" i="65" s="1"/>
  <c r="AP103" i="65" s="1"/>
  <c r="BW111" i="65"/>
  <c r="BW54" i="65"/>
  <c r="AO54" i="65" s="1"/>
  <c r="BR63" i="65"/>
  <c r="AO63" i="65" s="1"/>
  <c r="BY63" i="65" s="1"/>
  <c r="C127" i="43"/>
  <c r="Y29" i="65"/>
  <c r="D22" i="41"/>
  <c r="AJ26" i="65"/>
  <c r="BW116" i="65"/>
  <c r="AB6" i="65"/>
  <c r="AA6" i="65"/>
  <c r="AT6" i="65"/>
  <c r="AO6" i="65" s="1"/>
  <c r="Z6" i="65"/>
  <c r="U6" i="65"/>
  <c r="C166" i="43"/>
  <c r="X38" i="65"/>
  <c r="C179" i="43"/>
  <c r="AB39" i="65"/>
  <c r="C232" i="43"/>
  <c r="V48" i="65"/>
  <c r="T20" i="33"/>
  <c r="U19" i="33"/>
  <c r="T18" i="58"/>
  <c r="T9" i="58" s="1"/>
  <c r="T23" i="33"/>
  <c r="AO19" i="33"/>
  <c r="G20" i="33"/>
  <c r="G18" i="58"/>
  <c r="G9" i="58" s="1"/>
  <c r="AJ9" i="58" s="1"/>
  <c r="BZ47" i="58"/>
  <c r="BZ46" i="58" s="1"/>
  <c r="BZ18" i="58" s="1"/>
  <c r="I69" i="58"/>
  <c r="AX10" i="58"/>
  <c r="AV10" i="58" s="1"/>
  <c r="AO10" i="58" s="1"/>
  <c r="U128" i="58"/>
  <c r="BJ7" i="58"/>
  <c r="AJ41" i="58"/>
  <c r="AJ46" i="58"/>
  <c r="AP46" i="58" s="1"/>
  <c r="AZ66" i="58"/>
  <c r="AZ9" i="58"/>
  <c r="C128" i="58"/>
  <c r="AR7" i="58"/>
  <c r="F128" i="58"/>
  <c r="AU7" i="58"/>
  <c r="F7" i="58" s="1"/>
  <c r="AU5" i="58" s="1"/>
  <c r="BC8" i="58"/>
  <c r="AO8" i="58" s="1"/>
  <c r="Z128" i="58"/>
  <c r="BO7" i="58"/>
  <c r="Z7" i="58" s="1"/>
  <c r="BO5" i="58" s="1"/>
  <c r="H66" i="58"/>
  <c r="H128" i="58"/>
  <c r="AP19" i="58"/>
  <c r="J268" i="32"/>
  <c r="BS19" i="62" s="1"/>
  <c r="C51" i="47"/>
  <c r="H266" i="32"/>
  <c r="H273" i="32" s="1"/>
  <c r="I144" i="32"/>
  <c r="D83" i="39" s="1"/>
  <c r="D33" i="44"/>
  <c r="I205" i="32"/>
  <c r="G33" i="44" s="1"/>
  <c r="D53" i="44"/>
  <c r="I235" i="32"/>
  <c r="G53" i="44" s="1"/>
  <c r="J273" i="32"/>
  <c r="E12" i="43"/>
  <c r="F29" i="32"/>
  <c r="I30" i="32"/>
  <c r="D9" i="39" s="1"/>
  <c r="I63" i="32"/>
  <c r="D32" i="39" s="1"/>
  <c r="I119" i="32"/>
  <c r="D68" i="39" s="1"/>
  <c r="F644" i="32"/>
  <c r="F690" i="32"/>
  <c r="D69" i="40" s="1"/>
  <c r="I146" i="32"/>
  <c r="D85" i="39" s="1"/>
  <c r="D10" i="44"/>
  <c r="I172" i="32"/>
  <c r="G10" i="44" s="1"/>
  <c r="D29" i="44"/>
  <c r="I201" i="32"/>
  <c r="G29" i="44" s="1"/>
  <c r="D35" i="44"/>
  <c r="I207" i="32"/>
  <c r="G35" i="44" s="1"/>
  <c r="F232" i="32"/>
  <c r="D51" i="44"/>
  <c r="I233" i="32"/>
  <c r="G51" i="44" s="1"/>
  <c r="F240" i="32"/>
  <c r="D56" i="44"/>
  <c r="I238" i="32"/>
  <c r="G56" i="44" s="1"/>
  <c r="F31" i="44"/>
  <c r="K203" i="32"/>
  <c r="I31" i="44" s="1"/>
  <c r="I33" i="32"/>
  <c r="D12" i="39" s="1"/>
  <c r="I62" i="32"/>
  <c r="D31" i="39" s="1"/>
  <c r="I88" i="32"/>
  <c r="D47" i="39" s="1"/>
  <c r="I118" i="32"/>
  <c r="D67" i="39" s="1"/>
  <c r="D17" i="44"/>
  <c r="I179" i="32"/>
  <c r="G17" i="44" s="1"/>
  <c r="D37" i="44"/>
  <c r="I209" i="32"/>
  <c r="G37" i="44" s="1"/>
  <c r="J269" i="32"/>
  <c r="BS41" i="62" s="1"/>
  <c r="E8" i="43"/>
  <c r="I59" i="32"/>
  <c r="D28" i="39" s="1"/>
  <c r="I89" i="32"/>
  <c r="D48" i="39" s="1"/>
  <c r="I115" i="32"/>
  <c r="D64" i="39" s="1"/>
  <c r="I145" i="32"/>
  <c r="D84" i="39" s="1"/>
  <c r="D9" i="44"/>
  <c r="I171" i="32"/>
  <c r="G9" i="44" s="1"/>
  <c r="D34" i="44"/>
  <c r="I206" i="32"/>
  <c r="G34" i="44" s="1"/>
  <c r="D55" i="44"/>
  <c r="I237" i="32"/>
  <c r="G55" i="44" s="1"/>
  <c r="F698" i="32"/>
  <c r="D77" i="40" s="1"/>
  <c r="I31" i="32"/>
  <c r="D10" i="39" s="1"/>
  <c r="I60" i="32"/>
  <c r="D29" i="39" s="1"/>
  <c r="I90" i="32"/>
  <c r="D49" i="39" s="1"/>
  <c r="I116" i="32"/>
  <c r="D65" i="39" s="1"/>
  <c r="I32" i="32"/>
  <c r="D11" i="39" s="1"/>
  <c r="I61" i="32"/>
  <c r="D30" i="39" s="1"/>
  <c r="I87" i="32"/>
  <c r="D46" i="39" s="1"/>
  <c r="I91" i="32"/>
  <c r="D50" i="39" s="1"/>
  <c r="I117" i="32"/>
  <c r="D66" i="39" s="1"/>
  <c r="I143" i="32"/>
  <c r="D82" i="39" s="1"/>
  <c r="I147" i="32"/>
  <c r="D86" i="39" s="1"/>
  <c r="D11" i="44"/>
  <c r="I173" i="32"/>
  <c r="G11" i="44" s="1"/>
  <c r="D30" i="44"/>
  <c r="I202" i="32"/>
  <c r="G30" i="44" s="1"/>
  <c r="D36" i="44"/>
  <c r="I208" i="32"/>
  <c r="G36" i="44" s="1"/>
  <c r="D52" i="44"/>
  <c r="I234" i="32"/>
  <c r="G52" i="44" s="1"/>
  <c r="D20" i="41"/>
  <c r="D57" i="44"/>
  <c r="I239" i="32"/>
  <c r="D14" i="45"/>
  <c r="I281" i="32"/>
  <c r="G14" i="45" s="1"/>
  <c r="F49" i="44"/>
  <c r="J270" i="32"/>
  <c r="BS27" i="62" s="1"/>
  <c r="E9" i="43"/>
  <c r="J272" i="32"/>
  <c r="BS57" i="62" s="1"/>
  <c r="E11" i="43"/>
  <c r="K57" i="32"/>
  <c r="J271" i="32"/>
  <c r="BS37" i="62" s="1"/>
  <c r="E10" i="43"/>
  <c r="H262" i="32"/>
  <c r="F114" i="32"/>
  <c r="F170" i="32"/>
  <c r="F676" i="32"/>
  <c r="D55" i="40" s="1"/>
  <c r="F665" i="32"/>
  <c r="D44" i="40" s="1"/>
  <c r="H265" i="32"/>
  <c r="F58" i="32"/>
  <c r="F654" i="32"/>
  <c r="D33" i="40" s="1"/>
  <c r="F142" i="32"/>
  <c r="F682" i="32"/>
  <c r="D61" i="40" s="1"/>
  <c r="F638" i="32"/>
  <c r="F670" i="32"/>
  <c r="D49" i="40" s="1"/>
  <c r="F688" i="32"/>
  <c r="D67" i="40" s="1"/>
  <c r="H261" i="32"/>
  <c r="H263" i="32"/>
  <c r="H264" i="32"/>
  <c r="F86" i="32"/>
  <c r="F204" i="32"/>
  <c r="F636" i="32"/>
  <c r="F642" i="32"/>
  <c r="F646" i="32"/>
  <c r="F652" i="32"/>
  <c r="D31" i="40" s="1"/>
  <c r="F657" i="32"/>
  <c r="D36" i="40" s="1"/>
  <c r="F662" i="32"/>
  <c r="D41" i="40" s="1"/>
  <c r="F668" i="32"/>
  <c r="D47" i="40" s="1"/>
  <c r="F673" i="32"/>
  <c r="D52" i="40" s="1"/>
  <c r="F680" i="32"/>
  <c r="D59" i="40" s="1"/>
  <c r="F686" i="32"/>
  <c r="D65" i="40" s="1"/>
  <c r="F692" i="32"/>
  <c r="D71" i="40" s="1"/>
  <c r="F696" i="32"/>
  <c r="D75" i="40" s="1"/>
  <c r="F635" i="32"/>
  <c r="D22" i="40" s="1"/>
  <c r="F651" i="32"/>
  <c r="D30" i="40" s="1"/>
  <c r="F661" i="32"/>
  <c r="D40" i="40" s="1"/>
  <c r="F671" i="32"/>
  <c r="D50" i="40" s="1"/>
  <c r="F684" i="32"/>
  <c r="D63" i="40" s="1"/>
  <c r="F695" i="32"/>
  <c r="D74" i="40" s="1"/>
  <c r="F637" i="32"/>
  <c r="D24" i="40" s="1"/>
  <c r="F643" i="32"/>
  <c r="F648" i="32"/>
  <c r="F653" i="32"/>
  <c r="D32" i="40" s="1"/>
  <c r="F659" i="32"/>
  <c r="D38" i="40" s="1"/>
  <c r="F663" i="32"/>
  <c r="D42" i="40" s="1"/>
  <c r="F669" i="32"/>
  <c r="D48" i="40" s="1"/>
  <c r="F675" i="32"/>
  <c r="D54" i="40" s="1"/>
  <c r="F681" i="32"/>
  <c r="D60" i="40" s="1"/>
  <c r="F687" i="32"/>
  <c r="D66" i="40" s="1"/>
  <c r="F693" i="32"/>
  <c r="D72" i="40" s="1"/>
  <c r="F697" i="32"/>
  <c r="D76" i="40" s="1"/>
  <c r="F640" i="32"/>
  <c r="D27" i="40" s="1"/>
  <c r="F645" i="32"/>
  <c r="F655" i="32"/>
  <c r="D34" i="40" s="1"/>
  <c r="F667" i="32"/>
  <c r="D46" i="40" s="1"/>
  <c r="F678" i="32"/>
  <c r="D57" i="40" s="1"/>
  <c r="F634" i="32"/>
  <c r="F650" i="32"/>
  <c r="D29" i="40" s="1"/>
  <c r="F660" i="32"/>
  <c r="D39" i="40" s="1"/>
  <c r="F694" i="32"/>
  <c r="D73" i="40" s="1"/>
  <c r="D343" i="32"/>
  <c r="B56" i="43" s="1"/>
  <c r="D342" i="32"/>
  <c r="B55" i="43" s="1"/>
  <c r="D341" i="32"/>
  <c r="B54" i="43" s="1"/>
  <c r="D340" i="32"/>
  <c r="B53" i="43" s="1"/>
  <c r="D339" i="32"/>
  <c r="B52" i="43" s="1"/>
  <c r="D338" i="32"/>
  <c r="B51" i="43" s="1"/>
  <c r="B343" i="32"/>
  <c r="B342" i="32"/>
  <c r="B341" i="32"/>
  <c r="B340" i="32"/>
  <c r="B339" i="32"/>
  <c r="B338" i="32"/>
  <c r="D630" i="32"/>
  <c r="B260" i="43" s="1"/>
  <c r="D629" i="32"/>
  <c r="B259" i="43" s="1"/>
  <c r="D628" i="32"/>
  <c r="B258" i="43" s="1"/>
  <c r="D627" i="32"/>
  <c r="B257" i="43" s="1"/>
  <c r="D626" i="32"/>
  <c r="B256" i="43" s="1"/>
  <c r="D625" i="32"/>
  <c r="B255" i="43" s="1"/>
  <c r="D624" i="32"/>
  <c r="B254" i="43" s="1"/>
  <c r="D623" i="32"/>
  <c r="B253" i="43" s="1"/>
  <c r="D622" i="32"/>
  <c r="B252" i="43" s="1"/>
  <c r="D620" i="32"/>
  <c r="B250" i="43" s="1"/>
  <c r="D619" i="32"/>
  <c r="B249" i="43" s="1"/>
  <c r="D618" i="32"/>
  <c r="B248" i="43" s="1"/>
  <c r="D617" i="32"/>
  <c r="B247" i="43" s="1"/>
  <c r="D616" i="32"/>
  <c r="B246" i="43" s="1"/>
  <c r="D615" i="32"/>
  <c r="B245" i="43" s="1"/>
  <c r="D614" i="32"/>
  <c r="B244" i="43" s="1"/>
  <c r="D613" i="32"/>
  <c r="B243" i="43" s="1"/>
  <c r="D612" i="32"/>
  <c r="B242" i="43" s="1"/>
  <c r="D610" i="32"/>
  <c r="B240" i="43" s="1"/>
  <c r="D609" i="32"/>
  <c r="B239" i="43" s="1"/>
  <c r="D608" i="32"/>
  <c r="B238" i="43" s="1"/>
  <c r="D606" i="32"/>
  <c r="B236" i="43" s="1"/>
  <c r="D605" i="32"/>
  <c r="B235" i="43" s="1"/>
  <c r="D604" i="32"/>
  <c r="B234" i="43" s="1"/>
  <c r="D603" i="32"/>
  <c r="D602" i="32"/>
  <c r="D601" i="32"/>
  <c r="B231" i="43" s="1"/>
  <c r="D600" i="32"/>
  <c r="B230" i="43" s="1"/>
  <c r="D599" i="32"/>
  <c r="B229" i="43" s="1"/>
  <c r="D598" i="32"/>
  <c r="B228" i="43" s="1"/>
  <c r="D597" i="32"/>
  <c r="B227" i="43" s="1"/>
  <c r="D596" i="32"/>
  <c r="B226" i="43" s="1"/>
  <c r="D594" i="32"/>
  <c r="B224" i="43" s="1"/>
  <c r="D593" i="32"/>
  <c r="B223" i="43" s="1"/>
  <c r="D592" i="32"/>
  <c r="B222" i="43" s="1"/>
  <c r="D591" i="32"/>
  <c r="B221" i="43" s="1"/>
  <c r="D590" i="32"/>
  <c r="B220" i="43" s="1"/>
  <c r="D589" i="32"/>
  <c r="B219" i="43" s="1"/>
  <c r="D588" i="32"/>
  <c r="B218" i="43" s="1"/>
  <c r="D587" i="32"/>
  <c r="B217" i="43" s="1"/>
  <c r="D586" i="32"/>
  <c r="B216" i="43" s="1"/>
  <c r="D584" i="32"/>
  <c r="B214" i="43" s="1"/>
  <c r="D583" i="32"/>
  <c r="B213" i="43" s="1"/>
  <c r="D582" i="32"/>
  <c r="B212" i="43" s="1"/>
  <c r="D581" i="32"/>
  <c r="B211" i="43" s="1"/>
  <c r="D580" i="32"/>
  <c r="B210" i="43" s="1"/>
  <c r="D579" i="32"/>
  <c r="B209" i="43" s="1"/>
  <c r="D578" i="32"/>
  <c r="B208" i="43" s="1"/>
  <c r="D577" i="32"/>
  <c r="B207" i="43" s="1"/>
  <c r="D576" i="32"/>
  <c r="B206" i="43" s="1"/>
  <c r="D575" i="32"/>
  <c r="B205" i="43" s="1"/>
  <c r="D574" i="32"/>
  <c r="B204" i="43" s="1"/>
  <c r="D573" i="32"/>
  <c r="B203" i="43" s="1"/>
  <c r="D572" i="32"/>
  <c r="B202" i="43" s="1"/>
  <c r="D571" i="32"/>
  <c r="B201" i="43" s="1"/>
  <c r="D570" i="32"/>
  <c r="B200" i="43" s="1"/>
  <c r="D569" i="32"/>
  <c r="B199" i="43" s="1"/>
  <c r="D568" i="32"/>
  <c r="B198" i="43" s="1"/>
  <c r="D567" i="32"/>
  <c r="B197" i="43" s="1"/>
  <c r="D566" i="32"/>
  <c r="B196" i="43" s="1"/>
  <c r="D560" i="32"/>
  <c r="B190" i="43" s="1"/>
  <c r="D559" i="32"/>
  <c r="B189" i="43" s="1"/>
  <c r="D558" i="32"/>
  <c r="B188" i="43" s="1"/>
  <c r="D556" i="32"/>
  <c r="B186" i="43" s="1"/>
  <c r="D555" i="32"/>
  <c r="B185" i="43" s="1"/>
  <c r="D554" i="32"/>
  <c r="B184" i="43" s="1"/>
  <c r="D553" i="32"/>
  <c r="B183" i="43" s="1"/>
  <c r="D552" i="32"/>
  <c r="B182" i="43" s="1"/>
  <c r="D551" i="32"/>
  <c r="B181" i="43" s="1"/>
  <c r="D549" i="32"/>
  <c r="D548" i="32"/>
  <c r="B178" i="43" s="1"/>
  <c r="D547" i="32"/>
  <c r="B177" i="43" s="1"/>
  <c r="D546" i="32"/>
  <c r="B176" i="43" s="1"/>
  <c r="D545" i="32"/>
  <c r="B175" i="43" s="1"/>
  <c r="D544" i="32"/>
  <c r="B174" i="43" s="1"/>
  <c r="D543" i="32"/>
  <c r="B173" i="43" s="1"/>
  <c r="D542" i="32"/>
  <c r="B172" i="43" s="1"/>
  <c r="D541" i="32"/>
  <c r="B171" i="43" s="1"/>
  <c r="D540" i="32"/>
  <c r="B170" i="43" s="1"/>
  <c r="D538" i="32"/>
  <c r="B168" i="43" s="1"/>
  <c r="D537" i="32"/>
  <c r="B167" i="43" s="1"/>
  <c r="D536" i="32"/>
  <c r="D535" i="32"/>
  <c r="B165" i="43" s="1"/>
  <c r="D534" i="32"/>
  <c r="D533" i="32"/>
  <c r="B163" i="43" s="1"/>
  <c r="D532" i="32"/>
  <c r="B162" i="43" s="1"/>
  <c r="D531" i="32"/>
  <c r="B161" i="43" s="1"/>
  <c r="D530" i="32"/>
  <c r="B160" i="43" s="1"/>
  <c r="D529" i="32"/>
  <c r="B159" i="43" s="1"/>
  <c r="D528" i="32"/>
  <c r="B158" i="43" s="1"/>
  <c r="D526" i="32"/>
  <c r="B156" i="43" s="1"/>
  <c r="D525" i="32"/>
  <c r="B155" i="43" s="1"/>
  <c r="D524" i="32"/>
  <c r="B154" i="43" s="1"/>
  <c r="D523" i="32"/>
  <c r="B153" i="43" s="1"/>
  <c r="D522" i="32"/>
  <c r="B152" i="43" s="1"/>
  <c r="D521" i="32"/>
  <c r="B151" i="43" s="1"/>
  <c r="D520" i="32"/>
  <c r="B150" i="43" s="1"/>
  <c r="D519" i="32"/>
  <c r="B149" i="43" s="1"/>
  <c r="D518" i="32"/>
  <c r="B148" i="43" s="1"/>
  <c r="D512" i="32"/>
  <c r="B142" i="43" s="1"/>
  <c r="D511" i="32"/>
  <c r="B141" i="43" s="1"/>
  <c r="D510" i="32"/>
  <c r="B140" i="43" s="1"/>
  <c r="D509" i="32"/>
  <c r="B139" i="43" s="1"/>
  <c r="D508" i="32"/>
  <c r="B138" i="43" s="1"/>
  <c r="D507" i="32"/>
  <c r="B137" i="43" s="1"/>
  <c r="D506" i="32"/>
  <c r="B136" i="43" s="1"/>
  <c r="D505" i="32"/>
  <c r="B135" i="43" s="1"/>
  <c r="D504" i="32"/>
  <c r="B134" i="43" s="1"/>
  <c r="D502" i="32"/>
  <c r="B132" i="43" s="1"/>
  <c r="D501" i="32"/>
  <c r="B131" i="43" s="1"/>
  <c r="D500" i="32"/>
  <c r="B130" i="43" s="1"/>
  <c r="D498" i="32"/>
  <c r="B128" i="43" s="1"/>
  <c r="D497" i="32"/>
  <c r="D496" i="32"/>
  <c r="B126" i="43" s="1"/>
  <c r="D495" i="32"/>
  <c r="B125" i="43" s="1"/>
  <c r="D494" i="32"/>
  <c r="B124" i="43" s="1"/>
  <c r="D493" i="32"/>
  <c r="B123" i="43" s="1"/>
  <c r="D492" i="32"/>
  <c r="B122" i="43" s="1"/>
  <c r="D491" i="32"/>
  <c r="B121" i="43" s="1"/>
  <c r="D490" i="32"/>
  <c r="B120" i="43" s="1"/>
  <c r="D489" i="32"/>
  <c r="B119" i="43" s="1"/>
  <c r="D488" i="32"/>
  <c r="B118" i="43" s="1"/>
  <c r="D486" i="32"/>
  <c r="B116" i="43" s="1"/>
  <c r="D485" i="32"/>
  <c r="B115" i="43" s="1"/>
  <c r="D484" i="32"/>
  <c r="B114" i="43" s="1"/>
  <c r="D483" i="32"/>
  <c r="B113" i="43" s="1"/>
  <c r="D482" i="32"/>
  <c r="B112" i="43" s="1"/>
  <c r="D481" i="32"/>
  <c r="B111" i="43" s="1"/>
  <c r="D480" i="32"/>
  <c r="B110" i="43" s="1"/>
  <c r="D479" i="32"/>
  <c r="B109" i="43" s="1"/>
  <c r="D477" i="32"/>
  <c r="B107" i="43" s="1"/>
  <c r="D476" i="32"/>
  <c r="B106" i="43" s="1"/>
  <c r="D475" i="32"/>
  <c r="B105" i="43" s="1"/>
  <c r="D473" i="32"/>
  <c r="B103" i="43" s="1"/>
  <c r="D472" i="32"/>
  <c r="B102" i="43" s="1"/>
  <c r="D471" i="32"/>
  <c r="B101" i="43" s="1"/>
  <c r="D469" i="32"/>
  <c r="B99" i="43" s="1"/>
  <c r="D468" i="32"/>
  <c r="B98" i="43" s="1"/>
  <c r="D467" i="32"/>
  <c r="B97" i="43" s="1"/>
  <c r="D463" i="32"/>
  <c r="B93" i="43" s="1"/>
  <c r="D462" i="32"/>
  <c r="B92" i="43" s="1"/>
  <c r="D461" i="32"/>
  <c r="B91" i="43" s="1"/>
  <c r="D460" i="32"/>
  <c r="B90" i="43" s="1"/>
  <c r="D459" i="32"/>
  <c r="B89" i="43" s="1"/>
  <c r="D458" i="32"/>
  <c r="B88" i="43" s="1"/>
  <c r="D457" i="32"/>
  <c r="B87" i="43" s="1"/>
  <c r="D456" i="32"/>
  <c r="B86" i="43" s="1"/>
  <c r="D455" i="32"/>
  <c r="B85" i="43" s="1"/>
  <c r="D453" i="32"/>
  <c r="B83" i="43" s="1"/>
  <c r="D452" i="32"/>
  <c r="B82" i="43" s="1"/>
  <c r="D451" i="32"/>
  <c r="B81" i="43" s="1"/>
  <c r="D449" i="32"/>
  <c r="B79" i="43" s="1"/>
  <c r="D448" i="32"/>
  <c r="B78" i="43" s="1"/>
  <c r="D447" i="32"/>
  <c r="B77" i="43" s="1"/>
  <c r="D446" i="32"/>
  <c r="B76" i="43" s="1"/>
  <c r="D445" i="32"/>
  <c r="B75" i="43" s="1"/>
  <c r="D444" i="32"/>
  <c r="B74" i="43" s="1"/>
  <c r="D443" i="32"/>
  <c r="B73" i="43" s="1"/>
  <c r="D442" i="32"/>
  <c r="B72" i="43" s="1"/>
  <c r="D441" i="32"/>
  <c r="B71" i="43" s="1"/>
  <c r="D440" i="32"/>
  <c r="B70" i="43" s="1"/>
  <c r="D439" i="32"/>
  <c r="B69" i="43" s="1"/>
  <c r="D437" i="32"/>
  <c r="B67" i="43" s="1"/>
  <c r="D436" i="32"/>
  <c r="B66" i="43" s="1"/>
  <c r="D435" i="32"/>
  <c r="B65" i="43" s="1"/>
  <c r="D434" i="32"/>
  <c r="B64" i="43" s="1"/>
  <c r="D433" i="32"/>
  <c r="B63" i="43" s="1"/>
  <c r="D432" i="32"/>
  <c r="B62" i="43" s="1"/>
  <c r="D431" i="32"/>
  <c r="B61" i="43" s="1"/>
  <c r="D430" i="32"/>
  <c r="B60" i="43" s="1"/>
  <c r="D429" i="32"/>
  <c r="B59" i="43" s="1"/>
  <c r="D427" i="32"/>
  <c r="B73" i="44" s="1"/>
  <c r="D426" i="32"/>
  <c r="B72" i="44" s="1"/>
  <c r="D425" i="32"/>
  <c r="B71" i="44" s="1"/>
  <c r="D424" i="32"/>
  <c r="B70" i="44" s="1"/>
  <c r="D422" i="32"/>
  <c r="D421" i="32"/>
  <c r="D420" i="32"/>
  <c r="D419" i="32"/>
  <c r="D417" i="32"/>
  <c r="B81" i="44" s="1"/>
  <c r="D416" i="32"/>
  <c r="B80" i="44" s="1"/>
  <c r="D414" i="32"/>
  <c r="B77" i="44" s="1"/>
  <c r="D413" i="32"/>
  <c r="B76" i="44" s="1"/>
  <c r="D411" i="32"/>
  <c r="B69" i="42" s="1"/>
  <c r="D410" i="32"/>
  <c r="B68" i="42" s="1"/>
  <c r="D409" i="32"/>
  <c r="B67" i="42" s="1"/>
  <c r="D408" i="32"/>
  <c r="B66" i="42" s="1"/>
  <c r="D407" i="32"/>
  <c r="B65" i="42" s="1"/>
  <c r="D406" i="32"/>
  <c r="B64" i="42" s="1"/>
  <c r="D405" i="32"/>
  <c r="B63" i="42" s="1"/>
  <c r="D404" i="32"/>
  <c r="B62" i="42" s="1"/>
  <c r="D403" i="32"/>
  <c r="B61" i="42" s="1"/>
  <c r="D402" i="32"/>
  <c r="B60" i="42" s="1"/>
  <c r="D401" i="32"/>
  <c r="B59" i="42" s="1"/>
  <c r="E399" i="32"/>
  <c r="D399" i="32"/>
  <c r="E398" i="32"/>
  <c r="C57" i="42" s="1"/>
  <c r="D398" i="32"/>
  <c r="B57" i="42" s="1"/>
  <c r="E397" i="32"/>
  <c r="C56" i="42" s="1"/>
  <c r="D397" i="32"/>
  <c r="B56" i="42" s="1"/>
  <c r="E396" i="32"/>
  <c r="C55" i="42" s="1"/>
  <c r="D396" i="32"/>
  <c r="B55" i="42" s="1"/>
  <c r="E395" i="32"/>
  <c r="C54" i="42" s="1"/>
  <c r="D395" i="32"/>
  <c r="B54" i="42" s="1"/>
  <c r="E394" i="32"/>
  <c r="C53" i="42" s="1"/>
  <c r="D394" i="32"/>
  <c r="B53" i="42" s="1"/>
  <c r="E393" i="32"/>
  <c r="C52" i="42" s="1"/>
  <c r="D393" i="32"/>
  <c r="B52" i="42" s="1"/>
  <c r="E392" i="32"/>
  <c r="C51" i="42" s="1"/>
  <c r="D392" i="32"/>
  <c r="B51" i="42" s="1"/>
  <c r="E391" i="32"/>
  <c r="C50" i="42" s="1"/>
  <c r="D391" i="32"/>
  <c r="B50" i="42" s="1"/>
  <c r="E390" i="32"/>
  <c r="C49" i="42" s="1"/>
  <c r="D390" i="32"/>
  <c r="B49" i="42" s="1"/>
  <c r="E389" i="32"/>
  <c r="C48" i="42" s="1"/>
  <c r="E388" i="32"/>
  <c r="C47" i="42" s="1"/>
  <c r="D388" i="32"/>
  <c r="B47" i="42" s="1"/>
  <c r="D387" i="32"/>
  <c r="B46" i="42" s="1"/>
  <c r="D386" i="32"/>
  <c r="B45" i="42" s="1"/>
  <c r="D385" i="32"/>
  <c r="B44" i="42" s="1"/>
  <c r="D384" i="32"/>
  <c r="B43" i="42" s="1"/>
  <c r="D383" i="32"/>
  <c r="B42" i="42" s="1"/>
  <c r="D382" i="32"/>
  <c r="B41" i="42" s="1"/>
  <c r="E380" i="32"/>
  <c r="C39" i="42" s="1"/>
  <c r="D380" i="32"/>
  <c r="B39" i="42" s="1"/>
  <c r="E379" i="32"/>
  <c r="C38" i="42" s="1"/>
  <c r="D379" i="32"/>
  <c r="B38" i="42" s="1"/>
  <c r="E378" i="32"/>
  <c r="C37" i="42" s="1"/>
  <c r="D378" i="32"/>
  <c r="B37" i="42" s="1"/>
  <c r="E377" i="32"/>
  <c r="C36" i="42" s="1"/>
  <c r="D377" i="32"/>
  <c r="B36" i="42" s="1"/>
  <c r="E376" i="32"/>
  <c r="C35" i="42" s="1"/>
  <c r="D376" i="32"/>
  <c r="B35" i="42" s="1"/>
  <c r="E375" i="32"/>
  <c r="C34" i="42" s="1"/>
  <c r="D375" i="32"/>
  <c r="B34" i="42" s="1"/>
  <c r="E373" i="32"/>
  <c r="C31" i="42" s="1"/>
  <c r="D373" i="32"/>
  <c r="B31" i="42" s="1"/>
  <c r="E372" i="32"/>
  <c r="C30" i="42" s="1"/>
  <c r="D372" i="32"/>
  <c r="B30" i="42" s="1"/>
  <c r="E371" i="32"/>
  <c r="C29" i="42" s="1"/>
  <c r="D371" i="32"/>
  <c r="B29" i="42" s="1"/>
  <c r="E370" i="32"/>
  <c r="C28" i="42" s="1"/>
  <c r="D370" i="32"/>
  <c r="B28" i="42" s="1"/>
  <c r="E369" i="32"/>
  <c r="C27" i="42" s="1"/>
  <c r="D369" i="32"/>
  <c r="B27" i="42" s="1"/>
  <c r="E367" i="32"/>
  <c r="C25" i="42" s="1"/>
  <c r="D367" i="32"/>
  <c r="B25" i="42" s="1"/>
  <c r="E366" i="32"/>
  <c r="C24" i="42" s="1"/>
  <c r="D366" i="32"/>
  <c r="B24" i="42" s="1"/>
  <c r="E364" i="32"/>
  <c r="C22" i="42" s="1"/>
  <c r="D364" i="32"/>
  <c r="B22" i="42" s="1"/>
  <c r="E363" i="32"/>
  <c r="C21" i="42" s="1"/>
  <c r="D363" i="32"/>
  <c r="B21" i="42" s="1"/>
  <c r="E362" i="32"/>
  <c r="C20" i="42" s="1"/>
  <c r="D362" i="32"/>
  <c r="B20" i="42" s="1"/>
  <c r="E361" i="32"/>
  <c r="C19" i="42" s="1"/>
  <c r="D361" i="32"/>
  <c r="B19" i="42" s="1"/>
  <c r="E360" i="32"/>
  <c r="C18" i="42" s="1"/>
  <c r="D360" i="32"/>
  <c r="B18" i="42" s="1"/>
  <c r="E359" i="32"/>
  <c r="C17" i="42" s="1"/>
  <c r="D359" i="32"/>
  <c r="B17" i="42" s="1"/>
  <c r="E358" i="32"/>
  <c r="C16" i="42" s="1"/>
  <c r="D358" i="32"/>
  <c r="B16" i="42" s="1"/>
  <c r="E357" i="32"/>
  <c r="C15" i="42" s="1"/>
  <c r="D357" i="32"/>
  <c r="B15" i="42" s="1"/>
  <c r="D355" i="32"/>
  <c r="B13" i="42" s="1"/>
  <c r="D354" i="32"/>
  <c r="B12" i="42" s="1"/>
  <c r="D353" i="32"/>
  <c r="B11" i="42" s="1"/>
  <c r="E351" i="32"/>
  <c r="C32" i="42" s="1"/>
  <c r="D351" i="32"/>
  <c r="B32" i="42" s="1"/>
  <c r="E350" i="32"/>
  <c r="C9" i="42" s="1"/>
  <c r="D350" i="32"/>
  <c r="B9" i="42" s="1"/>
  <c r="E349" i="32"/>
  <c r="C8" i="42" s="1"/>
  <c r="D349" i="32"/>
  <c r="B8" i="42" s="1"/>
  <c r="E348" i="32"/>
  <c r="C7" i="42" s="1"/>
  <c r="D348" i="32"/>
  <c r="B7" i="42" s="1"/>
  <c r="E347" i="32"/>
  <c r="C6" i="42" s="1"/>
  <c r="D347" i="32"/>
  <c r="B6" i="42" s="1"/>
  <c r="E346" i="32"/>
  <c r="C5" i="42" s="1"/>
  <c r="D346" i="32"/>
  <c r="B5" i="42" s="1"/>
  <c r="E345" i="32"/>
  <c r="C4" i="42" s="1"/>
  <c r="D345" i="32"/>
  <c r="B4" i="42" s="1"/>
  <c r="D335" i="32"/>
  <c r="B47" i="43" s="1"/>
  <c r="D334" i="32"/>
  <c r="B46" i="43" s="1"/>
  <c r="D333" i="32"/>
  <c r="B45" i="43" s="1"/>
  <c r="D332" i="32"/>
  <c r="B44" i="43" s="1"/>
  <c r="D331" i="32"/>
  <c r="B43" i="43" s="1"/>
  <c r="D328" i="32"/>
  <c r="B40" i="43" s="1"/>
  <c r="D327" i="32"/>
  <c r="B39" i="43" s="1"/>
  <c r="D324" i="32"/>
  <c r="B36" i="43" s="1"/>
  <c r="D323" i="32"/>
  <c r="B35" i="43" s="1"/>
  <c r="D322" i="32"/>
  <c r="B34" i="43" s="1"/>
  <c r="D321" i="32"/>
  <c r="B33" i="43" s="1"/>
  <c r="D320" i="32"/>
  <c r="B32" i="43" s="1"/>
  <c r="D319" i="32"/>
  <c r="B31" i="43" s="1"/>
  <c r="D318" i="32"/>
  <c r="B30" i="43" s="1"/>
  <c r="D317" i="32"/>
  <c r="B29" i="43" s="1"/>
  <c r="D314" i="32"/>
  <c r="B26" i="43" s="1"/>
  <c r="D313" i="32"/>
  <c r="B25" i="43" s="1"/>
  <c r="D312" i="32"/>
  <c r="B24" i="43" s="1"/>
  <c r="D309" i="32"/>
  <c r="B48" i="43" s="1"/>
  <c r="D308" i="32"/>
  <c r="B21" i="43" s="1"/>
  <c r="D307" i="32"/>
  <c r="B20" i="43" s="1"/>
  <c r="D306" i="32"/>
  <c r="B19" i="43" s="1"/>
  <c r="D305" i="32"/>
  <c r="B18" i="43" s="1"/>
  <c r="D304" i="32"/>
  <c r="B17" i="43" s="1"/>
  <c r="D303" i="32"/>
  <c r="B16" i="43" s="1"/>
  <c r="D300" i="32"/>
  <c r="D299" i="32"/>
  <c r="D298" i="32"/>
  <c r="D297" i="32"/>
  <c r="D296" i="32"/>
  <c r="D295" i="32"/>
  <c r="D294" i="32"/>
  <c r="B5" i="45" s="1"/>
  <c r="D293" i="32"/>
  <c r="B17" i="40" s="1"/>
  <c r="D292" i="32"/>
  <c r="B16" i="40" s="1"/>
  <c r="D291" i="32"/>
  <c r="B15" i="40" s="1"/>
  <c r="D290" i="32"/>
  <c r="B14" i="40" s="1"/>
  <c r="D289" i="32"/>
  <c r="B13" i="40" s="1"/>
  <c r="D288" i="32"/>
  <c r="B12" i="40" s="1"/>
  <c r="D287" i="32"/>
  <c r="D286" i="32"/>
  <c r="D285" i="32"/>
  <c r="B10" i="40" s="1"/>
  <c r="D284" i="32"/>
  <c r="D283" i="32"/>
  <c r="D282" i="32"/>
  <c r="D281" i="32"/>
  <c r="B14" i="45" s="1"/>
  <c r="D280" i="32"/>
  <c r="D279" i="32"/>
  <c r="D278" i="32"/>
  <c r="D277" i="32"/>
  <c r="D276" i="32"/>
  <c r="D275" i="32"/>
  <c r="D259" i="32"/>
  <c r="D258" i="32"/>
  <c r="D257" i="32"/>
  <c r="D256" i="32"/>
  <c r="D255" i="32"/>
  <c r="D254" i="32"/>
  <c r="D252" i="32"/>
  <c r="B67" i="44" s="1"/>
  <c r="D251" i="32"/>
  <c r="B66" i="44" s="1"/>
  <c r="D250" i="32"/>
  <c r="B65" i="44" s="1"/>
  <c r="D249" i="32"/>
  <c r="B64" i="44" s="1"/>
  <c r="D248" i="32"/>
  <c r="B63" i="44" s="1"/>
  <c r="D247" i="32"/>
  <c r="B62" i="44" s="1"/>
  <c r="D246" i="32"/>
  <c r="B61" i="44" s="1"/>
  <c r="D245" i="32"/>
  <c r="B60" i="44" s="1"/>
  <c r="D244" i="32"/>
  <c r="B59" i="44" s="1"/>
  <c r="D239" i="32"/>
  <c r="D238" i="32"/>
  <c r="B56" i="44" s="1"/>
  <c r="D237" i="32"/>
  <c r="D236" i="32"/>
  <c r="D235" i="32"/>
  <c r="B53" i="44" s="1"/>
  <c r="D234" i="32"/>
  <c r="B52" i="44" s="1"/>
  <c r="D233" i="32"/>
  <c r="D230" i="32"/>
  <c r="D229" i="32"/>
  <c r="D228" i="32"/>
  <c r="D227" i="32"/>
  <c r="D226" i="32"/>
  <c r="D225" i="32"/>
  <c r="D223" i="32"/>
  <c r="B48" i="44" s="1"/>
  <c r="D222" i="32"/>
  <c r="B47" i="44" s="1"/>
  <c r="D221" i="32"/>
  <c r="B46" i="44" s="1"/>
  <c r="D220" i="32"/>
  <c r="B45" i="44" s="1"/>
  <c r="D219" i="32"/>
  <c r="B44" i="44" s="1"/>
  <c r="D218" i="32"/>
  <c r="B43" i="44" s="1"/>
  <c r="D217" i="32"/>
  <c r="B42" i="44" s="1"/>
  <c r="D216" i="32"/>
  <c r="B41" i="44" s="1"/>
  <c r="D215" i="32"/>
  <c r="B40" i="44" s="1"/>
  <c r="D210" i="32"/>
  <c r="D209" i="32"/>
  <c r="B37" i="44" s="1"/>
  <c r="D208" i="32"/>
  <c r="D207" i="32"/>
  <c r="B35" i="44" s="1"/>
  <c r="D206" i="32"/>
  <c r="B34" i="44" s="1"/>
  <c r="D205" i="32"/>
  <c r="D202" i="32"/>
  <c r="D201" i="32"/>
  <c r="D200" i="32"/>
  <c r="D199" i="32"/>
  <c r="D198" i="32"/>
  <c r="D197" i="32"/>
  <c r="D196" i="32"/>
  <c r="D195" i="32"/>
  <c r="D193" i="32"/>
  <c r="B28" i="44" s="1"/>
  <c r="D192" i="32"/>
  <c r="B27" i="44" s="1"/>
  <c r="D191" i="32"/>
  <c r="B26" i="44" s="1"/>
  <c r="D190" i="32"/>
  <c r="B25" i="44" s="1"/>
  <c r="D189" i="32"/>
  <c r="B24" i="44" s="1"/>
  <c r="D188" i="32"/>
  <c r="B23" i="44" s="1"/>
  <c r="D187" i="32"/>
  <c r="B22" i="44" s="1"/>
  <c r="D186" i="32"/>
  <c r="B21" i="44" s="1"/>
  <c r="D185" i="32"/>
  <c r="B20" i="44" s="1"/>
  <c r="D180" i="32"/>
  <c r="D179" i="32"/>
  <c r="D178" i="32"/>
  <c r="D177" i="32"/>
  <c r="D176" i="32"/>
  <c r="D175" i="32"/>
  <c r="D173" i="32"/>
  <c r="D172" i="32"/>
  <c r="D171" i="32"/>
  <c r="D168" i="32"/>
  <c r="D167" i="32"/>
  <c r="D166" i="32"/>
  <c r="D165" i="32"/>
  <c r="D164" i="32"/>
  <c r="D163" i="32"/>
  <c r="D161" i="32"/>
  <c r="D160" i="32"/>
  <c r="D159" i="32"/>
  <c r="D158" i="32"/>
  <c r="D157" i="32"/>
  <c r="D156" i="32"/>
  <c r="D155" i="32"/>
  <c r="D154" i="32"/>
  <c r="D153" i="32"/>
  <c r="D148" i="32"/>
  <c r="D147" i="32"/>
  <c r="B86" i="39" s="1"/>
  <c r="D146" i="32"/>
  <c r="D145" i="32"/>
  <c r="B84" i="39" s="1"/>
  <c r="D144" i="32"/>
  <c r="B83" i="39" s="1"/>
  <c r="D143" i="32"/>
  <c r="D140" i="32"/>
  <c r="D139" i="32"/>
  <c r="D138" i="32"/>
  <c r="D137" i="32"/>
  <c r="D136" i="32"/>
  <c r="D135" i="32"/>
  <c r="D133" i="32"/>
  <c r="B79" i="39" s="1"/>
  <c r="D132" i="32"/>
  <c r="B78" i="39" s="1"/>
  <c r="D131" i="32"/>
  <c r="B77" i="39" s="1"/>
  <c r="D130" i="32"/>
  <c r="B76" i="39" s="1"/>
  <c r="D129" i="32"/>
  <c r="B75" i="39" s="1"/>
  <c r="D128" i="32"/>
  <c r="B74" i="39" s="1"/>
  <c r="D127" i="32"/>
  <c r="B73" i="39" s="1"/>
  <c r="D126" i="32"/>
  <c r="B72" i="39" s="1"/>
  <c r="D125" i="32"/>
  <c r="B71" i="39" s="1"/>
  <c r="D120" i="32"/>
  <c r="D119" i="32"/>
  <c r="B68" i="39" s="1"/>
  <c r="D118" i="32"/>
  <c r="D117" i="32"/>
  <c r="B66" i="39" s="1"/>
  <c r="D116" i="32"/>
  <c r="B65" i="39" s="1"/>
  <c r="D115" i="32"/>
  <c r="D112" i="32"/>
  <c r="D111" i="32"/>
  <c r="D110" i="32"/>
  <c r="D109" i="32"/>
  <c r="D108" i="32"/>
  <c r="D107" i="32"/>
  <c r="D105" i="32"/>
  <c r="B61" i="39" s="1"/>
  <c r="D104" i="32"/>
  <c r="B60" i="39" s="1"/>
  <c r="D103" i="32"/>
  <c r="B59" i="39" s="1"/>
  <c r="D102" i="32"/>
  <c r="B58" i="39" s="1"/>
  <c r="D101" i="32"/>
  <c r="B57" i="39" s="1"/>
  <c r="D100" i="32"/>
  <c r="B56" i="39" s="1"/>
  <c r="D99" i="32"/>
  <c r="B55" i="39" s="1"/>
  <c r="D98" i="32"/>
  <c r="B54" i="39" s="1"/>
  <c r="D97" i="32"/>
  <c r="B53" i="39" s="1"/>
  <c r="D92" i="32"/>
  <c r="D91" i="32"/>
  <c r="B50" i="39" s="1"/>
  <c r="D90" i="32"/>
  <c r="D89" i="32"/>
  <c r="B48" i="39" s="1"/>
  <c r="D88" i="32"/>
  <c r="B47" i="39" s="1"/>
  <c r="D87" i="32"/>
  <c r="D84" i="32"/>
  <c r="D83" i="32"/>
  <c r="D82" i="32"/>
  <c r="D81" i="32"/>
  <c r="D80" i="32"/>
  <c r="D79" i="32"/>
  <c r="D77" i="32"/>
  <c r="B43" i="39" s="1"/>
  <c r="D76" i="32"/>
  <c r="B42" i="39" s="1"/>
  <c r="D75" i="32"/>
  <c r="B41" i="39" s="1"/>
  <c r="D74" i="32"/>
  <c r="B40" i="39" s="1"/>
  <c r="D73" i="32"/>
  <c r="B39" i="39" s="1"/>
  <c r="D72" i="32"/>
  <c r="B38" i="39" s="1"/>
  <c r="D71" i="32"/>
  <c r="B37" i="39" s="1"/>
  <c r="D70" i="32"/>
  <c r="B36" i="39" s="1"/>
  <c r="D69" i="32"/>
  <c r="B35" i="39" s="1"/>
  <c r="D64" i="32"/>
  <c r="D63" i="32"/>
  <c r="B32" i="39" s="1"/>
  <c r="D62" i="32"/>
  <c r="D61" i="32"/>
  <c r="G61" i="32" s="1"/>
  <c r="C30" i="39" s="1"/>
  <c r="D60" i="32"/>
  <c r="B29" i="39" s="1"/>
  <c r="D59" i="32"/>
  <c r="D56" i="32"/>
  <c r="D55" i="32"/>
  <c r="D54" i="32"/>
  <c r="D53" i="32"/>
  <c r="D52" i="32"/>
  <c r="D51" i="32"/>
  <c r="D49" i="32"/>
  <c r="D48" i="32"/>
  <c r="B24" i="39" s="1"/>
  <c r="D47" i="32"/>
  <c r="B23" i="39" s="1"/>
  <c r="D46" i="32"/>
  <c r="B22" i="39" s="1"/>
  <c r="D45" i="32"/>
  <c r="B21" i="39" s="1"/>
  <c r="D44" i="32"/>
  <c r="B20" i="39" s="1"/>
  <c r="D43" i="32"/>
  <c r="B19" i="39" s="1"/>
  <c r="D42" i="32"/>
  <c r="B18" i="39" s="1"/>
  <c r="D41" i="32"/>
  <c r="B17" i="39" s="1"/>
  <c r="D36" i="32"/>
  <c r="D35" i="32"/>
  <c r="D34" i="32"/>
  <c r="D33" i="32"/>
  <c r="D32" i="32"/>
  <c r="D31" i="32"/>
  <c r="D30" i="32"/>
  <c r="B117" i="53"/>
  <c r="B117" i="52"/>
  <c r="F236" i="32"/>
  <c r="F339" i="32"/>
  <c r="C52" i="43" s="1"/>
  <c r="F275" i="32"/>
  <c r="BR38" i="65" s="1"/>
  <c r="F276" i="32"/>
  <c r="BR17" i="65" s="1"/>
  <c r="AO17" i="65" s="1"/>
  <c r="AJ17" i="65" s="1"/>
  <c r="F280" i="32"/>
  <c r="BR16" i="65" s="1"/>
  <c r="AO16" i="65" s="1"/>
  <c r="AJ16" i="65" s="1"/>
  <c r="F278" i="32"/>
  <c r="BR15" i="65" s="1"/>
  <c r="AO15" i="65" s="1"/>
  <c r="AJ15" i="65" s="1"/>
  <c r="F277" i="32"/>
  <c r="BR14" i="65" s="1"/>
  <c r="F279" i="32"/>
  <c r="BR12" i="65" s="1"/>
  <c r="F176" i="32"/>
  <c r="BW104" i="65" s="1"/>
  <c r="F47" i="32"/>
  <c r="C23" i="39" s="1"/>
  <c r="F175" i="32"/>
  <c r="F34" i="32"/>
  <c r="AC27" i="61" l="1"/>
  <c r="AC84" i="64"/>
  <c r="BZ9" i="58"/>
  <c r="X80" i="64"/>
  <c r="X27" i="60"/>
  <c r="N83" i="64"/>
  <c r="AP126" i="64"/>
  <c r="AC80" i="64"/>
  <c r="S80" i="64"/>
  <c r="AA9" i="61"/>
  <c r="AJ79" i="62"/>
  <c r="AP79" i="62" s="1"/>
  <c r="AJ80" i="62"/>
  <c r="AP80" i="62" s="1"/>
  <c r="T79" i="64"/>
  <c r="AY10" i="60"/>
  <c r="Y27" i="60"/>
  <c r="W27" i="60"/>
  <c r="BB10" i="60"/>
  <c r="AB27" i="61"/>
  <c r="X128" i="59"/>
  <c r="BR18" i="60"/>
  <c r="T29" i="61"/>
  <c r="BZ29" i="61" s="1"/>
  <c r="V27" i="60"/>
  <c r="E27" i="60"/>
  <c r="M128" i="60"/>
  <c r="G48" i="61"/>
  <c r="T22" i="61"/>
  <c r="BZ22" i="61" s="1"/>
  <c r="AO58" i="61"/>
  <c r="AJ58" i="61" s="1"/>
  <c r="W58" i="61" s="1"/>
  <c r="W57" i="61" s="1"/>
  <c r="BZ20" i="60"/>
  <c r="BZ19" i="60" s="1"/>
  <c r="T64" i="61"/>
  <c r="BZ64" i="61" s="1"/>
  <c r="N64" i="61"/>
  <c r="BY79" i="62"/>
  <c r="BS28" i="62"/>
  <c r="BR28" i="62" s="1"/>
  <c r="BS29" i="62"/>
  <c r="BR29" i="62" s="1"/>
  <c r="AO29" i="62" s="1"/>
  <c r="AJ29" i="62" s="1"/>
  <c r="BS33" i="62"/>
  <c r="AO33" i="62" s="1"/>
  <c r="AJ33" i="62" s="1"/>
  <c r="BS35" i="62"/>
  <c r="BR35" i="62" s="1"/>
  <c r="AO35" i="62" s="1"/>
  <c r="AJ35" i="62" s="1"/>
  <c r="BS32" i="62"/>
  <c r="AO32" i="62" s="1"/>
  <c r="BS31" i="62"/>
  <c r="BR31" i="62" s="1"/>
  <c r="AO31" i="62" s="1"/>
  <c r="AJ31" i="62" s="1"/>
  <c r="BS30" i="62"/>
  <c r="BS34" i="62"/>
  <c r="BR34" i="62" s="1"/>
  <c r="AO34" i="62" s="1"/>
  <c r="AJ34" i="62" s="1"/>
  <c r="J8" i="32"/>
  <c r="BR37" i="61"/>
  <c r="AO37" i="61" s="1"/>
  <c r="G29" i="61"/>
  <c r="N34" i="61"/>
  <c r="Q27" i="61"/>
  <c r="Q18" i="61" s="1"/>
  <c r="G18" i="59"/>
  <c r="G9" i="59" s="1"/>
  <c r="BY127" i="62"/>
  <c r="AI127" i="62"/>
  <c r="T28" i="60"/>
  <c r="BZ28" i="60" s="1"/>
  <c r="U27" i="60"/>
  <c r="T38" i="61"/>
  <c r="BZ38" i="61" s="1"/>
  <c r="AC128" i="59"/>
  <c r="BZ10" i="59"/>
  <c r="BR9" i="59"/>
  <c r="AC66" i="59" s="1"/>
  <c r="BY87" i="62"/>
  <c r="AP87" i="62"/>
  <c r="BZ81" i="64"/>
  <c r="E80" i="64"/>
  <c r="AO47" i="61"/>
  <c r="AJ47" i="61" s="1"/>
  <c r="BR46" i="61"/>
  <c r="AO46" i="61" s="1"/>
  <c r="H66" i="59"/>
  <c r="H128" i="59"/>
  <c r="H68" i="60"/>
  <c r="AP119" i="64"/>
  <c r="AI119" i="64"/>
  <c r="BY119" i="64"/>
  <c r="T83" i="64"/>
  <c r="AJ83" i="64" s="1"/>
  <c r="BY24" i="60"/>
  <c r="BY19" i="60" s="1"/>
  <c r="AP24" i="60"/>
  <c r="W68" i="62"/>
  <c r="BW117" i="64"/>
  <c r="AO118" i="64"/>
  <c r="AJ118" i="64" s="1"/>
  <c r="AP118" i="64" s="1"/>
  <c r="U28" i="61"/>
  <c r="E28" i="61"/>
  <c r="E27" i="61" s="1"/>
  <c r="C28" i="61"/>
  <c r="I28" i="61"/>
  <c r="AP28" i="61"/>
  <c r="V28" i="61"/>
  <c r="V27" i="61" s="1"/>
  <c r="X28" i="61"/>
  <c r="X27" i="61" s="1"/>
  <c r="BY28" i="61"/>
  <c r="Y28" i="61"/>
  <c r="Y27" i="61" s="1"/>
  <c r="W28" i="61"/>
  <c r="W27" i="61" s="1"/>
  <c r="M18" i="61"/>
  <c r="M9" i="61" s="1"/>
  <c r="AO19" i="61"/>
  <c r="W84" i="64"/>
  <c r="T85" i="64"/>
  <c r="AZ66" i="59"/>
  <c r="AZ9" i="59"/>
  <c r="AJ86" i="62"/>
  <c r="G84" i="62"/>
  <c r="AJ86" i="64"/>
  <c r="T30" i="61"/>
  <c r="BZ30" i="61" s="1"/>
  <c r="N81" i="64"/>
  <c r="Q80" i="64"/>
  <c r="BW68" i="62"/>
  <c r="AO68" i="62" s="1"/>
  <c r="AO84" i="62"/>
  <c r="J5" i="32"/>
  <c r="S84" i="64"/>
  <c r="BC8" i="59"/>
  <c r="AO8" i="59" s="1"/>
  <c r="AP89" i="61"/>
  <c r="AI89" i="61"/>
  <c r="T35" i="60"/>
  <c r="AZ66" i="60"/>
  <c r="AZ9" i="60"/>
  <c r="BS52" i="62"/>
  <c r="BR52" i="62" s="1"/>
  <c r="AO52" i="62" s="1"/>
  <c r="AJ52" i="62" s="1"/>
  <c r="BS51" i="62"/>
  <c r="BR51" i="62" s="1"/>
  <c r="AO51" i="62" s="1"/>
  <c r="AJ51" i="62" s="1"/>
  <c r="BS48" i="62"/>
  <c r="BR48" i="62" s="1"/>
  <c r="AO48" i="62" s="1"/>
  <c r="AJ48" i="62" s="1"/>
  <c r="BS49" i="62"/>
  <c r="BR49" i="62" s="1"/>
  <c r="AO49" i="62" s="1"/>
  <c r="AJ49" i="62" s="1"/>
  <c r="BS50" i="62"/>
  <c r="BR50" i="62" s="1"/>
  <c r="AO50" i="62" s="1"/>
  <c r="AJ50" i="62" s="1"/>
  <c r="BS47" i="62"/>
  <c r="BS25" i="62"/>
  <c r="AO25" i="62" s="1"/>
  <c r="AJ25" i="62" s="1"/>
  <c r="BS24" i="62"/>
  <c r="AO24" i="62" s="1"/>
  <c r="BS21" i="62"/>
  <c r="BR21" i="62" s="1"/>
  <c r="AO21" i="62" s="1"/>
  <c r="AJ21" i="62" s="1"/>
  <c r="BS22" i="62"/>
  <c r="BR22" i="62" s="1"/>
  <c r="AO22" i="62" s="1"/>
  <c r="AJ22" i="62" s="1"/>
  <c r="BS23" i="62"/>
  <c r="BS20" i="62"/>
  <c r="BR20" i="62" s="1"/>
  <c r="BY122" i="62"/>
  <c r="AI122" i="62"/>
  <c r="AO18" i="60"/>
  <c r="I18" i="59"/>
  <c r="I9" i="59" s="1"/>
  <c r="S19" i="61"/>
  <c r="N24" i="61"/>
  <c r="BZ84" i="62"/>
  <c r="AO127" i="64"/>
  <c r="AJ127" i="64" s="1"/>
  <c r="AP127" i="64" s="1"/>
  <c r="J58" i="61"/>
  <c r="J57" i="61" s="1"/>
  <c r="C58" i="61"/>
  <c r="AP58" i="61"/>
  <c r="AA128" i="60"/>
  <c r="BP7" i="60"/>
  <c r="AA7" i="60" s="1"/>
  <c r="BP5" i="60" s="1"/>
  <c r="N32" i="61"/>
  <c r="S27" i="61"/>
  <c r="AI124" i="62"/>
  <c r="BY124" i="62"/>
  <c r="T81" i="64"/>
  <c r="W80" i="64"/>
  <c r="J18" i="61"/>
  <c r="T68" i="62"/>
  <c r="AJ19" i="60"/>
  <c r="F41" i="61"/>
  <c r="BW84" i="64"/>
  <c r="AO84" i="64" s="1"/>
  <c r="AO85" i="64"/>
  <c r="BB66" i="59"/>
  <c r="BB9" i="59"/>
  <c r="AJ59" i="60"/>
  <c r="AP59" i="60" s="1"/>
  <c r="AC57" i="60"/>
  <c r="AC9" i="60" s="1"/>
  <c r="W128" i="59"/>
  <c r="BL7" i="59"/>
  <c r="W7" i="59" s="1"/>
  <c r="BL5" i="59" s="1"/>
  <c r="BZ88" i="64"/>
  <c r="T48" i="61"/>
  <c r="BZ48" i="61" s="1"/>
  <c r="I20" i="61"/>
  <c r="C20" i="61"/>
  <c r="E20" i="61"/>
  <c r="E19" i="61" s="1"/>
  <c r="BY20" i="61"/>
  <c r="W20" i="61"/>
  <c r="W19" i="61" s="1"/>
  <c r="Y20" i="61"/>
  <c r="Y19" i="61" s="1"/>
  <c r="U20" i="61"/>
  <c r="AP20" i="61"/>
  <c r="V20" i="61"/>
  <c r="V19" i="61" s="1"/>
  <c r="X20" i="61"/>
  <c r="X19" i="61" s="1"/>
  <c r="AB20" i="61"/>
  <c r="AB19" i="61" s="1"/>
  <c r="AI120" i="62"/>
  <c r="BY120" i="62"/>
  <c r="AO124" i="64"/>
  <c r="AJ124" i="64" s="1"/>
  <c r="AP124" i="64" s="1"/>
  <c r="Y84" i="64"/>
  <c r="BY68" i="61"/>
  <c r="AJ46" i="59"/>
  <c r="AP46" i="59" s="1"/>
  <c r="C18" i="59"/>
  <c r="C9" i="59" s="1"/>
  <c r="AJ19" i="59"/>
  <c r="AY66" i="59"/>
  <c r="AY9" i="59"/>
  <c r="J80" i="64"/>
  <c r="G80" i="64" s="1"/>
  <c r="G81" i="64"/>
  <c r="T23" i="61"/>
  <c r="BZ23" i="61" s="1"/>
  <c r="AP88" i="62"/>
  <c r="BY88" i="62"/>
  <c r="AO120" i="64"/>
  <c r="AJ120" i="64" s="1"/>
  <c r="AP120" i="64" s="1"/>
  <c r="J84" i="64"/>
  <c r="G85" i="64"/>
  <c r="BZ82" i="64"/>
  <c r="BY121" i="64"/>
  <c r="AI121" i="64"/>
  <c r="BZ35" i="60"/>
  <c r="AY66" i="60"/>
  <c r="AY9" i="60"/>
  <c r="BS62" i="62"/>
  <c r="BR62" i="62" s="1"/>
  <c r="AO62" i="62" s="1"/>
  <c r="AJ62" i="62" s="1"/>
  <c r="BS58" i="62"/>
  <c r="BR58" i="62" s="1"/>
  <c r="BS64" i="62"/>
  <c r="BR64" i="62" s="1"/>
  <c r="AO64" i="62" s="1"/>
  <c r="AJ64" i="62" s="1"/>
  <c r="BS59" i="62"/>
  <c r="BR59" i="62" s="1"/>
  <c r="AO59" i="62" s="1"/>
  <c r="BS60" i="62"/>
  <c r="AO60" i="62" s="1"/>
  <c r="AJ60" i="62" s="1"/>
  <c r="BS61" i="62"/>
  <c r="BR61" i="62" s="1"/>
  <c r="AO61" i="62" s="1"/>
  <c r="AJ61" i="62" s="1"/>
  <c r="BS43" i="62"/>
  <c r="BR43" i="62" s="1"/>
  <c r="AO43" i="62" s="1"/>
  <c r="AJ43" i="62" s="1"/>
  <c r="BS44" i="62"/>
  <c r="BR44" i="62" s="1"/>
  <c r="AO44" i="62" s="1"/>
  <c r="AJ44" i="62" s="1"/>
  <c r="BS42" i="62"/>
  <c r="BR42" i="62" s="1"/>
  <c r="N27" i="60"/>
  <c r="N18" i="60" s="1"/>
  <c r="AJ32" i="60"/>
  <c r="AP122" i="62"/>
  <c r="W47" i="60"/>
  <c r="W46" i="60" s="1"/>
  <c r="W18" i="60" s="1"/>
  <c r="W9" i="60" s="1"/>
  <c r="C47" i="60"/>
  <c r="X47" i="60"/>
  <c r="X46" i="60" s="1"/>
  <c r="U47" i="60"/>
  <c r="I47" i="60"/>
  <c r="AP47" i="60"/>
  <c r="E47" i="60"/>
  <c r="E46" i="60" s="1"/>
  <c r="Y47" i="60"/>
  <c r="Y46" i="60" s="1"/>
  <c r="Y18" i="60" s="1"/>
  <c r="Y9" i="60" s="1"/>
  <c r="BY47" i="60"/>
  <c r="BY46" i="60" s="1"/>
  <c r="AB47" i="60"/>
  <c r="AB46" i="60" s="1"/>
  <c r="AB18" i="60" s="1"/>
  <c r="AB9" i="60" s="1"/>
  <c r="V47" i="60"/>
  <c r="V46" i="60" s="1"/>
  <c r="V18" i="60" s="1"/>
  <c r="V9" i="60" s="1"/>
  <c r="AC19" i="61"/>
  <c r="AC18" i="61" s="1"/>
  <c r="Z128" i="59"/>
  <c r="BO7" i="59"/>
  <c r="Z7" i="59" s="1"/>
  <c r="BO5" i="59" s="1"/>
  <c r="BY83" i="62"/>
  <c r="AP83" i="62"/>
  <c r="BY24" i="59"/>
  <c r="BY19" i="59" s="1"/>
  <c r="BY18" i="59" s="1"/>
  <c r="BY9" i="59" s="1"/>
  <c r="AP24" i="59"/>
  <c r="G79" i="64"/>
  <c r="I27" i="60"/>
  <c r="G28" i="60"/>
  <c r="G27" i="60" s="1"/>
  <c r="BB66" i="60"/>
  <c r="BB9" i="60"/>
  <c r="F41" i="60"/>
  <c r="T35" i="61"/>
  <c r="BZ35" i="61" s="1"/>
  <c r="AP124" i="62"/>
  <c r="C37" i="60"/>
  <c r="BZ87" i="64"/>
  <c r="BZ49" i="61"/>
  <c r="T21" i="61"/>
  <c r="BZ21" i="61" s="1"/>
  <c r="AO125" i="64"/>
  <c r="AJ125" i="64" s="1"/>
  <c r="AP125" i="64" s="1"/>
  <c r="N85" i="64"/>
  <c r="N84" i="64" s="1"/>
  <c r="Q84" i="64"/>
  <c r="Q68" i="64" s="1"/>
  <c r="BF67" i="64" s="1"/>
  <c r="AC57" i="61"/>
  <c r="AJ59" i="61"/>
  <c r="AP59" i="61" s="1"/>
  <c r="Q57" i="61"/>
  <c r="N62" i="61"/>
  <c r="BZ86" i="64"/>
  <c r="N59" i="60"/>
  <c r="N57" i="60" s="1"/>
  <c r="S57" i="60"/>
  <c r="S9" i="60" s="1"/>
  <c r="T18" i="59"/>
  <c r="T9" i="59" s="1"/>
  <c r="T51" i="61"/>
  <c r="BZ51" i="61" s="1"/>
  <c r="AO117" i="62"/>
  <c r="BW89" i="62"/>
  <c r="AJ117" i="62"/>
  <c r="AP117" i="62" s="1"/>
  <c r="N79" i="64"/>
  <c r="G64" i="61"/>
  <c r="H57" i="61"/>
  <c r="H9" i="61" s="1"/>
  <c r="BY125" i="62"/>
  <c r="AI125" i="62"/>
  <c r="I37" i="60"/>
  <c r="BZ47" i="59"/>
  <c r="BZ46" i="59" s="1"/>
  <c r="K128" i="59"/>
  <c r="N82" i="64"/>
  <c r="T31" i="61"/>
  <c r="BZ31" i="61" s="1"/>
  <c r="Q128" i="60"/>
  <c r="BF8" i="60"/>
  <c r="BZ20" i="59"/>
  <c r="BZ19" i="59" s="1"/>
  <c r="J128" i="59"/>
  <c r="T50" i="61"/>
  <c r="BZ50" i="61" s="1"/>
  <c r="AO122" i="64"/>
  <c r="AJ122" i="64" s="1"/>
  <c r="AP122" i="64" s="1"/>
  <c r="Q68" i="62"/>
  <c r="BF67" i="62" s="1"/>
  <c r="BC67" i="62" s="1"/>
  <c r="AO67" i="62" s="1"/>
  <c r="J128" i="60"/>
  <c r="AI126" i="64"/>
  <c r="BY126" i="64"/>
  <c r="K128" i="60"/>
  <c r="BS39" i="62"/>
  <c r="BR39" i="62" s="1"/>
  <c r="BS38" i="62"/>
  <c r="AO38" i="62" s="1"/>
  <c r="AJ38" i="62" s="1"/>
  <c r="BS49" i="64"/>
  <c r="BR49" i="64" s="1"/>
  <c r="AO49" i="64" s="1"/>
  <c r="AJ49" i="64" s="1"/>
  <c r="BS48" i="64"/>
  <c r="BR48" i="64" s="1"/>
  <c r="AO48" i="64" s="1"/>
  <c r="AJ48" i="64" s="1"/>
  <c r="BS51" i="64"/>
  <c r="BR51" i="64" s="1"/>
  <c r="AO51" i="64" s="1"/>
  <c r="AJ51" i="64" s="1"/>
  <c r="BS47" i="64"/>
  <c r="BS50" i="64"/>
  <c r="BR50" i="64" s="1"/>
  <c r="AO50" i="64" s="1"/>
  <c r="AJ50" i="64" s="1"/>
  <c r="BS52" i="64"/>
  <c r="BR52" i="64" s="1"/>
  <c r="AO52" i="64" s="1"/>
  <c r="AJ52" i="64" s="1"/>
  <c r="AP39" i="61"/>
  <c r="BY39" i="61"/>
  <c r="BY37" i="61" s="1"/>
  <c r="V39" i="61"/>
  <c r="V37" i="61" s="1"/>
  <c r="X39" i="61"/>
  <c r="X37" i="61" s="1"/>
  <c r="Y39" i="61"/>
  <c r="Y37" i="61" s="1"/>
  <c r="I39" i="61"/>
  <c r="G39" i="61" s="1"/>
  <c r="U39" i="61"/>
  <c r="C39" i="61"/>
  <c r="W39" i="61"/>
  <c r="W37" i="61" s="1"/>
  <c r="E39" i="61"/>
  <c r="E37" i="61" s="1"/>
  <c r="N61" i="61"/>
  <c r="R57" i="61"/>
  <c r="R9" i="61" s="1"/>
  <c r="C27" i="60"/>
  <c r="Z41" i="60"/>
  <c r="T42" i="60"/>
  <c r="BZ42" i="60" s="1"/>
  <c r="BZ41" i="60" s="1"/>
  <c r="G38" i="61"/>
  <c r="BZ38" i="60"/>
  <c r="T39" i="60"/>
  <c r="T37" i="60" s="1"/>
  <c r="BS9" i="61"/>
  <c r="AD66" i="61" s="1"/>
  <c r="G21" i="61"/>
  <c r="BZ79" i="64"/>
  <c r="X84" i="64"/>
  <c r="S57" i="61"/>
  <c r="N59" i="61"/>
  <c r="BY121" i="62"/>
  <c r="AI121" i="62"/>
  <c r="AA128" i="61"/>
  <c r="BP7" i="61"/>
  <c r="AA7" i="61" s="1"/>
  <c r="BP5" i="61" s="1"/>
  <c r="T42" i="61"/>
  <c r="BZ42" i="61" s="1"/>
  <c r="BZ41" i="61" s="1"/>
  <c r="Z41" i="61"/>
  <c r="AJ81" i="62"/>
  <c r="M128" i="59"/>
  <c r="Y80" i="64"/>
  <c r="U18" i="59"/>
  <c r="U9" i="59" s="1"/>
  <c r="T87" i="64"/>
  <c r="AJ87" i="64" s="1"/>
  <c r="K18" i="61"/>
  <c r="K9" i="61" s="1"/>
  <c r="X68" i="64"/>
  <c r="AO79" i="64"/>
  <c r="BZ58" i="60"/>
  <c r="BZ57" i="60" s="1"/>
  <c r="G37" i="60"/>
  <c r="T82" i="64"/>
  <c r="BY123" i="62"/>
  <c r="AI123" i="62"/>
  <c r="T88" i="64"/>
  <c r="AJ88" i="64" s="1"/>
  <c r="AP123" i="64"/>
  <c r="BY123" i="64"/>
  <c r="AI123" i="64"/>
  <c r="N68" i="62"/>
  <c r="BW80" i="64"/>
  <c r="AO80" i="64" s="1"/>
  <c r="AO82" i="64"/>
  <c r="BZ80" i="62"/>
  <c r="E84" i="64"/>
  <c r="E68" i="64" s="1"/>
  <c r="AD68" i="64"/>
  <c r="AJ18" i="58"/>
  <c r="B30" i="44"/>
  <c r="BW54" i="66"/>
  <c r="AO54" i="66" s="1"/>
  <c r="BW111" i="66"/>
  <c r="AO111" i="66" s="1"/>
  <c r="AJ111" i="66" s="1"/>
  <c r="B36" i="44"/>
  <c r="H87" i="66"/>
  <c r="B12" i="45"/>
  <c r="BR12" i="66"/>
  <c r="AO12" i="66" s="1"/>
  <c r="AJ12" i="66" s="1"/>
  <c r="B233" i="43"/>
  <c r="W48" i="66"/>
  <c r="G30" i="32"/>
  <c r="C9" i="39" s="1"/>
  <c r="BW114" i="66"/>
  <c r="B13" i="39"/>
  <c r="BW107" i="66"/>
  <c r="H79" i="66"/>
  <c r="B64" i="39"/>
  <c r="B85" i="39"/>
  <c r="H85" i="66"/>
  <c r="B11" i="44"/>
  <c r="BW103" i="66"/>
  <c r="AO103" i="66" s="1"/>
  <c r="AJ103" i="66" s="1"/>
  <c r="B16" i="44"/>
  <c r="I86" i="66"/>
  <c r="I84" i="66" s="1"/>
  <c r="F86" i="66"/>
  <c r="F84" i="66" s="1"/>
  <c r="F68" i="66" s="1"/>
  <c r="Y86" i="66"/>
  <c r="BW106" i="66"/>
  <c r="G205" i="32"/>
  <c r="E33" i="44" s="1"/>
  <c r="B54" i="44"/>
  <c r="BW110" i="66"/>
  <c r="B9" i="45"/>
  <c r="BR17" i="66"/>
  <c r="AO17" i="66" s="1"/>
  <c r="AJ17" i="66" s="1"/>
  <c r="B13" i="45"/>
  <c r="BR16" i="66"/>
  <c r="AO16" i="66" s="1"/>
  <c r="AJ16" i="66" s="1"/>
  <c r="B164" i="43"/>
  <c r="V38" i="66"/>
  <c r="U6" i="66"/>
  <c r="AT6" i="66"/>
  <c r="AO6" i="66" s="1"/>
  <c r="AB6" i="66"/>
  <c r="AA6" i="66"/>
  <c r="Z6" i="66"/>
  <c r="B22" i="41"/>
  <c r="AJ26" i="66"/>
  <c r="BR63" i="66"/>
  <c r="AO63" i="66" s="1"/>
  <c r="BY63" i="66" s="1"/>
  <c r="AJ106" i="66"/>
  <c r="B31" i="39"/>
  <c r="H81" i="66"/>
  <c r="B55" i="44"/>
  <c r="H88" i="66"/>
  <c r="B10" i="45"/>
  <c r="BR14" i="66"/>
  <c r="B12" i="39"/>
  <c r="BW116" i="66"/>
  <c r="B25" i="39"/>
  <c r="B46" i="39"/>
  <c r="B67" i="39"/>
  <c r="H83" i="66"/>
  <c r="B10" i="44"/>
  <c r="BW102" i="66"/>
  <c r="B15" i="44"/>
  <c r="X86" i="66"/>
  <c r="BW105" i="66"/>
  <c r="B8" i="45"/>
  <c r="BR38" i="66"/>
  <c r="B127" i="43"/>
  <c r="Y29" i="66"/>
  <c r="B10" i="39"/>
  <c r="BW113" i="66"/>
  <c r="G143" i="32"/>
  <c r="C82" i="39" s="1"/>
  <c r="B13" i="44"/>
  <c r="BW108" i="66"/>
  <c r="H86" i="66"/>
  <c r="B11" i="39"/>
  <c r="BW115" i="66"/>
  <c r="B28" i="39"/>
  <c r="B49" i="39"/>
  <c r="H82" i="66"/>
  <c r="B9" i="44"/>
  <c r="B14" i="44"/>
  <c r="BW104" i="66"/>
  <c r="B29" i="44"/>
  <c r="BW53" i="66"/>
  <c r="AC53" i="66"/>
  <c r="BW109" i="66"/>
  <c r="B11" i="45"/>
  <c r="BR15" i="66"/>
  <c r="AO15" i="66" s="1"/>
  <c r="AJ15" i="66" s="1"/>
  <c r="B8" i="40"/>
  <c r="BW99" i="66"/>
  <c r="AO99" i="66" s="1"/>
  <c r="AJ99" i="66" s="1"/>
  <c r="BW95" i="66"/>
  <c r="BW91" i="66"/>
  <c r="BW75" i="66"/>
  <c r="AO75" i="66" s="1"/>
  <c r="BW72" i="66"/>
  <c r="AO72" i="66" s="1"/>
  <c r="H72" i="66" s="1"/>
  <c r="BW98" i="66"/>
  <c r="BW93" i="66"/>
  <c r="AO93" i="66" s="1"/>
  <c r="AJ93" i="66" s="1"/>
  <c r="BW77" i="66"/>
  <c r="AO77" i="66" s="1"/>
  <c r="BW73" i="66"/>
  <c r="AO73" i="66" s="1"/>
  <c r="D26" i="32"/>
  <c r="BW97" i="66"/>
  <c r="BW92" i="66"/>
  <c r="BW76" i="66"/>
  <c r="AO76" i="66" s="1"/>
  <c r="BW71" i="66"/>
  <c r="BW96" i="66"/>
  <c r="BW74" i="66"/>
  <c r="AO74" i="66" s="1"/>
  <c r="BW100" i="66"/>
  <c r="BW94" i="66"/>
  <c r="AO94" i="66" s="1"/>
  <c r="AJ94" i="66" s="1"/>
  <c r="BW78" i="66"/>
  <c r="AO78" i="66" s="1"/>
  <c r="B166" i="43"/>
  <c r="X38" i="66"/>
  <c r="B179" i="43"/>
  <c r="AB39" i="66"/>
  <c r="B232" i="43"/>
  <c r="V48" i="66"/>
  <c r="V88" i="65"/>
  <c r="V84" i="65" s="1"/>
  <c r="K88" i="65"/>
  <c r="K84" i="65" s="1"/>
  <c r="U88" i="65"/>
  <c r="BW110" i="65"/>
  <c r="AO110" i="65" s="1"/>
  <c r="AJ110" i="65" s="1"/>
  <c r="AB88" i="65"/>
  <c r="AB84" i="65" s="1"/>
  <c r="M88" i="65"/>
  <c r="M84" i="65" s="1"/>
  <c r="D25" i="40"/>
  <c r="AB71" i="65"/>
  <c r="AO115" i="65"/>
  <c r="AJ115" i="65" s="1"/>
  <c r="AP115" i="65" s="1"/>
  <c r="AP17" i="65"/>
  <c r="BY17" i="65"/>
  <c r="AI17" i="65"/>
  <c r="AI11" i="65" s="1"/>
  <c r="AI9" i="65" s="1"/>
  <c r="F241" i="32"/>
  <c r="S88" i="65" s="1"/>
  <c r="BY103" i="65"/>
  <c r="AI103" i="65"/>
  <c r="AC46" i="65"/>
  <c r="AJ53" i="65"/>
  <c r="AO104" i="65"/>
  <c r="AJ104" i="65" s="1"/>
  <c r="AP104" i="65" s="1"/>
  <c r="BW107" i="65"/>
  <c r="H79" i="65"/>
  <c r="AO12" i="65"/>
  <c r="AJ12" i="65" s="1"/>
  <c r="H86" i="65"/>
  <c r="BW108" i="65"/>
  <c r="BR13" i="65"/>
  <c r="AO13" i="65" s="1"/>
  <c r="AJ13" i="65" s="1"/>
  <c r="AP13" i="65" s="1"/>
  <c r="AO14" i="65"/>
  <c r="AJ14" i="65" s="1"/>
  <c r="T6" i="65"/>
  <c r="AJ6" i="65" s="1"/>
  <c r="AO116" i="65"/>
  <c r="AJ116" i="65" s="1"/>
  <c r="AP116" i="65" s="1"/>
  <c r="AJ54" i="65"/>
  <c r="AD46" i="65"/>
  <c r="AD18" i="65" s="1"/>
  <c r="AD9" i="65" s="1"/>
  <c r="BW46" i="65"/>
  <c r="BW18" i="65" s="1"/>
  <c r="BW9" i="65" s="1"/>
  <c r="AH66" i="65" s="1"/>
  <c r="AO53" i="65"/>
  <c r="AI102" i="65"/>
  <c r="P16" i="65"/>
  <c r="AP16" i="65"/>
  <c r="BY16" i="65"/>
  <c r="BW112" i="65"/>
  <c r="AO113" i="65"/>
  <c r="AJ113" i="65" s="1"/>
  <c r="AP113" i="65" s="1"/>
  <c r="BY15" i="65"/>
  <c r="AP15" i="65"/>
  <c r="O15" i="65"/>
  <c r="N15" i="65" s="1"/>
  <c r="D23" i="40"/>
  <c r="U71" i="65"/>
  <c r="BY26" i="65"/>
  <c r="AP26" i="65"/>
  <c r="AO111" i="65"/>
  <c r="AJ111" i="65" s="1"/>
  <c r="AP111" i="65"/>
  <c r="AO109" i="65"/>
  <c r="AJ109" i="65" s="1"/>
  <c r="AP109" i="65" s="1"/>
  <c r="AI106" i="65"/>
  <c r="BY114" i="65"/>
  <c r="AI114" i="65"/>
  <c r="T19" i="33"/>
  <c r="R7" i="32"/>
  <c r="I3" i="43" s="1"/>
  <c r="BI7" i="58"/>
  <c r="AO7" i="58" s="1"/>
  <c r="U7" i="58"/>
  <c r="AW9" i="58"/>
  <c r="AW66" i="58"/>
  <c r="C7" i="58"/>
  <c r="AP41" i="58"/>
  <c r="R11" i="32"/>
  <c r="P3" i="41" s="1"/>
  <c r="R10" i="32"/>
  <c r="R14" i="32" s="1"/>
  <c r="I68" i="58"/>
  <c r="G69" i="58"/>
  <c r="R2" i="32"/>
  <c r="B11" i="40"/>
  <c r="D21" i="40"/>
  <c r="D20" i="40"/>
  <c r="D12" i="43"/>
  <c r="D65" i="32"/>
  <c r="D240" i="32"/>
  <c r="G145" i="32"/>
  <c r="C84" i="39" s="1"/>
  <c r="G173" i="32"/>
  <c r="E11" i="44" s="1"/>
  <c r="G60" i="32"/>
  <c r="C29" i="39" s="1"/>
  <c r="G208" i="32"/>
  <c r="E36" i="44" s="1"/>
  <c r="G202" i="32"/>
  <c r="E30" i="44" s="1"/>
  <c r="G91" i="32"/>
  <c r="C50" i="39" s="1"/>
  <c r="G207" i="32"/>
  <c r="E35" i="44" s="1"/>
  <c r="G238" i="32"/>
  <c r="E56" i="44" s="1"/>
  <c r="G235" i="32"/>
  <c r="E53" i="44" s="1"/>
  <c r="D14" i="44"/>
  <c r="G176" i="32"/>
  <c r="E14" i="44" s="1"/>
  <c r="I176" i="32"/>
  <c r="G14" i="44" s="1"/>
  <c r="F231" i="32"/>
  <c r="D54" i="44"/>
  <c r="G236" i="32"/>
  <c r="E54" i="44" s="1"/>
  <c r="I236" i="32"/>
  <c r="G54" i="44" s="1"/>
  <c r="D37" i="32"/>
  <c r="B14" i="39"/>
  <c r="B12" i="41"/>
  <c r="B69" i="39"/>
  <c r="D181" i="32"/>
  <c r="B17" i="44"/>
  <c r="D232" i="32"/>
  <c r="B50" i="44" s="1"/>
  <c r="B51" i="44"/>
  <c r="D665" i="32"/>
  <c r="B44" i="40" s="1"/>
  <c r="H271" i="32"/>
  <c r="BS37" i="64" s="1"/>
  <c r="D10" i="43"/>
  <c r="G281" i="32"/>
  <c r="E14" i="45" s="1"/>
  <c r="G89" i="32"/>
  <c r="C48" i="39" s="1"/>
  <c r="G62" i="32"/>
  <c r="C31" i="39" s="1"/>
  <c r="G233" i="32"/>
  <c r="E51" i="44" s="1"/>
  <c r="G119" i="32"/>
  <c r="C68" i="39" s="1"/>
  <c r="G34" i="32"/>
  <c r="C13" i="39" s="1"/>
  <c r="I34" i="32"/>
  <c r="D13" i="39" s="1"/>
  <c r="D12" i="45"/>
  <c r="G279" i="32"/>
  <c r="E12" i="45" s="1"/>
  <c r="I279" i="32"/>
  <c r="G12" i="45" s="1"/>
  <c r="D9" i="45"/>
  <c r="I276" i="32"/>
  <c r="G9" i="45" s="1"/>
  <c r="G276" i="32"/>
  <c r="E9" i="45" s="1"/>
  <c r="B6" i="41"/>
  <c r="B15" i="39"/>
  <c r="B14" i="41"/>
  <c r="B87" i="39"/>
  <c r="B16" i="41"/>
  <c r="B18" i="44"/>
  <c r="D638" i="32"/>
  <c r="D670" i="32"/>
  <c r="B49" i="40" s="1"/>
  <c r="D688" i="32"/>
  <c r="B67" i="40" s="1"/>
  <c r="H270" i="32"/>
  <c r="BS27" i="64" s="1"/>
  <c r="D9" i="43"/>
  <c r="I58" i="32"/>
  <c r="D27" i="39" s="1"/>
  <c r="D8" i="44"/>
  <c r="I170" i="32"/>
  <c r="G8" i="44" s="1"/>
  <c r="G116" i="32"/>
  <c r="C65" i="39" s="1"/>
  <c r="G171" i="32"/>
  <c r="E9" i="44" s="1"/>
  <c r="G179" i="32"/>
  <c r="E17" i="44" s="1"/>
  <c r="G88" i="32"/>
  <c r="C47" i="39" s="1"/>
  <c r="G146" i="32"/>
  <c r="C85" i="39" s="1"/>
  <c r="I29" i="32"/>
  <c r="D8" i="39" s="1"/>
  <c r="D170" i="32"/>
  <c r="B8" i="44" s="1"/>
  <c r="D13" i="44"/>
  <c r="G175" i="32"/>
  <c r="E13" i="44" s="1"/>
  <c r="I175" i="32"/>
  <c r="G13" i="44" s="1"/>
  <c r="D10" i="45"/>
  <c r="G277" i="32"/>
  <c r="E10" i="45" s="1"/>
  <c r="I277" i="32"/>
  <c r="G10" i="45" s="1"/>
  <c r="D8" i="45"/>
  <c r="G275" i="32"/>
  <c r="E8" i="45" s="1"/>
  <c r="I275" i="32"/>
  <c r="G8" i="45" s="1"/>
  <c r="B8" i="41"/>
  <c r="B33" i="39"/>
  <c r="B57" i="44"/>
  <c r="B20" i="41"/>
  <c r="D644" i="32"/>
  <c r="D698" i="32"/>
  <c r="B77" i="40" s="1"/>
  <c r="D32" i="44"/>
  <c r="I204" i="32"/>
  <c r="G32" i="44" s="1"/>
  <c r="H268" i="32"/>
  <c r="BS19" i="64" s="1"/>
  <c r="D7" i="43"/>
  <c r="H272" i="32"/>
  <c r="BS57" i="64" s="1"/>
  <c r="D11" i="43"/>
  <c r="I114" i="32"/>
  <c r="D63" i="39" s="1"/>
  <c r="G57" i="44"/>
  <c r="G20" i="41"/>
  <c r="G206" i="32"/>
  <c r="E34" i="44" s="1"/>
  <c r="G115" i="32"/>
  <c r="C64" i="39" s="1"/>
  <c r="G59" i="32"/>
  <c r="C28" i="39" s="1"/>
  <c r="G209" i="32"/>
  <c r="E37" i="44" s="1"/>
  <c r="G33" i="32"/>
  <c r="C12" i="39" s="1"/>
  <c r="F242" i="32"/>
  <c r="AD88" i="65" s="1"/>
  <c r="I240" i="32"/>
  <c r="D50" i="44"/>
  <c r="I232" i="32"/>
  <c r="G50" i="44" s="1"/>
  <c r="G172" i="32"/>
  <c r="E10" i="44" s="1"/>
  <c r="G63" i="32"/>
  <c r="C32" i="39" s="1"/>
  <c r="D13" i="45"/>
  <c r="I280" i="32"/>
  <c r="G13" i="45" s="1"/>
  <c r="G280" i="32"/>
  <c r="E13" i="45" s="1"/>
  <c r="D142" i="32"/>
  <c r="B81" i="39" s="1"/>
  <c r="B82" i="39"/>
  <c r="B18" i="41"/>
  <c r="B38" i="44"/>
  <c r="D682" i="32"/>
  <c r="B61" i="40" s="1"/>
  <c r="D149" i="32"/>
  <c r="D11" i="45"/>
  <c r="G278" i="32"/>
  <c r="E11" i="45" s="1"/>
  <c r="I278" i="32"/>
  <c r="G11" i="45" s="1"/>
  <c r="D29" i="32"/>
  <c r="B9" i="39"/>
  <c r="D58" i="32"/>
  <c r="B27" i="39" s="1"/>
  <c r="B30" i="39"/>
  <c r="D93" i="32"/>
  <c r="B10" i="41"/>
  <c r="B51" i="39"/>
  <c r="D204" i="32"/>
  <c r="B32" i="44" s="1"/>
  <c r="B33" i="44"/>
  <c r="D654" i="32"/>
  <c r="B33" i="40" s="1"/>
  <c r="D676" i="32"/>
  <c r="B55" i="40" s="1"/>
  <c r="I86" i="32"/>
  <c r="D45" i="39" s="1"/>
  <c r="I142" i="32"/>
  <c r="D81" i="39" s="1"/>
  <c r="H269" i="32"/>
  <c r="BS41" i="64" s="1"/>
  <c r="D8" i="43"/>
  <c r="G239" i="32"/>
  <c r="G234" i="32"/>
  <c r="E52" i="44" s="1"/>
  <c r="G147" i="32"/>
  <c r="C86" i="39" s="1"/>
  <c r="G117" i="32"/>
  <c r="C66" i="39" s="1"/>
  <c r="G87" i="32"/>
  <c r="C46" i="39" s="1"/>
  <c r="G32" i="32"/>
  <c r="C11" i="39" s="1"/>
  <c r="G90" i="32"/>
  <c r="C49" i="39" s="1"/>
  <c r="G31" i="32"/>
  <c r="C10" i="39" s="1"/>
  <c r="G237" i="32"/>
  <c r="E55" i="44" s="1"/>
  <c r="G118" i="32"/>
  <c r="C67" i="39" s="1"/>
  <c r="G201" i="32"/>
  <c r="E29" i="44" s="1"/>
  <c r="G144" i="32"/>
  <c r="C83" i="39" s="1"/>
  <c r="D260" i="32"/>
  <c r="D86" i="32"/>
  <c r="G86" i="32" s="1"/>
  <c r="C45" i="39" s="1"/>
  <c r="D114" i="32"/>
  <c r="B63" i="39" s="1"/>
  <c r="D95" i="32"/>
  <c r="D121" i="32"/>
  <c r="D174" i="32"/>
  <c r="D211" i="32"/>
  <c r="D684" i="32"/>
  <c r="B63" i="40" s="1"/>
  <c r="F44" i="32"/>
  <c r="C20" i="39" s="1"/>
  <c r="F304" i="32"/>
  <c r="C17" i="43" s="1"/>
  <c r="F333" i="32"/>
  <c r="C45" i="43" s="1"/>
  <c r="F343" i="32"/>
  <c r="C56" i="43" s="1"/>
  <c r="F35" i="32"/>
  <c r="F49" i="32"/>
  <c r="F48" i="32"/>
  <c r="C24" i="39" s="1"/>
  <c r="F42" i="32"/>
  <c r="C18" i="39" s="1"/>
  <c r="F41" i="32"/>
  <c r="C17" i="39" s="1"/>
  <c r="F338" i="32"/>
  <c r="C51" i="43" s="1"/>
  <c r="F342" i="32"/>
  <c r="C55" i="43" s="1"/>
  <c r="F282" i="32"/>
  <c r="F46" i="32"/>
  <c r="C22" i="39" s="1"/>
  <c r="F177" i="32"/>
  <c r="F314" i="32"/>
  <c r="C26" i="43" s="1"/>
  <c r="F334" i="32"/>
  <c r="C46" i="43" s="1"/>
  <c r="F341" i="32"/>
  <c r="C54" i="43" s="1"/>
  <c r="F312" i="32"/>
  <c r="C24" i="43" s="1"/>
  <c r="F331" i="32"/>
  <c r="C43" i="43" s="1"/>
  <c r="F45" i="32"/>
  <c r="C21" i="39" s="1"/>
  <c r="F309" i="32"/>
  <c r="C48" i="43" s="1"/>
  <c r="F43" i="32"/>
  <c r="C19" i="39" s="1"/>
  <c r="F178" i="32"/>
  <c r="F313" i="32"/>
  <c r="C25" i="43" s="1"/>
  <c r="F335" i="32"/>
  <c r="C47" i="43" s="1"/>
  <c r="F340" i="32"/>
  <c r="C53" i="43" s="1"/>
  <c r="D667" i="32"/>
  <c r="B46" i="40" s="1"/>
  <c r="D690" i="32"/>
  <c r="B69" i="40" s="1"/>
  <c r="D636" i="32"/>
  <c r="D642" i="32"/>
  <c r="D646" i="32"/>
  <c r="D652" i="32"/>
  <c r="B31" i="40" s="1"/>
  <c r="D657" i="32"/>
  <c r="B36" i="40" s="1"/>
  <c r="D662" i="32"/>
  <c r="B41" i="40" s="1"/>
  <c r="D668" i="32"/>
  <c r="B47" i="40" s="1"/>
  <c r="D673" i="32"/>
  <c r="B52" i="40" s="1"/>
  <c r="D680" i="32"/>
  <c r="B59" i="40" s="1"/>
  <c r="D686" i="32"/>
  <c r="B65" i="40" s="1"/>
  <c r="D692" i="32"/>
  <c r="B71" i="40" s="1"/>
  <c r="D696" i="32"/>
  <c r="B75" i="40" s="1"/>
  <c r="D640" i="32"/>
  <c r="B27" i="40" s="1"/>
  <c r="D651" i="32"/>
  <c r="B30" i="40" s="1"/>
  <c r="D661" i="32"/>
  <c r="B40" i="40" s="1"/>
  <c r="D678" i="32"/>
  <c r="B57" i="40" s="1"/>
  <c r="D695" i="32"/>
  <c r="B74" i="40" s="1"/>
  <c r="D637" i="32"/>
  <c r="B24" i="40" s="1"/>
  <c r="D643" i="32"/>
  <c r="D648" i="32"/>
  <c r="D653" i="32"/>
  <c r="B32" i="40" s="1"/>
  <c r="D659" i="32"/>
  <c r="B38" i="40" s="1"/>
  <c r="D663" i="32"/>
  <c r="B42" i="40" s="1"/>
  <c r="D669" i="32"/>
  <c r="B48" i="40" s="1"/>
  <c r="D675" i="32"/>
  <c r="B54" i="40" s="1"/>
  <c r="D681" i="32"/>
  <c r="B60" i="40" s="1"/>
  <c r="D687" i="32"/>
  <c r="B66" i="40" s="1"/>
  <c r="D693" i="32"/>
  <c r="B72" i="40" s="1"/>
  <c r="D697" i="32"/>
  <c r="B76" i="40" s="1"/>
  <c r="D635" i="32"/>
  <c r="B22" i="40" s="1"/>
  <c r="D645" i="32"/>
  <c r="D655" i="32"/>
  <c r="B34" i="40" s="1"/>
  <c r="D671" i="32"/>
  <c r="B50" i="40" s="1"/>
  <c r="D634" i="32"/>
  <c r="D650" i="32"/>
  <c r="B29" i="40" s="1"/>
  <c r="D660" i="32"/>
  <c r="B39" i="40" s="1"/>
  <c r="D694" i="32"/>
  <c r="B73" i="40" s="1"/>
  <c r="D151" i="32"/>
  <c r="J81" i="43"/>
  <c r="T451" i="32" s="1"/>
  <c r="E22" i="33" s="1"/>
  <c r="L81" i="43"/>
  <c r="V451" i="32" s="1"/>
  <c r="X18" i="60" l="1"/>
  <c r="X9" i="60" s="1"/>
  <c r="X128" i="60" s="1"/>
  <c r="BY117" i="62"/>
  <c r="BY89" i="62" s="1"/>
  <c r="S68" i="64"/>
  <c r="BH67" i="64" s="1"/>
  <c r="BC67" i="64" s="1"/>
  <c r="AO67" i="64" s="1"/>
  <c r="N80" i="64"/>
  <c r="AJ82" i="64"/>
  <c r="AP82" i="64" s="1"/>
  <c r="AJ79" i="64"/>
  <c r="BY79" i="64" s="1"/>
  <c r="AJ57" i="60"/>
  <c r="AP57" i="60" s="1"/>
  <c r="BZ27" i="60"/>
  <c r="E58" i="61"/>
  <c r="E57" i="61" s="1"/>
  <c r="V58" i="61"/>
  <c r="V57" i="61" s="1"/>
  <c r="U58" i="61"/>
  <c r="U57" i="61" s="1"/>
  <c r="E18" i="60"/>
  <c r="E9" i="60" s="1"/>
  <c r="E128" i="60" s="1"/>
  <c r="BY58" i="61"/>
  <c r="BY57" i="61" s="1"/>
  <c r="Y58" i="61"/>
  <c r="Y57" i="61" s="1"/>
  <c r="AB58" i="61"/>
  <c r="AB57" i="61" s="1"/>
  <c r="N9" i="60"/>
  <c r="X58" i="61"/>
  <c r="X57" i="61" s="1"/>
  <c r="I58" i="61"/>
  <c r="G58" i="61" s="1"/>
  <c r="G57" i="61" s="1"/>
  <c r="AC9" i="61"/>
  <c r="W1" i="45"/>
  <c r="Y1" i="41"/>
  <c r="R1" i="39"/>
  <c r="Y1" i="45"/>
  <c r="X1" i="44"/>
  <c r="P1" i="43"/>
  <c r="Y1" i="40"/>
  <c r="R3" i="32"/>
  <c r="BY87" i="64"/>
  <c r="AP87" i="64"/>
  <c r="AP79" i="64"/>
  <c r="Y128" i="60"/>
  <c r="BN7" i="60"/>
  <c r="Y7" i="60" s="1"/>
  <c r="BN5" i="60" s="1"/>
  <c r="AC69" i="60"/>
  <c r="BR10" i="60"/>
  <c r="BR9" i="60" s="1"/>
  <c r="AC66" i="60" s="1"/>
  <c r="BY82" i="64"/>
  <c r="S128" i="60"/>
  <c r="BH8" i="60"/>
  <c r="BC8" i="60" s="1"/>
  <c r="AO8" i="60" s="1"/>
  <c r="V128" i="60"/>
  <c r="BK7" i="60"/>
  <c r="V7" i="60" s="1"/>
  <c r="BK5" i="60" s="1"/>
  <c r="W128" i="60"/>
  <c r="BL7" i="60"/>
  <c r="W7" i="60" s="1"/>
  <c r="BL5" i="60" s="1"/>
  <c r="Y88" i="65"/>
  <c r="U128" i="59"/>
  <c r="BJ7" i="59"/>
  <c r="Z18" i="61"/>
  <c r="Z9" i="61" s="1"/>
  <c r="T41" i="61"/>
  <c r="N57" i="61"/>
  <c r="H5" i="32"/>
  <c r="R128" i="61"/>
  <c r="BG8" i="61"/>
  <c r="T39" i="61"/>
  <c r="BZ39" i="61" s="1"/>
  <c r="BZ37" i="61" s="1"/>
  <c r="U50" i="64"/>
  <c r="E50" i="64"/>
  <c r="X50" i="64"/>
  <c r="AB50" i="64"/>
  <c r="W50" i="64"/>
  <c r="C50" i="64"/>
  <c r="AP50" i="64"/>
  <c r="Y50" i="64"/>
  <c r="BY50" i="64"/>
  <c r="V50" i="64"/>
  <c r="I50" i="64"/>
  <c r="G50" i="64" s="1"/>
  <c r="AB49" i="64"/>
  <c r="BY49" i="64"/>
  <c r="U49" i="64"/>
  <c r="AP49" i="64"/>
  <c r="E49" i="64"/>
  <c r="H8" i="32"/>
  <c r="AI125" i="64"/>
  <c r="BY125" i="64"/>
  <c r="T47" i="60"/>
  <c r="T46" i="60" s="1"/>
  <c r="U46" i="60"/>
  <c r="U18" i="60" s="1"/>
  <c r="U9" i="60" s="1"/>
  <c r="AA44" i="62"/>
  <c r="F44" i="62"/>
  <c r="AP44" i="62"/>
  <c r="Z44" i="62"/>
  <c r="BY44" i="62"/>
  <c r="AC59" i="62"/>
  <c r="S59" i="62"/>
  <c r="C128" i="59"/>
  <c r="AR7" i="59"/>
  <c r="AJ9" i="59"/>
  <c r="I19" i="61"/>
  <c r="G20" i="61"/>
  <c r="G19" i="61" s="1"/>
  <c r="AJ32" i="61"/>
  <c r="N27" i="61"/>
  <c r="I57" i="61"/>
  <c r="S18" i="61"/>
  <c r="S9" i="61" s="1"/>
  <c r="AB22" i="62"/>
  <c r="AP22" i="62"/>
  <c r="BY22" i="62"/>
  <c r="U22" i="62"/>
  <c r="E22" i="62"/>
  <c r="BR47" i="62"/>
  <c r="BS46" i="62"/>
  <c r="BS18" i="62" s="1"/>
  <c r="AD129" i="62" s="1"/>
  <c r="AP51" i="62"/>
  <c r="E51" i="62"/>
  <c r="U51" i="62"/>
  <c r="I51" i="62"/>
  <c r="G51" i="62" s="1"/>
  <c r="W51" i="62"/>
  <c r="X51" i="62"/>
  <c r="AB51" i="62"/>
  <c r="Y51" i="62"/>
  <c r="V51" i="62"/>
  <c r="C51" i="62"/>
  <c r="BY51" i="62"/>
  <c r="AP86" i="62"/>
  <c r="BY86" i="62"/>
  <c r="BY84" i="62" s="1"/>
  <c r="AJ84" i="62"/>
  <c r="T84" i="64"/>
  <c r="U27" i="61"/>
  <c r="T28" i="61"/>
  <c r="T27" i="61" s="1"/>
  <c r="AO117" i="64"/>
  <c r="BW89" i="64"/>
  <c r="AW9" i="59"/>
  <c r="AW66" i="59"/>
  <c r="BR30" i="62"/>
  <c r="AO30" i="62" s="1"/>
  <c r="AJ30" i="62" s="1"/>
  <c r="AP33" i="62"/>
  <c r="AC33" i="62"/>
  <c r="BY33" i="62"/>
  <c r="BZ84" i="64"/>
  <c r="BS24" i="64"/>
  <c r="AO24" i="64" s="1"/>
  <c r="BS20" i="64"/>
  <c r="BR20" i="64" s="1"/>
  <c r="BS25" i="64"/>
  <c r="AO25" i="64" s="1"/>
  <c r="AJ25" i="64" s="1"/>
  <c r="BS21" i="64"/>
  <c r="BR21" i="64" s="1"/>
  <c r="AO21" i="64" s="1"/>
  <c r="AJ21" i="64" s="1"/>
  <c r="BS23" i="64"/>
  <c r="BR23" i="64" s="1"/>
  <c r="AO23" i="64" s="1"/>
  <c r="AJ23" i="64" s="1"/>
  <c r="BS22" i="64"/>
  <c r="AD128" i="64"/>
  <c r="BS66" i="64"/>
  <c r="BW68" i="64"/>
  <c r="AO68" i="64" s="1"/>
  <c r="Z18" i="60"/>
  <c r="Z9" i="60" s="1"/>
  <c r="T41" i="60"/>
  <c r="AJ41" i="60" s="1"/>
  <c r="AP41" i="60" s="1"/>
  <c r="G37" i="61"/>
  <c r="BR47" i="64"/>
  <c r="BS46" i="64"/>
  <c r="BS18" i="64" s="1"/>
  <c r="AD129" i="64" s="1"/>
  <c r="BY38" i="62"/>
  <c r="AP38" i="62"/>
  <c r="J38" i="62"/>
  <c r="J37" i="62" s="1"/>
  <c r="M38" i="62"/>
  <c r="M37" i="62" s="1"/>
  <c r="U38" i="62"/>
  <c r="I38" i="62"/>
  <c r="W38" i="62"/>
  <c r="Y38" i="62"/>
  <c r="E38" i="62"/>
  <c r="K38" i="62"/>
  <c r="K37" i="62" s="1"/>
  <c r="AB38" i="62"/>
  <c r="AB37" i="62" s="1"/>
  <c r="BY122" i="64"/>
  <c r="AI122" i="64"/>
  <c r="AP32" i="60"/>
  <c r="BY32" i="60"/>
  <c r="BY27" i="60" s="1"/>
  <c r="BY18" i="60" s="1"/>
  <c r="BY9" i="60" s="1"/>
  <c r="AA43" i="62"/>
  <c r="Z43" i="62"/>
  <c r="BY43" i="62"/>
  <c r="AP43" i="62"/>
  <c r="F43" i="62"/>
  <c r="AA64" i="62"/>
  <c r="AA57" i="62" s="1"/>
  <c r="E64" i="62"/>
  <c r="I64" i="62"/>
  <c r="M64" i="62"/>
  <c r="M57" i="62" s="1"/>
  <c r="K64" i="62"/>
  <c r="K57" i="62" s="1"/>
  <c r="V64" i="62"/>
  <c r="AB64" i="62"/>
  <c r="BY64" i="62"/>
  <c r="Q64" i="62"/>
  <c r="F64" i="62"/>
  <c r="F57" i="62" s="1"/>
  <c r="W64" i="62"/>
  <c r="Z64" i="62"/>
  <c r="Z57" i="62" s="1"/>
  <c r="C64" i="62"/>
  <c r="H64" i="62"/>
  <c r="X64" i="62"/>
  <c r="AP64" i="62"/>
  <c r="R64" i="62"/>
  <c r="Y64" i="62"/>
  <c r="S64" i="62"/>
  <c r="J64" i="62"/>
  <c r="U64" i="62"/>
  <c r="AI120" i="64"/>
  <c r="BY120" i="64"/>
  <c r="Y68" i="64"/>
  <c r="F18" i="61"/>
  <c r="F9" i="61" s="1"/>
  <c r="AJ41" i="61"/>
  <c r="AP41" i="61" s="1"/>
  <c r="C57" i="61"/>
  <c r="BY127" i="64"/>
  <c r="AI127" i="64"/>
  <c r="AX10" i="59"/>
  <c r="AV10" i="59" s="1"/>
  <c r="AO10" i="59" s="1"/>
  <c r="I69" i="59"/>
  <c r="X21" i="62"/>
  <c r="K21" i="62"/>
  <c r="K19" i="62" s="1"/>
  <c r="U21" i="62"/>
  <c r="V21" i="62"/>
  <c r="Y21" i="62"/>
  <c r="W21" i="62"/>
  <c r="M21" i="62"/>
  <c r="M19" i="62" s="1"/>
  <c r="AB21" i="62"/>
  <c r="I21" i="62"/>
  <c r="BY21" i="62"/>
  <c r="E21" i="62"/>
  <c r="J21" i="62"/>
  <c r="J19" i="62" s="1"/>
  <c r="AP21" i="62"/>
  <c r="W50" i="62"/>
  <c r="C50" i="62"/>
  <c r="AB50" i="62"/>
  <c r="I50" i="62"/>
  <c r="G50" i="62" s="1"/>
  <c r="E50" i="62"/>
  <c r="Y50" i="62"/>
  <c r="AP50" i="62"/>
  <c r="X50" i="62"/>
  <c r="U50" i="62"/>
  <c r="BY50" i="62"/>
  <c r="V50" i="62"/>
  <c r="AF52" i="62"/>
  <c r="AF46" i="62" s="1"/>
  <c r="AF18" i="62" s="1"/>
  <c r="AF9" i="62" s="1"/>
  <c r="BU5" i="62" s="1"/>
  <c r="AP52" i="62"/>
  <c r="BY52" i="62"/>
  <c r="W68" i="64"/>
  <c r="BB10" i="61"/>
  <c r="M69" i="61"/>
  <c r="M68" i="61" s="1"/>
  <c r="M66" i="61" s="1"/>
  <c r="I27" i="61"/>
  <c r="G28" i="61"/>
  <c r="G27" i="61" s="1"/>
  <c r="BY83" i="64"/>
  <c r="AP83" i="64"/>
  <c r="T27" i="60"/>
  <c r="AJ27" i="60" s="1"/>
  <c r="AP27" i="60" s="1"/>
  <c r="Q9" i="61"/>
  <c r="U31" i="62"/>
  <c r="E31" i="62"/>
  <c r="AP31" i="62"/>
  <c r="V31" i="62"/>
  <c r="Y31" i="62"/>
  <c r="C31" i="62"/>
  <c r="BY31" i="62"/>
  <c r="X31" i="62"/>
  <c r="AB31" i="62"/>
  <c r="I31" i="62"/>
  <c r="G31" i="62" s="1"/>
  <c r="W31" i="62"/>
  <c r="K29" i="62"/>
  <c r="K27" i="62" s="1"/>
  <c r="U29" i="62"/>
  <c r="M29" i="62"/>
  <c r="M27" i="62" s="1"/>
  <c r="V29" i="62"/>
  <c r="BY29" i="62"/>
  <c r="W29" i="62"/>
  <c r="AP29" i="62"/>
  <c r="AB29" i="62"/>
  <c r="I29" i="62"/>
  <c r="E29" i="62"/>
  <c r="J29" i="62"/>
  <c r="J27" i="62" s="1"/>
  <c r="X29" i="62"/>
  <c r="BS43" i="64"/>
  <c r="BR43" i="64" s="1"/>
  <c r="AO43" i="64" s="1"/>
  <c r="AJ43" i="64" s="1"/>
  <c r="BS42" i="64"/>
  <c r="BR42" i="64" s="1"/>
  <c r="BS44" i="64"/>
  <c r="BR44" i="64" s="1"/>
  <c r="AO44" i="64" s="1"/>
  <c r="AJ44" i="64" s="1"/>
  <c r="BS30" i="64"/>
  <c r="BR30" i="64" s="1"/>
  <c r="AO30" i="64" s="1"/>
  <c r="AJ30" i="64" s="1"/>
  <c r="BS32" i="64"/>
  <c r="AO32" i="64" s="1"/>
  <c r="BS28" i="64"/>
  <c r="BR28" i="64" s="1"/>
  <c r="BS29" i="64"/>
  <c r="BR29" i="64" s="1"/>
  <c r="AO29" i="64" s="1"/>
  <c r="AJ29" i="64" s="1"/>
  <c r="BS31" i="64"/>
  <c r="BR31" i="64" s="1"/>
  <c r="AO31" i="64" s="1"/>
  <c r="AJ31" i="64" s="1"/>
  <c r="BS34" i="64"/>
  <c r="BR34" i="64" s="1"/>
  <c r="AO34" i="64" s="1"/>
  <c r="AJ34" i="64" s="1"/>
  <c r="BS35" i="64"/>
  <c r="BR35" i="64" s="1"/>
  <c r="AO35" i="64" s="1"/>
  <c r="AJ35" i="64" s="1"/>
  <c r="BS33" i="64"/>
  <c r="AO33" i="64" s="1"/>
  <c r="AJ33" i="64" s="1"/>
  <c r="BS39" i="64"/>
  <c r="BR39" i="64" s="1"/>
  <c r="BS38" i="64"/>
  <c r="AO38" i="64" s="1"/>
  <c r="AJ38" i="64" s="1"/>
  <c r="AP88" i="64"/>
  <c r="BY88" i="64"/>
  <c r="AZ10" i="61"/>
  <c r="K69" i="61"/>
  <c r="K68" i="61" s="1"/>
  <c r="K66" i="61" s="1"/>
  <c r="I37" i="61"/>
  <c r="BY51" i="64"/>
  <c r="W51" i="64"/>
  <c r="C51" i="64"/>
  <c r="X51" i="64"/>
  <c r="Y51" i="64"/>
  <c r="V51" i="64"/>
  <c r="AP51" i="64"/>
  <c r="E51" i="64"/>
  <c r="U51" i="64"/>
  <c r="AB51" i="64"/>
  <c r="I51" i="64"/>
  <c r="G51" i="64" s="1"/>
  <c r="AO39" i="62"/>
  <c r="AJ39" i="62" s="1"/>
  <c r="BR37" i="62"/>
  <c r="AO37" i="62" s="1"/>
  <c r="H69" i="61"/>
  <c r="AW10" i="61"/>
  <c r="AI117" i="62"/>
  <c r="AJ89" i="62"/>
  <c r="N68" i="64"/>
  <c r="AJ37" i="60"/>
  <c r="AP37" i="60" s="1"/>
  <c r="AB128" i="60"/>
  <c r="BQ7" i="60"/>
  <c r="AB7" i="60" s="1"/>
  <c r="BQ5" i="60" s="1"/>
  <c r="C46" i="60"/>
  <c r="R61" i="62"/>
  <c r="AP61" i="62"/>
  <c r="BY61" i="62"/>
  <c r="AO58" i="62"/>
  <c r="AJ58" i="62" s="1"/>
  <c r="BR57" i="62"/>
  <c r="AO57" i="62" s="1"/>
  <c r="G84" i="64"/>
  <c r="AJ85" i="64"/>
  <c r="U19" i="61"/>
  <c r="T20" i="61"/>
  <c r="T19" i="61" s="1"/>
  <c r="J9" i="61"/>
  <c r="AO20" i="62"/>
  <c r="AJ20" i="62" s="1"/>
  <c r="S24" i="62"/>
  <c r="AC24" i="62"/>
  <c r="E49" i="62"/>
  <c r="AP49" i="62"/>
  <c r="AB49" i="62"/>
  <c r="U49" i="62"/>
  <c r="BY49" i="62"/>
  <c r="E3" i="39"/>
  <c r="AP86" i="64"/>
  <c r="BY86" i="64"/>
  <c r="BR18" i="61"/>
  <c r="C27" i="61"/>
  <c r="H66" i="60"/>
  <c r="H128" i="60"/>
  <c r="AP47" i="61"/>
  <c r="V47" i="61"/>
  <c r="V46" i="61" s="1"/>
  <c r="V18" i="61" s="1"/>
  <c r="V9" i="61" s="1"/>
  <c r="Y47" i="61"/>
  <c r="Y46" i="61" s="1"/>
  <c r="Y18" i="61" s="1"/>
  <c r="Y9" i="61" s="1"/>
  <c r="BY47" i="61"/>
  <c r="BY46" i="61" s="1"/>
  <c r="U47" i="61"/>
  <c r="I47" i="61"/>
  <c r="W47" i="61"/>
  <c r="W46" i="61" s="1"/>
  <c r="W18" i="61" s="1"/>
  <c r="W9" i="61" s="1"/>
  <c r="C47" i="61"/>
  <c r="X47" i="61"/>
  <c r="X46" i="61" s="1"/>
  <c r="X18" i="61" s="1"/>
  <c r="X9" i="61" s="1"/>
  <c r="E47" i="61"/>
  <c r="E46" i="61" s="1"/>
  <c r="E18" i="61" s="1"/>
  <c r="E9" i="61" s="1"/>
  <c r="AB47" i="61"/>
  <c r="AB46" i="61" s="1"/>
  <c r="AB18" i="61" s="1"/>
  <c r="U37" i="61"/>
  <c r="H3" i="44"/>
  <c r="S32" i="62"/>
  <c r="AC32" i="62"/>
  <c r="AO28" i="62"/>
  <c r="AJ28" i="62" s="1"/>
  <c r="BR27" i="62"/>
  <c r="AO27" i="62" s="1"/>
  <c r="BS62" i="64"/>
  <c r="BR62" i="64" s="1"/>
  <c r="AO62" i="64" s="1"/>
  <c r="AJ62" i="64" s="1"/>
  <c r="BS60" i="64"/>
  <c r="AO60" i="64" s="1"/>
  <c r="AJ60" i="64" s="1"/>
  <c r="BS61" i="64"/>
  <c r="BS58" i="64"/>
  <c r="BR58" i="64" s="1"/>
  <c r="BS59" i="64"/>
  <c r="BS64" i="64"/>
  <c r="BR64" i="64" s="1"/>
  <c r="AO64" i="64" s="1"/>
  <c r="AJ64" i="64" s="1"/>
  <c r="AP81" i="62"/>
  <c r="BY81" i="62"/>
  <c r="BY80" i="62" s="1"/>
  <c r="BY68" i="62" s="1"/>
  <c r="C37" i="61"/>
  <c r="AP52" i="64"/>
  <c r="BY52" i="64"/>
  <c r="AF52" i="64"/>
  <c r="AF46" i="64" s="1"/>
  <c r="AF18" i="64" s="1"/>
  <c r="AF9" i="64" s="1"/>
  <c r="BU5" i="64" s="1"/>
  <c r="AP48" i="64"/>
  <c r="AB48" i="64"/>
  <c r="I48" i="64"/>
  <c r="K48" i="64"/>
  <c r="K46" i="64" s="1"/>
  <c r="M48" i="64"/>
  <c r="M46" i="64" s="1"/>
  <c r="U48" i="64"/>
  <c r="J48" i="64"/>
  <c r="J46" i="64" s="1"/>
  <c r="X48" i="64"/>
  <c r="BY48" i="64"/>
  <c r="Y48" i="64"/>
  <c r="E48" i="64"/>
  <c r="BZ18" i="59"/>
  <c r="BZ9" i="59" s="1"/>
  <c r="P2" i="32" s="1"/>
  <c r="P3" i="32" s="1"/>
  <c r="P7" i="32"/>
  <c r="P11" i="32"/>
  <c r="P10" i="32"/>
  <c r="AO89" i="62"/>
  <c r="J16" i="32"/>
  <c r="BZ39" i="60"/>
  <c r="F18" i="60"/>
  <c r="F9" i="60" s="1"/>
  <c r="I46" i="60"/>
  <c r="I18" i="60" s="1"/>
  <c r="I9" i="60" s="1"/>
  <c r="G47" i="60"/>
  <c r="G46" i="60" s="1"/>
  <c r="G18" i="60" s="1"/>
  <c r="G9" i="60" s="1"/>
  <c r="BR41" i="62"/>
  <c r="AO41" i="62" s="1"/>
  <c r="AO42" i="62"/>
  <c r="AJ42" i="62" s="1"/>
  <c r="BY60" i="62"/>
  <c r="AC60" i="62"/>
  <c r="AP60" i="62"/>
  <c r="AP62" i="62"/>
  <c r="Q62" i="62"/>
  <c r="BY62" i="62"/>
  <c r="AP19" i="59"/>
  <c r="AJ18" i="59"/>
  <c r="AI124" i="64"/>
  <c r="BY124" i="64"/>
  <c r="C19" i="61"/>
  <c r="AP19" i="60"/>
  <c r="T80" i="64"/>
  <c r="T68" i="64" s="1"/>
  <c r="N19" i="61"/>
  <c r="N18" i="61" s="1"/>
  <c r="AJ24" i="61"/>
  <c r="BR23" i="62"/>
  <c r="AO23" i="62" s="1"/>
  <c r="AJ23" i="62" s="1"/>
  <c r="BY25" i="62"/>
  <c r="AC25" i="62"/>
  <c r="AP25" i="62"/>
  <c r="BY48" i="62"/>
  <c r="AP48" i="62"/>
  <c r="AB48" i="62"/>
  <c r="I48" i="62"/>
  <c r="K48" i="62"/>
  <c r="K46" i="62" s="1"/>
  <c r="Y48" i="62"/>
  <c r="U48" i="62"/>
  <c r="J48" i="62"/>
  <c r="J46" i="62" s="1"/>
  <c r="X48" i="62"/>
  <c r="M48" i="62"/>
  <c r="M46" i="62" s="1"/>
  <c r="E48" i="62"/>
  <c r="AJ81" i="64"/>
  <c r="AJ117" i="64"/>
  <c r="BY118" i="64"/>
  <c r="AI118" i="64"/>
  <c r="BZ80" i="64"/>
  <c r="AJ80" i="64"/>
  <c r="AP80" i="64" s="1"/>
  <c r="AP34" i="62"/>
  <c r="BY34" i="62"/>
  <c r="Q34" i="62"/>
  <c r="Y35" i="62"/>
  <c r="W35" i="62"/>
  <c r="AP35" i="62"/>
  <c r="X35" i="62"/>
  <c r="BY35" i="62"/>
  <c r="C35" i="62"/>
  <c r="AB35" i="62"/>
  <c r="U35" i="62"/>
  <c r="E35" i="62"/>
  <c r="V35" i="62"/>
  <c r="I35" i="62"/>
  <c r="G35" i="62" s="1"/>
  <c r="D66" i="32"/>
  <c r="Y81" i="66" s="1"/>
  <c r="V75" i="66"/>
  <c r="K75" i="66"/>
  <c r="G75" i="66" s="1"/>
  <c r="AE75" i="66"/>
  <c r="AB75" i="66"/>
  <c r="U74" i="66"/>
  <c r="E75" i="66"/>
  <c r="AC75" i="66"/>
  <c r="AC46" i="66"/>
  <c r="AJ53" i="66"/>
  <c r="BW101" i="66"/>
  <c r="AO102" i="66"/>
  <c r="AJ102" i="66" s="1"/>
  <c r="AP17" i="66"/>
  <c r="AI17" i="66"/>
  <c r="AI11" i="66" s="1"/>
  <c r="AI9" i="66" s="1"/>
  <c r="BY17" i="66"/>
  <c r="U88" i="66"/>
  <c r="AO106" i="66"/>
  <c r="AP106" i="66"/>
  <c r="AO107" i="66"/>
  <c r="AJ107" i="66" s="1"/>
  <c r="AP107" i="66" s="1"/>
  <c r="AP111" i="66"/>
  <c r="AI111" i="66"/>
  <c r="BY111" i="66"/>
  <c r="K78" i="66"/>
  <c r="V78" i="66"/>
  <c r="T78" i="66" s="1"/>
  <c r="AE78" i="66"/>
  <c r="I78" i="66"/>
  <c r="AC78" i="66"/>
  <c r="AO96" i="66"/>
  <c r="AJ96" i="66" s="1"/>
  <c r="AP96" i="66" s="1"/>
  <c r="AO97" i="66"/>
  <c r="AJ97" i="66" s="1"/>
  <c r="AP93" i="66"/>
  <c r="AI93" i="66"/>
  <c r="BY93" i="66"/>
  <c r="AO91" i="66"/>
  <c r="AJ91" i="66" s="1"/>
  <c r="BW90" i="66"/>
  <c r="BY15" i="66"/>
  <c r="O15" i="66"/>
  <c r="N15" i="66" s="1"/>
  <c r="AP15" i="66"/>
  <c r="BW46" i="66"/>
  <c r="BW18" i="66" s="1"/>
  <c r="BW9" i="66" s="1"/>
  <c r="AH66" i="66" s="1"/>
  <c r="AO53" i="66"/>
  <c r="AO105" i="66"/>
  <c r="AJ105" i="66" s="1"/>
  <c r="AP105" i="66" s="1"/>
  <c r="BY106" i="66"/>
  <c r="AI106" i="66"/>
  <c r="AP26" i="66"/>
  <c r="BY26" i="66"/>
  <c r="AB88" i="66"/>
  <c r="AB84" i="66" s="1"/>
  <c r="AP103" i="66"/>
  <c r="BY103" i="66"/>
  <c r="AI103" i="66"/>
  <c r="AO92" i="66"/>
  <c r="AJ92" i="66" s="1"/>
  <c r="AP92" i="66" s="1"/>
  <c r="D122" i="32"/>
  <c r="S83" i="66" s="1"/>
  <c r="D182" i="32"/>
  <c r="W86" i="66" s="1"/>
  <c r="T86" i="66" s="1"/>
  <c r="D38" i="32"/>
  <c r="S79" i="66" s="1"/>
  <c r="J79" i="66"/>
  <c r="G79" i="66" s="1"/>
  <c r="AP94" i="66"/>
  <c r="BY94" i="66"/>
  <c r="AI94" i="66"/>
  <c r="BW70" i="66"/>
  <c r="E71" i="66"/>
  <c r="AO71" i="66"/>
  <c r="AO98" i="66"/>
  <c r="AJ98" i="66" s="1"/>
  <c r="AP98" i="66" s="1"/>
  <c r="AO95" i="66"/>
  <c r="AJ95" i="66" s="1"/>
  <c r="AP95" i="66"/>
  <c r="AO108" i="66"/>
  <c r="AJ108" i="66" s="1"/>
  <c r="AP108" i="66" s="1"/>
  <c r="AO113" i="66"/>
  <c r="AJ113" i="66" s="1"/>
  <c r="AP113" i="66" s="1"/>
  <c r="BW112" i="66"/>
  <c r="BR13" i="66"/>
  <c r="AO14" i="66"/>
  <c r="AJ14" i="66" s="1"/>
  <c r="BY16" i="66"/>
  <c r="P16" i="66"/>
  <c r="AP16" i="66"/>
  <c r="K88" i="66"/>
  <c r="K84" i="66" s="1"/>
  <c r="AO110" i="66"/>
  <c r="AJ110" i="66" s="1"/>
  <c r="AO114" i="66"/>
  <c r="AJ114" i="66" s="1"/>
  <c r="AP114" i="66" s="1"/>
  <c r="Q12" i="66"/>
  <c r="AP12" i="66"/>
  <c r="BY12" i="66"/>
  <c r="B23" i="40"/>
  <c r="U71" i="66"/>
  <c r="D212" i="32"/>
  <c r="AC87" i="66" s="1"/>
  <c r="AC74" i="66"/>
  <c r="E74" i="66"/>
  <c r="K74" i="66"/>
  <c r="G74" i="66" s="1"/>
  <c r="V74" i="66"/>
  <c r="AE74" i="66"/>
  <c r="AB74" i="66"/>
  <c r="M77" i="66"/>
  <c r="L77" i="66"/>
  <c r="AC77" i="66"/>
  <c r="AE77" i="66"/>
  <c r="V77" i="66"/>
  <c r="T77" i="66" s="1"/>
  <c r="AO116" i="66"/>
  <c r="AJ116" i="66" s="1"/>
  <c r="AP116" i="66" s="1"/>
  <c r="D94" i="32"/>
  <c r="AC82" i="66" s="1"/>
  <c r="AD82" i="66"/>
  <c r="D150" i="32"/>
  <c r="AC85" i="66" s="1"/>
  <c r="AD85" i="66"/>
  <c r="B25" i="40"/>
  <c r="AB71" i="66"/>
  <c r="D242" i="32"/>
  <c r="AD88" i="66" s="1"/>
  <c r="AO100" i="66"/>
  <c r="AJ100" i="66" s="1"/>
  <c r="AI100" i="66" s="1"/>
  <c r="AE76" i="66"/>
  <c r="AC76" i="66"/>
  <c r="U75" i="66"/>
  <c r="V76" i="66"/>
  <c r="T76" i="66" s="1"/>
  <c r="K76" i="66"/>
  <c r="E73" i="66"/>
  <c r="V73" i="66"/>
  <c r="AC73" i="66"/>
  <c r="AE73" i="66"/>
  <c r="AB73" i="66"/>
  <c r="U73" i="66"/>
  <c r="M73" i="66"/>
  <c r="K73" i="66"/>
  <c r="H70" i="66"/>
  <c r="G72" i="66"/>
  <c r="AJ72" i="66" s="1"/>
  <c r="BZ72" i="66"/>
  <c r="AP99" i="66"/>
  <c r="AI99" i="66"/>
  <c r="AO109" i="66"/>
  <c r="AJ109" i="66" s="1"/>
  <c r="AO104" i="66"/>
  <c r="AJ104" i="66" s="1"/>
  <c r="AP104" i="66" s="1"/>
  <c r="AO115" i="66"/>
  <c r="AJ115" i="66" s="1"/>
  <c r="AP115" i="66" s="1"/>
  <c r="AC79" i="66"/>
  <c r="H80" i="66"/>
  <c r="T6" i="66"/>
  <c r="AJ6" i="66" s="1"/>
  <c r="M88" i="66"/>
  <c r="M84" i="66" s="1"/>
  <c r="V88" i="66"/>
  <c r="V84" i="66" s="1"/>
  <c r="H84" i="66"/>
  <c r="AJ54" i="66"/>
  <c r="AD46" i="66"/>
  <c r="AD18" i="66" s="1"/>
  <c r="AD9" i="66" s="1"/>
  <c r="H84" i="65"/>
  <c r="AO107" i="65"/>
  <c r="AJ107" i="65" s="1"/>
  <c r="AP107" i="65" s="1"/>
  <c r="BW105" i="65"/>
  <c r="X86" i="65"/>
  <c r="C25" i="39"/>
  <c r="BY109" i="65"/>
  <c r="AI109" i="65"/>
  <c r="AI113" i="65"/>
  <c r="BY113" i="65"/>
  <c r="BY112" i="65" s="1"/>
  <c r="AJ112" i="65"/>
  <c r="AI112" i="65" s="1"/>
  <c r="P11" i="65"/>
  <c r="P9" i="65" s="1"/>
  <c r="N16" i="65"/>
  <c r="BW66" i="65"/>
  <c r="AH68" i="65" s="1"/>
  <c r="AH86" i="65" s="1"/>
  <c r="AH84" i="65" s="1"/>
  <c r="BY116" i="65"/>
  <c r="AI116" i="65"/>
  <c r="O14" i="65"/>
  <c r="BY14" i="65"/>
  <c r="BY13" i="65" s="1"/>
  <c r="AP14" i="65"/>
  <c r="BR11" i="65"/>
  <c r="X88" i="65"/>
  <c r="T88" i="65" s="1"/>
  <c r="Q88" i="65"/>
  <c r="N88" i="65" s="1"/>
  <c r="BY115" i="65"/>
  <c r="AI115" i="65"/>
  <c r="F25" i="32"/>
  <c r="BW88" i="65"/>
  <c r="AO88" i="65" s="1"/>
  <c r="AO112" i="65"/>
  <c r="AP112" i="65"/>
  <c r="AP12" i="65"/>
  <c r="Q12" i="65"/>
  <c r="BY12" i="65"/>
  <c r="AJ11" i="65"/>
  <c r="AI104" i="65"/>
  <c r="BY104" i="65"/>
  <c r="W88" i="65"/>
  <c r="AP110" i="65"/>
  <c r="AI110" i="65"/>
  <c r="BY110" i="65"/>
  <c r="E88" i="65"/>
  <c r="I86" i="65"/>
  <c r="I84" i="65" s="1"/>
  <c r="BW106" i="65"/>
  <c r="Y86" i="65"/>
  <c r="F86" i="65"/>
  <c r="F84" i="65" s="1"/>
  <c r="F68" i="65" s="1"/>
  <c r="F26" i="32"/>
  <c r="BW98" i="65"/>
  <c r="BW94" i="65"/>
  <c r="BW91" i="65"/>
  <c r="BW97" i="65"/>
  <c r="BW93" i="65"/>
  <c r="BW78" i="65"/>
  <c r="AO78" i="65" s="1"/>
  <c r="BW75" i="65"/>
  <c r="AO75" i="65" s="1"/>
  <c r="BW96" i="65"/>
  <c r="BW74" i="65"/>
  <c r="AO74" i="65" s="1"/>
  <c r="BW95" i="65"/>
  <c r="BW72" i="65"/>
  <c r="AO72" i="65" s="1"/>
  <c r="H72" i="65" s="1"/>
  <c r="BW76" i="65"/>
  <c r="AO76" i="65" s="1"/>
  <c r="BW100" i="65"/>
  <c r="AO100" i="65" s="1"/>
  <c r="AJ100" i="65" s="1"/>
  <c r="BW92" i="65"/>
  <c r="BW77" i="65"/>
  <c r="BW73" i="65"/>
  <c r="AO73" i="65" s="1"/>
  <c r="BW71" i="65"/>
  <c r="BW99" i="65"/>
  <c r="BY111" i="65"/>
  <c r="AI111" i="65"/>
  <c r="BY54" i="65"/>
  <c r="AP54" i="65"/>
  <c r="AO108" i="65"/>
  <c r="AJ108" i="65" s="1"/>
  <c r="AP108" i="65" s="1"/>
  <c r="AP53" i="65"/>
  <c r="BY53" i="65"/>
  <c r="AC88" i="65"/>
  <c r="J88" i="65"/>
  <c r="G88" i="65" s="1"/>
  <c r="U84" i="65"/>
  <c r="BZ22" i="33"/>
  <c r="E19" i="33"/>
  <c r="P3" i="45"/>
  <c r="R15" i="32"/>
  <c r="S25" i="32" s="1"/>
  <c r="S26" i="32"/>
  <c r="R12" i="32" s="1"/>
  <c r="S12" i="32" s="1"/>
  <c r="AR5" i="58"/>
  <c r="T7" i="58"/>
  <c r="AJ7" i="58" s="1"/>
  <c r="AP7" i="58" s="1"/>
  <c r="BJ5" i="58"/>
  <c r="BI5" i="58" s="1"/>
  <c r="AJ69" i="58"/>
  <c r="AP69" i="58" s="1"/>
  <c r="G68" i="58"/>
  <c r="AJ68" i="58" s="1"/>
  <c r="AP68" i="58" s="1"/>
  <c r="I128" i="58"/>
  <c r="I66" i="58"/>
  <c r="S11" i="32"/>
  <c r="P4" i="41" s="1"/>
  <c r="S5" i="32"/>
  <c r="J4" i="39" s="1"/>
  <c r="S7" i="32"/>
  <c r="I4" i="43" s="1"/>
  <c r="S10" i="32"/>
  <c r="P4" i="45" s="1"/>
  <c r="S8" i="32"/>
  <c r="P4" i="44" s="1"/>
  <c r="B20" i="40"/>
  <c r="B21" i="40"/>
  <c r="D241" i="32"/>
  <c r="E88" i="66" s="1"/>
  <c r="G240" i="32"/>
  <c r="D231" i="32"/>
  <c r="D67" i="32"/>
  <c r="AD81" i="66" s="1"/>
  <c r="G232" i="32"/>
  <c r="E50" i="44" s="1"/>
  <c r="G114" i="32"/>
  <c r="C63" i="39" s="1"/>
  <c r="D123" i="32"/>
  <c r="AD83" i="66" s="1"/>
  <c r="D113" i="32"/>
  <c r="D141" i="32"/>
  <c r="D183" i="32"/>
  <c r="AD86" i="66" s="1"/>
  <c r="D15" i="44"/>
  <c r="G177" i="32"/>
  <c r="E15" i="44" s="1"/>
  <c r="I177" i="32"/>
  <c r="G15" i="44" s="1"/>
  <c r="D169" i="32"/>
  <c r="B12" i="44"/>
  <c r="G58" i="32"/>
  <c r="C27" i="39" s="1"/>
  <c r="D16" i="44"/>
  <c r="I178" i="32"/>
  <c r="G16" i="44" s="1"/>
  <c r="G178" i="32"/>
  <c r="E16" i="44" s="1"/>
  <c r="D49" i="44"/>
  <c r="I231" i="32"/>
  <c r="G49" i="44" s="1"/>
  <c r="D57" i="32"/>
  <c r="D39" i="32"/>
  <c r="G35" i="32"/>
  <c r="C14" i="39" s="1"/>
  <c r="I35" i="32"/>
  <c r="D14" i="39" s="1"/>
  <c r="D85" i="32"/>
  <c r="B45" i="39"/>
  <c r="D28" i="32"/>
  <c r="B8" i="39"/>
  <c r="G204" i="32"/>
  <c r="E32" i="44" s="1"/>
  <c r="G170" i="32"/>
  <c r="E8" i="44" s="1"/>
  <c r="D8" i="40"/>
  <c r="G282" i="32"/>
  <c r="E8" i="40" s="1"/>
  <c r="I282" i="32"/>
  <c r="G8" i="40" s="1"/>
  <c r="E20" i="41"/>
  <c r="E57" i="44"/>
  <c r="G142" i="32"/>
  <c r="C81" i="39" s="1"/>
  <c r="G29" i="32"/>
  <c r="C8" i="39" s="1"/>
  <c r="D203" i="32"/>
  <c r="D213" i="32"/>
  <c r="AD87" i="66" s="1"/>
  <c r="F174" i="32"/>
  <c r="F324" i="32"/>
  <c r="C36" i="43" s="1"/>
  <c r="F307" i="32"/>
  <c r="C20" i="43" s="1"/>
  <c r="F308" i="32"/>
  <c r="C21" i="43" s="1"/>
  <c r="F303" i="32"/>
  <c r="C16" i="43" s="1"/>
  <c r="F305" i="32"/>
  <c r="C18" i="43" s="1"/>
  <c r="F328" i="32"/>
  <c r="C40" i="43" s="1"/>
  <c r="F327" i="32"/>
  <c r="C39" i="43" s="1"/>
  <c r="F332" i="32"/>
  <c r="C44" i="43" s="1"/>
  <c r="F306" i="32"/>
  <c r="C19" i="43" s="1"/>
  <c r="L262" i="43"/>
  <c r="V632" i="32" s="1"/>
  <c r="T632" i="32"/>
  <c r="L254" i="43"/>
  <c r="V624" i="32" s="1"/>
  <c r="J254" i="43"/>
  <c r="T624" i="32" s="1"/>
  <c r="L247" i="43"/>
  <c r="V617" i="32" s="1"/>
  <c r="J247" i="43"/>
  <c r="T617" i="32" s="1"/>
  <c r="L238" i="43"/>
  <c r="V608" i="32" s="1"/>
  <c r="J238" i="43"/>
  <c r="T608" i="32" s="1"/>
  <c r="L230" i="43"/>
  <c r="V600" i="32" s="1"/>
  <c r="J230" i="43"/>
  <c r="T600" i="32" s="1"/>
  <c r="W514" i="32"/>
  <c r="K144" i="43"/>
  <c r="U514" i="32" s="1"/>
  <c r="W465" i="32"/>
  <c r="V538" i="32"/>
  <c r="T538" i="32"/>
  <c r="AT7" i="60" l="1"/>
  <c r="E7" i="60" s="1"/>
  <c r="AT5" i="60" s="1"/>
  <c r="BM7" i="60"/>
  <c r="X7" i="60" s="1"/>
  <c r="BM5" i="60" s="1"/>
  <c r="AC69" i="61"/>
  <c r="T58" i="61"/>
  <c r="T57" i="61" s="1"/>
  <c r="BZ47" i="60"/>
  <c r="BZ46" i="60" s="1"/>
  <c r="J85" i="66"/>
  <c r="G85" i="66" s="1"/>
  <c r="T75" i="66"/>
  <c r="BW126" i="66"/>
  <c r="W85" i="66"/>
  <c r="T85" i="66" s="1"/>
  <c r="BY117" i="64"/>
  <c r="BY89" i="64" s="1"/>
  <c r="Y85" i="66"/>
  <c r="X85" i="66"/>
  <c r="S82" i="66"/>
  <c r="Q87" i="66"/>
  <c r="N87" i="66" s="1"/>
  <c r="Y79" i="66"/>
  <c r="Q85" i="66"/>
  <c r="E85" i="66"/>
  <c r="Q79" i="66"/>
  <c r="N79" i="66" s="1"/>
  <c r="J83" i="66"/>
  <c r="G83" i="66" s="1"/>
  <c r="S85" i="66"/>
  <c r="Y82" i="66"/>
  <c r="BZ74" i="66"/>
  <c r="X79" i="66"/>
  <c r="Q83" i="66"/>
  <c r="T22" i="62"/>
  <c r="BZ22" i="62" s="1"/>
  <c r="BZ28" i="61"/>
  <c r="BZ27" i="61" s="1"/>
  <c r="T49" i="62"/>
  <c r="AC27" i="62"/>
  <c r="AB9" i="61"/>
  <c r="BQ7" i="61" s="1"/>
  <c r="AB7" i="61" s="1"/>
  <c r="BQ5" i="61" s="1"/>
  <c r="T37" i="61"/>
  <c r="AJ37" i="61" s="1"/>
  <c r="AP37" i="61" s="1"/>
  <c r="N9" i="61"/>
  <c r="BZ20" i="61"/>
  <c r="BZ19" i="61" s="1"/>
  <c r="T51" i="64"/>
  <c r="BZ51" i="64" s="1"/>
  <c r="T18" i="60"/>
  <c r="T9" i="60" s="1"/>
  <c r="T21" i="62"/>
  <c r="BZ21" i="62" s="1"/>
  <c r="T43" i="62"/>
  <c r="BZ43" i="62" s="1"/>
  <c r="N7" i="32"/>
  <c r="G3" i="43" s="1"/>
  <c r="T44" i="62"/>
  <c r="Q8" i="32"/>
  <c r="N4" i="44" s="1"/>
  <c r="Q5" i="32"/>
  <c r="H4" i="39" s="1"/>
  <c r="E128" i="61"/>
  <c r="AT7" i="61"/>
  <c r="E7" i="61" s="1"/>
  <c r="AT5" i="61" s="1"/>
  <c r="AP30" i="62"/>
  <c r="E30" i="62"/>
  <c r="U30" i="62"/>
  <c r="BY30" i="62"/>
  <c r="AB30" i="62"/>
  <c r="AB27" i="62" s="1"/>
  <c r="AB23" i="62"/>
  <c r="U23" i="62"/>
  <c r="W23" i="62"/>
  <c r="BY23" i="62"/>
  <c r="C23" i="62"/>
  <c r="V23" i="62"/>
  <c r="X23" i="62"/>
  <c r="I23" i="62"/>
  <c r="G23" i="62" s="1"/>
  <c r="AP23" i="62"/>
  <c r="Y23" i="62"/>
  <c r="E23" i="62"/>
  <c r="AX10" i="60"/>
  <c r="AV10" i="60" s="1"/>
  <c r="AO10" i="60" s="1"/>
  <c r="I69" i="60"/>
  <c r="W128" i="61"/>
  <c r="BL7" i="61"/>
  <c r="W7" i="61" s="1"/>
  <c r="BL5" i="61" s="1"/>
  <c r="Y128" i="61"/>
  <c r="BN7" i="61"/>
  <c r="Y7" i="61" s="1"/>
  <c r="BN5" i="61" s="1"/>
  <c r="G73" i="66"/>
  <c r="AJ73" i="66" s="1"/>
  <c r="X87" i="66"/>
  <c r="E83" i="66"/>
  <c r="W83" i="66"/>
  <c r="T35" i="62"/>
  <c r="BZ35" i="62" s="1"/>
  <c r="N34" i="62"/>
  <c r="Q27" i="62"/>
  <c r="Q18" i="62" s="1"/>
  <c r="AI117" i="64"/>
  <c r="AJ89" i="64"/>
  <c r="AJ19" i="61"/>
  <c r="Q57" i="62"/>
  <c r="N62" i="62"/>
  <c r="F128" i="60"/>
  <c r="AU7" i="60"/>
  <c r="F7" i="60" s="1"/>
  <c r="AU5" i="60" s="1"/>
  <c r="P14" i="32"/>
  <c r="Q26" i="32" s="1"/>
  <c r="P12" i="32" s="1"/>
  <c r="Q10" i="32"/>
  <c r="N4" i="45" s="1"/>
  <c r="N3" i="45"/>
  <c r="G48" i="64"/>
  <c r="BR59" i="64"/>
  <c r="AO59" i="64" s="1"/>
  <c r="Q62" i="64"/>
  <c r="BY62" i="64"/>
  <c r="AP62" i="64"/>
  <c r="C46" i="61"/>
  <c r="C18" i="61" s="1"/>
  <c r="C9" i="61" s="1"/>
  <c r="AO18" i="61"/>
  <c r="BR10" i="61"/>
  <c r="BR19" i="62"/>
  <c r="AY10" i="61"/>
  <c r="J69" i="61"/>
  <c r="J68" i="61" s="1"/>
  <c r="J66" i="61" s="1"/>
  <c r="AB58" i="62"/>
  <c r="AB57" i="62" s="1"/>
  <c r="U58" i="62"/>
  <c r="W58" i="62"/>
  <c r="W57" i="62" s="1"/>
  <c r="J58" i="62"/>
  <c r="J57" i="62" s="1"/>
  <c r="AP58" i="62"/>
  <c r="I58" i="62"/>
  <c r="Y58" i="62"/>
  <c r="Y57" i="62" s="1"/>
  <c r="X58" i="62"/>
  <c r="X57" i="62" s="1"/>
  <c r="V58" i="62"/>
  <c r="V57" i="62" s="1"/>
  <c r="C58" i="62"/>
  <c r="E58" i="62"/>
  <c r="E57" i="62" s="1"/>
  <c r="BY58" i="62"/>
  <c r="BY57" i="62" s="1"/>
  <c r="AJ46" i="60"/>
  <c r="AP46" i="60" s="1"/>
  <c r="W38" i="64"/>
  <c r="Y38" i="64"/>
  <c r="M38" i="64"/>
  <c r="M37" i="64" s="1"/>
  <c r="BY38" i="64"/>
  <c r="AB38" i="64"/>
  <c r="AB37" i="64" s="1"/>
  <c r="K38" i="64"/>
  <c r="K37" i="64" s="1"/>
  <c r="U38" i="64"/>
  <c r="AP38" i="64"/>
  <c r="I38" i="64"/>
  <c r="J38" i="64"/>
  <c r="J37" i="64" s="1"/>
  <c r="E38" i="64"/>
  <c r="AP34" i="64"/>
  <c r="BY34" i="64"/>
  <c r="Q34" i="64"/>
  <c r="AC32" i="64"/>
  <c r="S32" i="64"/>
  <c r="F43" i="64"/>
  <c r="AA43" i="64"/>
  <c r="BY43" i="64"/>
  <c r="AP43" i="64"/>
  <c r="Z43" i="64"/>
  <c r="G29" i="62"/>
  <c r="Q128" i="61"/>
  <c r="BF8" i="61"/>
  <c r="M128" i="61"/>
  <c r="G21" i="62"/>
  <c r="T38" i="62"/>
  <c r="AB21" i="64"/>
  <c r="I21" i="64"/>
  <c r="U21" i="64"/>
  <c r="AP21" i="64"/>
  <c r="BY21" i="64"/>
  <c r="J21" i="64"/>
  <c r="J19" i="64" s="1"/>
  <c r="Y21" i="64"/>
  <c r="V21" i="64"/>
  <c r="M21" i="64"/>
  <c r="M19" i="64" s="1"/>
  <c r="W21" i="64"/>
  <c r="X21" i="64"/>
  <c r="K21" i="64"/>
  <c r="K19" i="64" s="1"/>
  <c r="E21" i="64"/>
  <c r="AO89" i="64"/>
  <c r="H16" i="32"/>
  <c r="BS9" i="62"/>
  <c r="AD66" i="62" s="1"/>
  <c r="AJ59" i="62"/>
  <c r="AP59" i="62" s="1"/>
  <c r="AC57" i="62"/>
  <c r="BZ44" i="62"/>
  <c r="T49" i="64"/>
  <c r="BZ49" i="64" s="1"/>
  <c r="D3" i="39"/>
  <c r="U7" i="59"/>
  <c r="BI7" i="59"/>
  <c r="AO7" i="59" s="1"/>
  <c r="J87" i="66"/>
  <c r="G87" i="66" s="1"/>
  <c r="V128" i="61"/>
  <c r="BK7" i="61"/>
  <c r="V7" i="61" s="1"/>
  <c r="BK5" i="61" s="1"/>
  <c r="Z42" i="62"/>
  <c r="F42" i="62"/>
  <c r="BY42" i="62"/>
  <c r="BY41" i="62" s="1"/>
  <c r="AP42" i="62"/>
  <c r="AA42" i="62"/>
  <c r="AA41" i="62" s="1"/>
  <c r="AA18" i="62" s="1"/>
  <c r="AA9" i="62" s="1"/>
  <c r="Q11" i="32"/>
  <c r="N4" i="41" s="1"/>
  <c r="N3" i="41"/>
  <c r="T48" i="64"/>
  <c r="BZ48" i="64" s="1"/>
  <c r="AO58" i="64"/>
  <c r="AJ58" i="64" s="1"/>
  <c r="S27" i="62"/>
  <c r="N32" i="62"/>
  <c r="AW66" i="60"/>
  <c r="AW9" i="60"/>
  <c r="BZ49" i="62"/>
  <c r="V20" i="62"/>
  <c r="X20" i="62"/>
  <c r="X19" i="62" s="1"/>
  <c r="Y20" i="62"/>
  <c r="E20" i="62"/>
  <c r="E19" i="62" s="1"/>
  <c r="U20" i="62"/>
  <c r="C20" i="62"/>
  <c r="I20" i="62"/>
  <c r="BY20" i="62"/>
  <c r="AB20" i="62"/>
  <c r="W20" i="62"/>
  <c r="W19" i="62" s="1"/>
  <c r="AP20" i="62"/>
  <c r="AJ84" i="64"/>
  <c r="BY85" i="64"/>
  <c r="BY84" i="64" s="1"/>
  <c r="AP85" i="64"/>
  <c r="V39" i="62"/>
  <c r="V37" i="62" s="1"/>
  <c r="I39" i="62"/>
  <c r="G39" i="62" s="1"/>
  <c r="Y39" i="62"/>
  <c r="Y37" i="62" s="1"/>
  <c r="U39" i="62"/>
  <c r="C39" i="62"/>
  <c r="X39" i="62"/>
  <c r="X37" i="62" s="1"/>
  <c r="AP39" i="62"/>
  <c r="W39" i="62"/>
  <c r="BY39" i="62"/>
  <c r="BY37" i="62" s="1"/>
  <c r="E39" i="62"/>
  <c r="E37" i="62" s="1"/>
  <c r="K128" i="61"/>
  <c r="AO39" i="64"/>
  <c r="AJ39" i="64" s="1"/>
  <c r="BR37" i="64"/>
  <c r="AO37" i="64" s="1"/>
  <c r="X31" i="64"/>
  <c r="V31" i="64"/>
  <c r="W31" i="64"/>
  <c r="BY31" i="64"/>
  <c r="U31" i="64"/>
  <c r="AP31" i="64"/>
  <c r="I31" i="64"/>
  <c r="G31" i="64" s="1"/>
  <c r="AB31" i="64"/>
  <c r="Y31" i="64"/>
  <c r="C31" i="64"/>
  <c r="E31" i="64"/>
  <c r="E30" i="64"/>
  <c r="BY30" i="64"/>
  <c r="AB30" i="64"/>
  <c r="U30" i="64"/>
  <c r="AP30" i="64"/>
  <c r="I68" i="59"/>
  <c r="G69" i="59"/>
  <c r="F128" i="61"/>
  <c r="AU7" i="61"/>
  <c r="F7" i="61" s="1"/>
  <c r="AU5" i="61" s="1"/>
  <c r="M18" i="62"/>
  <c r="M9" i="62" s="1"/>
  <c r="BS9" i="64"/>
  <c r="AD66" i="64" s="1"/>
  <c r="Z128" i="60"/>
  <c r="BO7" i="60"/>
  <c r="Z7" i="60" s="1"/>
  <c r="BO5" i="60" s="1"/>
  <c r="AC25" i="64"/>
  <c r="BY25" i="64"/>
  <c r="AP25" i="64"/>
  <c r="AP117" i="64"/>
  <c r="T51" i="62"/>
  <c r="BZ51" i="62" s="1"/>
  <c r="AO47" i="62"/>
  <c r="AJ47" i="62" s="1"/>
  <c r="BR46" i="62"/>
  <c r="AO46" i="62" s="1"/>
  <c r="C7" i="59"/>
  <c r="AC129" i="60"/>
  <c r="AC68" i="60"/>
  <c r="BR66" i="60" s="1"/>
  <c r="BZ69" i="60"/>
  <c r="BZ68" i="60" s="1"/>
  <c r="T73" i="66"/>
  <c r="Q88" i="66"/>
  <c r="E87" i="66"/>
  <c r="Y83" i="66"/>
  <c r="Y80" i="66" s="1"/>
  <c r="J81" i="66"/>
  <c r="BY81" i="64"/>
  <c r="BY80" i="64" s="1"/>
  <c r="BY68" i="64" s="1"/>
  <c r="AP81" i="64"/>
  <c r="G48" i="62"/>
  <c r="BM7" i="61"/>
  <c r="X7" i="61" s="1"/>
  <c r="BM5" i="61" s="1"/>
  <c r="X128" i="61"/>
  <c r="AC129" i="61"/>
  <c r="AC68" i="61"/>
  <c r="BR66" i="61" s="1"/>
  <c r="BZ69" i="61"/>
  <c r="BZ68" i="61" s="1"/>
  <c r="Q7" i="32"/>
  <c r="H4" i="43" s="1"/>
  <c r="H3" i="43"/>
  <c r="BR61" i="64"/>
  <c r="BR57" i="64" s="1"/>
  <c r="AO57" i="64" s="1"/>
  <c r="G47" i="61"/>
  <c r="G46" i="61" s="1"/>
  <c r="G18" i="61" s="1"/>
  <c r="G9" i="61" s="1"/>
  <c r="I46" i="61"/>
  <c r="I18" i="61" s="1"/>
  <c r="I9" i="61" s="1"/>
  <c r="AJ27" i="61"/>
  <c r="AP27" i="61" s="1"/>
  <c r="AC19" i="62"/>
  <c r="BY33" i="64"/>
  <c r="AP33" i="64"/>
  <c r="AC33" i="64"/>
  <c r="W29" i="64"/>
  <c r="J29" i="64"/>
  <c r="J27" i="64" s="1"/>
  <c r="X29" i="64"/>
  <c r="AB29" i="64"/>
  <c r="V29" i="64"/>
  <c r="E29" i="64"/>
  <c r="K29" i="64"/>
  <c r="K27" i="64" s="1"/>
  <c r="U29" i="64"/>
  <c r="M29" i="64"/>
  <c r="M27" i="64" s="1"/>
  <c r="BY29" i="64"/>
  <c r="I29" i="64"/>
  <c r="AP29" i="64"/>
  <c r="Z44" i="64"/>
  <c r="AP44" i="64"/>
  <c r="AA44" i="64"/>
  <c r="BY44" i="64"/>
  <c r="F44" i="64"/>
  <c r="BB66" i="61"/>
  <c r="BB9" i="61"/>
  <c r="AJ57" i="61"/>
  <c r="AP57" i="61" s="1"/>
  <c r="H57" i="62"/>
  <c r="H9" i="62" s="1"/>
  <c r="G64" i="62"/>
  <c r="W37" i="62"/>
  <c r="J18" i="62"/>
  <c r="BR46" i="64"/>
  <c r="AO46" i="64" s="1"/>
  <c r="AO47" i="64"/>
  <c r="AJ47" i="64" s="1"/>
  <c r="BZ37" i="60"/>
  <c r="BR22" i="64"/>
  <c r="AO22" i="64" s="1"/>
  <c r="AJ22" i="64" s="1"/>
  <c r="AO20" i="64"/>
  <c r="AJ20" i="64" s="1"/>
  <c r="U128" i="60"/>
  <c r="BJ7" i="60"/>
  <c r="C18" i="60"/>
  <c r="C9" i="60" s="1"/>
  <c r="T48" i="62"/>
  <c r="BZ48" i="62" s="1"/>
  <c r="BY24" i="61"/>
  <c r="BY19" i="61" s="1"/>
  <c r="AP24" i="61"/>
  <c r="W64" i="64"/>
  <c r="Z64" i="64"/>
  <c r="Z57" i="64" s="1"/>
  <c r="C64" i="64"/>
  <c r="H64" i="64"/>
  <c r="K64" i="64"/>
  <c r="K57" i="64" s="1"/>
  <c r="AP64" i="64"/>
  <c r="Q64" i="64"/>
  <c r="F64" i="64"/>
  <c r="F57" i="64" s="1"/>
  <c r="E64" i="64"/>
  <c r="M64" i="64"/>
  <c r="M57" i="64" s="1"/>
  <c r="R64" i="64"/>
  <c r="V64" i="64"/>
  <c r="Y64" i="64"/>
  <c r="AB64" i="64"/>
  <c r="S64" i="64"/>
  <c r="J64" i="64"/>
  <c r="U64" i="64"/>
  <c r="AA64" i="64"/>
  <c r="AA57" i="64" s="1"/>
  <c r="I64" i="64"/>
  <c r="X64" i="64"/>
  <c r="BY64" i="64"/>
  <c r="AC60" i="64"/>
  <c r="AP60" i="64"/>
  <c r="BY60" i="64"/>
  <c r="X28" i="62"/>
  <c r="X27" i="62" s="1"/>
  <c r="V28" i="62"/>
  <c r="V27" i="62" s="1"/>
  <c r="Y28" i="62"/>
  <c r="Y27" i="62" s="1"/>
  <c r="E28" i="62"/>
  <c r="I28" i="62"/>
  <c r="C28" i="62"/>
  <c r="AP28" i="62"/>
  <c r="W28" i="62"/>
  <c r="W27" i="62" s="1"/>
  <c r="BY28" i="62"/>
  <c r="U28" i="62"/>
  <c r="T47" i="61"/>
  <c r="T46" i="61" s="1"/>
  <c r="U46" i="61"/>
  <c r="U18" i="61" s="1"/>
  <c r="U9" i="61" s="1"/>
  <c r="N24" i="62"/>
  <c r="S19" i="62"/>
  <c r="R57" i="62"/>
  <c r="R9" i="62" s="1"/>
  <c r="N61" i="62"/>
  <c r="AP89" i="62"/>
  <c r="AI89" i="62"/>
  <c r="H68" i="61"/>
  <c r="AZ9" i="61"/>
  <c r="AZ66" i="61"/>
  <c r="BY35" i="64"/>
  <c r="AP35" i="64"/>
  <c r="C35" i="64"/>
  <c r="I35" i="64"/>
  <c r="G35" i="64" s="1"/>
  <c r="V35" i="64"/>
  <c r="X35" i="64"/>
  <c r="Y35" i="64"/>
  <c r="E35" i="64"/>
  <c r="AB35" i="64"/>
  <c r="U35" i="64"/>
  <c r="W35" i="64"/>
  <c r="AO28" i="64"/>
  <c r="AJ28" i="64" s="1"/>
  <c r="BR27" i="64"/>
  <c r="AO27" i="64" s="1"/>
  <c r="BR41" i="64"/>
  <c r="AO41" i="64" s="1"/>
  <c r="AO42" i="64"/>
  <c r="AJ42" i="64" s="1"/>
  <c r="T29" i="62"/>
  <c r="BZ29" i="62" s="1"/>
  <c r="T31" i="62"/>
  <c r="BZ31" i="62" s="1"/>
  <c r="T50" i="62"/>
  <c r="BZ50" i="62" s="1"/>
  <c r="K18" i="62"/>
  <c r="K9" i="62" s="1"/>
  <c r="BZ58" i="61"/>
  <c r="BZ57" i="61" s="1"/>
  <c r="T64" i="62"/>
  <c r="BZ64" i="62" s="1"/>
  <c r="N64" i="62"/>
  <c r="G38" i="62"/>
  <c r="I23" i="64"/>
  <c r="G23" i="64" s="1"/>
  <c r="V23" i="64"/>
  <c r="U23" i="64"/>
  <c r="X23" i="64"/>
  <c r="BY23" i="64"/>
  <c r="Y23" i="64"/>
  <c r="W23" i="64"/>
  <c r="E23" i="64"/>
  <c r="AP23" i="64"/>
  <c r="AB23" i="64"/>
  <c r="C23" i="64"/>
  <c r="AC24" i="64"/>
  <c r="S24" i="64"/>
  <c r="S128" i="61"/>
  <c r="BH8" i="61"/>
  <c r="AP32" i="61"/>
  <c r="BY32" i="61"/>
  <c r="BY27" i="61" s="1"/>
  <c r="S57" i="62"/>
  <c r="N59" i="62"/>
  <c r="F3" i="44"/>
  <c r="T50" i="64"/>
  <c r="BZ50" i="64" s="1"/>
  <c r="Z128" i="61"/>
  <c r="BO7" i="61"/>
  <c r="Z7" i="61" s="1"/>
  <c r="BO5" i="61" s="1"/>
  <c r="AC128" i="60"/>
  <c r="BZ10" i="60"/>
  <c r="S19" i="32"/>
  <c r="AO126" i="66"/>
  <c r="AJ126" i="66" s="1"/>
  <c r="AP126" i="66" s="1"/>
  <c r="BY72" i="66"/>
  <c r="AP72" i="66"/>
  <c r="BW125" i="66"/>
  <c r="AO125" i="66" s="1"/>
  <c r="BW127" i="66"/>
  <c r="AD79" i="66"/>
  <c r="BY97" i="66"/>
  <c r="AI97" i="66"/>
  <c r="G78" i="66"/>
  <c r="AJ78" i="66" s="1"/>
  <c r="I70" i="66"/>
  <c r="BZ78" i="66"/>
  <c r="U84" i="66"/>
  <c r="AD80" i="66"/>
  <c r="D20" i="32"/>
  <c r="BW82" i="66"/>
  <c r="D19" i="32"/>
  <c r="BW81" i="66"/>
  <c r="AO81" i="66" s="1"/>
  <c r="D23" i="32"/>
  <c r="BW86" i="66"/>
  <c r="AO86" i="66" s="1"/>
  <c r="BZ73" i="66"/>
  <c r="X88" i="66"/>
  <c r="AB70" i="66"/>
  <c r="AB68" i="66" s="1"/>
  <c r="N85" i="66"/>
  <c r="BZ85" i="66"/>
  <c r="E82" i="66"/>
  <c r="Q82" i="66"/>
  <c r="S87" i="66"/>
  <c r="AC88" i="66"/>
  <c r="AI108" i="66"/>
  <c r="BY108" i="66"/>
  <c r="AI98" i="66"/>
  <c r="BY98" i="66"/>
  <c r="BW124" i="66"/>
  <c r="AO124" i="66" s="1"/>
  <c r="BW122" i="66"/>
  <c r="AO122" i="66" s="1"/>
  <c r="BW118" i="66"/>
  <c r="Q86" i="66"/>
  <c r="BY105" i="66"/>
  <c r="AI105" i="66"/>
  <c r="BW66" i="66"/>
  <c r="AH68" i="66" s="1"/>
  <c r="AH86" i="66" s="1"/>
  <c r="AH84" i="66" s="1"/>
  <c r="AO90" i="66"/>
  <c r="BY96" i="66"/>
  <c r="AI96" i="66"/>
  <c r="BY107" i="66"/>
  <c r="AI107" i="66"/>
  <c r="AP102" i="66"/>
  <c r="AI102" i="66"/>
  <c r="AJ101" i="66"/>
  <c r="AI101" i="66" s="1"/>
  <c r="S81" i="66"/>
  <c r="X81" i="66"/>
  <c r="AC86" i="66"/>
  <c r="B31" i="44"/>
  <c r="BW87" i="66"/>
  <c r="AO87" i="66" s="1"/>
  <c r="D24" i="32"/>
  <c r="X84" i="66"/>
  <c r="BZ87" i="66"/>
  <c r="Q11" i="66"/>
  <c r="N12" i="66"/>
  <c r="BW119" i="66"/>
  <c r="G81" i="66"/>
  <c r="G76" i="66"/>
  <c r="AJ76" i="66" s="1"/>
  <c r="BZ76" i="66"/>
  <c r="Y88" i="66"/>
  <c r="W88" i="66"/>
  <c r="AD84" i="66"/>
  <c r="W82" i="66"/>
  <c r="J82" i="66"/>
  <c r="G82" i="66" s="1"/>
  <c r="AI116" i="66"/>
  <c r="BY116" i="66"/>
  <c r="G77" i="66"/>
  <c r="AJ77" i="66" s="1"/>
  <c r="L70" i="66"/>
  <c r="BZ77" i="66"/>
  <c r="AI114" i="66"/>
  <c r="BY114" i="66"/>
  <c r="AP14" i="66"/>
  <c r="O14" i="66"/>
  <c r="BY14" i="66"/>
  <c r="BY13" i="66" s="1"/>
  <c r="BY11" i="66" s="1"/>
  <c r="AO112" i="66"/>
  <c r="M71" i="66"/>
  <c r="M70" i="66" s="1"/>
  <c r="V71" i="66"/>
  <c r="V70" i="66" s="1"/>
  <c r="V68" i="66" s="1"/>
  <c r="K71" i="66"/>
  <c r="AE71" i="66"/>
  <c r="AE70" i="66" s="1"/>
  <c r="AC71" i="66"/>
  <c r="AC70" i="66" s="1"/>
  <c r="BW123" i="66"/>
  <c r="AO123" i="66" s="1"/>
  <c r="AJ123" i="66" s="1"/>
  <c r="J86" i="66"/>
  <c r="G86" i="66" s="1"/>
  <c r="S86" i="66"/>
  <c r="BZ83" i="66"/>
  <c r="N83" i="66"/>
  <c r="BY91" i="66"/>
  <c r="AI91" i="66"/>
  <c r="AJ90" i="66"/>
  <c r="AO101" i="66"/>
  <c r="AJ75" i="66"/>
  <c r="BZ75" i="66"/>
  <c r="E81" i="66"/>
  <c r="Q81" i="66"/>
  <c r="AC83" i="66"/>
  <c r="B49" i="44"/>
  <c r="D25" i="32"/>
  <c r="BW88" i="66"/>
  <c r="AO88" i="66" s="1"/>
  <c r="BY109" i="66"/>
  <c r="AI109" i="66"/>
  <c r="BY110" i="66"/>
  <c r="AI110" i="66"/>
  <c r="AO70" i="66"/>
  <c r="E86" i="66"/>
  <c r="BW85" i="66"/>
  <c r="D22" i="32"/>
  <c r="AI104" i="66"/>
  <c r="BY104" i="66"/>
  <c r="BY101" i="66" s="1"/>
  <c r="D18" i="32"/>
  <c r="BW79" i="66"/>
  <c r="AO79" i="66" s="1"/>
  <c r="BW83" i="66"/>
  <c r="AO83" i="66" s="1"/>
  <c r="D21" i="32"/>
  <c r="AP54" i="66"/>
  <c r="BY54" i="66"/>
  <c r="BY115" i="66"/>
  <c r="AI115" i="66"/>
  <c r="AP109" i="66"/>
  <c r="AP100" i="66"/>
  <c r="J88" i="66"/>
  <c r="G88" i="66" s="1"/>
  <c r="S88" i="66"/>
  <c r="N88" i="66" s="1"/>
  <c r="X82" i="66"/>
  <c r="W87" i="66"/>
  <c r="Y87" i="66"/>
  <c r="Y84" i="66" s="1"/>
  <c r="U70" i="66"/>
  <c r="T71" i="66"/>
  <c r="AP110" i="66"/>
  <c r="P11" i="66"/>
  <c r="P9" i="66" s="1"/>
  <c r="N16" i="66"/>
  <c r="BR11" i="66"/>
  <c r="AO13" i="66"/>
  <c r="AJ13" i="66" s="1"/>
  <c r="BY113" i="66"/>
  <c r="AI113" i="66"/>
  <c r="AJ112" i="66"/>
  <c r="AI112" i="66" s="1"/>
  <c r="AI95" i="66"/>
  <c r="BY95" i="66"/>
  <c r="E70" i="66"/>
  <c r="BW120" i="66"/>
  <c r="BW121" i="66"/>
  <c r="W79" i="66"/>
  <c r="E79" i="66"/>
  <c r="X83" i="66"/>
  <c r="AI92" i="66"/>
  <c r="BY92" i="66"/>
  <c r="AC81" i="66"/>
  <c r="AP91" i="66"/>
  <c r="AP97" i="66"/>
  <c r="AP53" i="66"/>
  <c r="BY53" i="66"/>
  <c r="T74" i="66"/>
  <c r="AJ74" i="66" s="1"/>
  <c r="W81" i="66"/>
  <c r="E73" i="65"/>
  <c r="BZ73" i="65" s="1"/>
  <c r="M73" i="65"/>
  <c r="U73" i="65"/>
  <c r="K73" i="65"/>
  <c r="G73" i="65" s="1"/>
  <c r="AC73" i="65"/>
  <c r="AE73" i="65"/>
  <c r="V73" i="65"/>
  <c r="AB73" i="65"/>
  <c r="AO96" i="65"/>
  <c r="AJ96" i="65" s="1"/>
  <c r="AP96" i="65" s="1"/>
  <c r="BW70" i="65"/>
  <c r="AO77" i="65"/>
  <c r="H70" i="65"/>
  <c r="G72" i="65"/>
  <c r="AJ72" i="65" s="1"/>
  <c r="BZ72" i="65"/>
  <c r="AC75" i="65"/>
  <c r="E75" i="65"/>
  <c r="AE75" i="65"/>
  <c r="V75" i="65"/>
  <c r="K75" i="65"/>
  <c r="G75" i="65" s="1"/>
  <c r="AB75" i="65"/>
  <c r="U74" i="65"/>
  <c r="BW90" i="65"/>
  <c r="AO91" i="65"/>
  <c r="AJ91" i="65" s="1"/>
  <c r="AJ88" i="65"/>
  <c r="BZ88" i="65"/>
  <c r="AO11" i="65"/>
  <c r="BY107" i="65"/>
  <c r="AI107" i="65"/>
  <c r="AO99" i="65"/>
  <c r="AJ99" i="65" s="1"/>
  <c r="AI99" i="65" s="1"/>
  <c r="AO92" i="65"/>
  <c r="AJ92" i="65" s="1"/>
  <c r="AP92" i="65" s="1"/>
  <c r="AO95" i="65"/>
  <c r="AJ95" i="65" s="1"/>
  <c r="AP95" i="65" s="1"/>
  <c r="K78" i="65"/>
  <c r="V78" i="65"/>
  <c r="T78" i="65" s="1"/>
  <c r="AE78" i="65"/>
  <c r="I78" i="65"/>
  <c r="AC78" i="65"/>
  <c r="AO94" i="65"/>
  <c r="AJ94" i="65" s="1"/>
  <c r="BY11" i="65"/>
  <c r="P128" i="65"/>
  <c r="BE8" i="65"/>
  <c r="AC76" i="65"/>
  <c r="K76" i="65"/>
  <c r="AE76" i="65"/>
  <c r="V76" i="65"/>
  <c r="T76" i="65" s="1"/>
  <c r="U75" i="65"/>
  <c r="AO97" i="65"/>
  <c r="AJ97" i="65" s="1"/>
  <c r="AP97" i="65" s="1"/>
  <c r="N14" i="65"/>
  <c r="N13" i="65" s="1"/>
  <c r="O13" i="65"/>
  <c r="O11" i="65" s="1"/>
  <c r="O9" i="65" s="1"/>
  <c r="AI108" i="65"/>
  <c r="BY108" i="65"/>
  <c r="E71" i="65"/>
  <c r="AO71" i="65"/>
  <c r="AP100" i="65"/>
  <c r="AI100" i="65"/>
  <c r="AE74" i="65"/>
  <c r="E74" i="65"/>
  <c r="V74" i="65"/>
  <c r="AC74" i="65"/>
  <c r="AB74" i="65"/>
  <c r="K74" i="65"/>
  <c r="G74" i="65" s="1"/>
  <c r="AO93" i="65"/>
  <c r="AJ93" i="65" s="1"/>
  <c r="AP93" i="65" s="1"/>
  <c r="AO98" i="65"/>
  <c r="AJ98" i="65" s="1"/>
  <c r="AP106" i="65"/>
  <c r="AO106" i="65"/>
  <c r="BY106" i="65"/>
  <c r="Q11" i="65"/>
  <c r="N12" i="65"/>
  <c r="BW5" i="65"/>
  <c r="AO105" i="65"/>
  <c r="AJ105" i="65" s="1"/>
  <c r="BW101" i="65"/>
  <c r="S21" i="32"/>
  <c r="S18" i="32"/>
  <c r="S23" i="32"/>
  <c r="S24" i="32"/>
  <c r="S22" i="32"/>
  <c r="S20" i="32"/>
  <c r="AX66" i="58"/>
  <c r="AV66" i="58" s="1"/>
  <c r="AO66" i="58" s="1"/>
  <c r="AX9" i="58"/>
  <c r="AV9" i="58" s="1"/>
  <c r="AO9" i="58" s="1"/>
  <c r="AP9" i="58" s="1"/>
  <c r="G66" i="58"/>
  <c r="AJ66" i="58" s="1"/>
  <c r="AO5" i="58"/>
  <c r="P3" i="40"/>
  <c r="P4" i="40"/>
  <c r="G231" i="32"/>
  <c r="E49" i="44" s="1"/>
  <c r="D264" i="32"/>
  <c r="D271" i="32" s="1"/>
  <c r="BS37" i="66" s="1"/>
  <c r="D261" i="32"/>
  <c r="D268" i="32" s="1"/>
  <c r="BS19" i="66" s="1"/>
  <c r="D262" i="32"/>
  <c r="D266" i="32"/>
  <c r="D263" i="32"/>
  <c r="D12" i="44"/>
  <c r="G174" i="32"/>
  <c r="E12" i="44" s="1"/>
  <c r="I174" i="32"/>
  <c r="G12" i="44" s="1"/>
  <c r="D265" i="32"/>
  <c r="F321" i="32"/>
  <c r="C33" i="43" s="1"/>
  <c r="F322" i="32"/>
  <c r="C34" i="43" s="1"/>
  <c r="F320" i="32"/>
  <c r="C32" i="43" s="1"/>
  <c r="F318" i="32"/>
  <c r="C30" i="43" s="1"/>
  <c r="F317" i="32"/>
  <c r="C29" i="43" s="1"/>
  <c r="F319" i="32"/>
  <c r="C31" i="43" s="1"/>
  <c r="F323" i="32"/>
  <c r="C35" i="43" s="1"/>
  <c r="P15" i="32" l="1"/>
  <c r="Q21" i="32" s="1"/>
  <c r="T83" i="66"/>
  <c r="N82" i="66"/>
  <c r="E27" i="62"/>
  <c r="BZ18" i="60"/>
  <c r="BZ9" i="60" s="1"/>
  <c r="N2" i="32" s="1"/>
  <c r="AC80" i="66"/>
  <c r="S80" i="66"/>
  <c r="T18" i="61"/>
  <c r="T9" i="61" s="1"/>
  <c r="AJ9" i="61" s="1"/>
  <c r="AC84" i="66"/>
  <c r="AC18" i="62"/>
  <c r="AC9" i="62" s="1"/>
  <c r="N57" i="62"/>
  <c r="AB128" i="61"/>
  <c r="T30" i="62"/>
  <c r="BZ30" i="62" s="1"/>
  <c r="Y19" i="62"/>
  <c r="I37" i="62"/>
  <c r="S18" i="62"/>
  <c r="S9" i="62" s="1"/>
  <c r="T44" i="64"/>
  <c r="BZ44" i="64" s="1"/>
  <c r="G37" i="62"/>
  <c r="AO61" i="64"/>
  <c r="AJ61" i="64" s="1"/>
  <c r="J9" i="62"/>
  <c r="J69" i="62" s="1"/>
  <c r="J68" i="62" s="1"/>
  <c r="J66" i="62" s="1"/>
  <c r="AC27" i="64"/>
  <c r="AB19" i="62"/>
  <c r="J128" i="61"/>
  <c r="T64" i="64"/>
  <c r="BZ64" i="64" s="1"/>
  <c r="V19" i="62"/>
  <c r="N10" i="32"/>
  <c r="N14" i="32" s="1"/>
  <c r="BR19" i="64"/>
  <c r="BR18" i="64" s="1"/>
  <c r="AJ18" i="60"/>
  <c r="AP101" i="66"/>
  <c r="AB22" i="64"/>
  <c r="U22" i="64"/>
  <c r="BY22" i="64"/>
  <c r="E22" i="64"/>
  <c r="AP22" i="64"/>
  <c r="S59" i="64"/>
  <c r="N59" i="64" s="1"/>
  <c r="AC59" i="64"/>
  <c r="AP99" i="65"/>
  <c r="T82" i="66"/>
  <c r="N19" i="62"/>
  <c r="AJ24" i="62"/>
  <c r="T28" i="62"/>
  <c r="U27" i="62"/>
  <c r="C27" i="62"/>
  <c r="BB10" i="62"/>
  <c r="M69" i="62"/>
  <c r="M68" i="62" s="1"/>
  <c r="M66" i="62" s="1"/>
  <c r="C37" i="62"/>
  <c r="I19" i="62"/>
  <c r="G20" i="62"/>
  <c r="G19" i="62" s="1"/>
  <c r="BP7" i="62"/>
  <c r="AA7" i="62" s="1"/>
  <c r="BP5" i="62" s="1"/>
  <c r="AA128" i="62"/>
  <c r="T42" i="62"/>
  <c r="BZ42" i="62" s="1"/>
  <c r="BZ41" i="62" s="1"/>
  <c r="Z41" i="62"/>
  <c r="K18" i="64"/>
  <c r="K9" i="64" s="1"/>
  <c r="T38" i="64"/>
  <c r="BZ38" i="64" s="1"/>
  <c r="AY9" i="61"/>
  <c r="AY66" i="61"/>
  <c r="AC128" i="61"/>
  <c r="BZ10" i="61"/>
  <c r="BR9" i="61"/>
  <c r="AC66" i="61" s="1"/>
  <c r="Y68" i="66"/>
  <c r="BZ86" i="66"/>
  <c r="T23" i="64"/>
  <c r="BZ23" i="64" s="1"/>
  <c r="T35" i="64"/>
  <c r="H66" i="61"/>
  <c r="H128" i="61"/>
  <c r="R128" i="62"/>
  <c r="BG8" i="62"/>
  <c r="G28" i="62"/>
  <c r="G27" i="62" s="1"/>
  <c r="I27" i="62"/>
  <c r="BI7" i="60"/>
  <c r="U7" i="60"/>
  <c r="C128" i="61"/>
  <c r="AR7" i="61"/>
  <c r="C7" i="61" s="1"/>
  <c r="AR5" i="61" s="1"/>
  <c r="R61" i="64"/>
  <c r="BY61" i="64"/>
  <c r="AP61" i="64"/>
  <c r="AJ69" i="59"/>
  <c r="AP69" i="59" s="1"/>
  <c r="G68" i="59"/>
  <c r="AJ68" i="59" s="1"/>
  <c r="AP68" i="59" s="1"/>
  <c r="E39" i="64"/>
  <c r="E37" i="64" s="1"/>
  <c r="U39" i="64"/>
  <c r="BY39" i="64"/>
  <c r="X39" i="64"/>
  <c r="X37" i="64" s="1"/>
  <c r="AP39" i="64"/>
  <c r="Y39" i="64"/>
  <c r="Y37" i="64" s="1"/>
  <c r="V39" i="64"/>
  <c r="V37" i="64" s="1"/>
  <c r="I39" i="64"/>
  <c r="G39" i="64" s="1"/>
  <c r="C39" i="64"/>
  <c r="W39" i="64"/>
  <c r="W37" i="64" s="1"/>
  <c r="T39" i="62"/>
  <c r="T37" i="62" s="1"/>
  <c r="C19" i="62"/>
  <c r="N11" i="32"/>
  <c r="T21" i="64"/>
  <c r="BZ21" i="64" s="1"/>
  <c r="Q27" i="64"/>
  <c r="Q18" i="64" s="1"/>
  <c r="N34" i="64"/>
  <c r="Q12" i="32"/>
  <c r="N4" i="40" s="1"/>
  <c r="N3" i="40"/>
  <c r="Q9" i="62"/>
  <c r="I68" i="60"/>
  <c r="G69" i="60"/>
  <c r="T23" i="62"/>
  <c r="BZ23" i="62" s="1"/>
  <c r="G84" i="66"/>
  <c r="S84" i="66"/>
  <c r="S68" i="66" s="1"/>
  <c r="BH67" i="66" s="1"/>
  <c r="T88" i="66"/>
  <c r="AJ88" i="66" s="1"/>
  <c r="N86" i="66"/>
  <c r="K69" i="62"/>
  <c r="K68" i="62" s="1"/>
  <c r="K66" i="62" s="1"/>
  <c r="AZ10" i="62"/>
  <c r="E28" i="64"/>
  <c r="E27" i="64" s="1"/>
  <c r="U28" i="64"/>
  <c r="AP28" i="64"/>
  <c r="I28" i="64"/>
  <c r="C28" i="64"/>
  <c r="W28" i="64"/>
  <c r="W27" i="64" s="1"/>
  <c r="Y28" i="64"/>
  <c r="Y27" i="64" s="1"/>
  <c r="X28" i="64"/>
  <c r="X27" i="64" s="1"/>
  <c r="V28" i="64"/>
  <c r="V27" i="64" s="1"/>
  <c r="BY28" i="64"/>
  <c r="U128" i="61"/>
  <c r="BJ7" i="61"/>
  <c r="H57" i="64"/>
  <c r="H9" i="64" s="1"/>
  <c r="G64" i="64"/>
  <c r="C128" i="60"/>
  <c r="AR7" i="60"/>
  <c r="C7" i="60" s="1"/>
  <c r="AR5" i="60" s="1"/>
  <c r="AJ9" i="60"/>
  <c r="X20" i="64"/>
  <c r="X19" i="64" s="1"/>
  <c r="U20" i="64"/>
  <c r="AB20" i="64"/>
  <c r="AB19" i="64" s="1"/>
  <c r="BY20" i="64"/>
  <c r="C20" i="64"/>
  <c r="V20" i="64"/>
  <c r="V19" i="64" s="1"/>
  <c r="AP20" i="64"/>
  <c r="I20" i="64"/>
  <c r="W20" i="64"/>
  <c r="W19" i="64" s="1"/>
  <c r="Y20" i="64"/>
  <c r="Y19" i="64" s="1"/>
  <c r="E20" i="64"/>
  <c r="E47" i="64"/>
  <c r="E46" i="64" s="1"/>
  <c r="Y47" i="64"/>
  <c r="Y46" i="64" s="1"/>
  <c r="V47" i="64"/>
  <c r="V46" i="64" s="1"/>
  <c r="C47" i="64"/>
  <c r="X47" i="64"/>
  <c r="X46" i="64" s="1"/>
  <c r="AB47" i="64"/>
  <c r="AB46" i="64" s="1"/>
  <c r="U47" i="64"/>
  <c r="I47" i="64"/>
  <c r="AP47" i="64"/>
  <c r="W47" i="64"/>
  <c r="W46" i="64" s="1"/>
  <c r="BY47" i="64"/>
  <c r="BY46" i="64" s="1"/>
  <c r="T29" i="64"/>
  <c r="BZ29" i="64" s="1"/>
  <c r="AB27" i="64"/>
  <c r="I47" i="62"/>
  <c r="V47" i="62"/>
  <c r="V46" i="62" s="1"/>
  <c r="W47" i="62"/>
  <c r="W46" i="62" s="1"/>
  <c r="W18" i="62" s="1"/>
  <c r="W9" i="62" s="1"/>
  <c r="C47" i="62"/>
  <c r="U47" i="62"/>
  <c r="BY47" i="62"/>
  <c r="BY46" i="62" s="1"/>
  <c r="X47" i="62"/>
  <c r="X46" i="62" s="1"/>
  <c r="X18" i="62" s="1"/>
  <c r="X9" i="62" s="1"/>
  <c r="AB47" i="62"/>
  <c r="AB46" i="62" s="1"/>
  <c r="AB18" i="62" s="1"/>
  <c r="AB9" i="62" s="1"/>
  <c r="AP47" i="62"/>
  <c r="E47" i="62"/>
  <c r="E46" i="62" s="1"/>
  <c r="E18" i="62" s="1"/>
  <c r="E9" i="62" s="1"/>
  <c r="Y47" i="62"/>
  <c r="Y46" i="62" s="1"/>
  <c r="I66" i="59"/>
  <c r="I128" i="59"/>
  <c r="T30" i="64"/>
  <c r="BZ30" i="64" s="1"/>
  <c r="T20" i="62"/>
  <c r="U19" i="62"/>
  <c r="AB58" i="64"/>
  <c r="AB57" i="64" s="1"/>
  <c r="U58" i="64"/>
  <c r="BY58" i="64"/>
  <c r="W58" i="64"/>
  <c r="W57" i="64" s="1"/>
  <c r="X58" i="64"/>
  <c r="X57" i="64" s="1"/>
  <c r="I58" i="64"/>
  <c r="Y58" i="64"/>
  <c r="Y57" i="64" s="1"/>
  <c r="V58" i="64"/>
  <c r="V57" i="64" s="1"/>
  <c r="C58" i="64"/>
  <c r="AP58" i="64"/>
  <c r="E58" i="64"/>
  <c r="E57" i="64" s="1"/>
  <c r="J58" i="64"/>
  <c r="J57" i="64" s="1"/>
  <c r="Q24" i="32"/>
  <c r="Q25" i="32"/>
  <c r="Q22" i="32"/>
  <c r="Q19" i="32"/>
  <c r="J18" i="64"/>
  <c r="G21" i="64"/>
  <c r="U37" i="62"/>
  <c r="T43" i="64"/>
  <c r="BZ43" i="64" s="1"/>
  <c r="G38" i="64"/>
  <c r="G37" i="64" s="1"/>
  <c r="I37" i="64"/>
  <c r="C57" i="62"/>
  <c r="I57" i="62"/>
  <c r="G58" i="62"/>
  <c r="G57" i="62" s="1"/>
  <c r="U57" i="62"/>
  <c r="T58" i="62"/>
  <c r="T57" i="62" s="1"/>
  <c r="AJ46" i="61"/>
  <c r="AP46" i="61" s="1"/>
  <c r="Q57" i="64"/>
  <c r="N62" i="64"/>
  <c r="AP19" i="61"/>
  <c r="S19" i="64"/>
  <c r="N24" i="64"/>
  <c r="Z42" i="64"/>
  <c r="AA42" i="64"/>
  <c r="AA41" i="64" s="1"/>
  <c r="AA18" i="64" s="1"/>
  <c r="AA9" i="64" s="1"/>
  <c r="F42" i="64"/>
  <c r="AP42" i="64"/>
  <c r="BY42" i="64"/>
  <c r="BY41" i="64" s="1"/>
  <c r="BZ35" i="64"/>
  <c r="N64" i="64"/>
  <c r="BY18" i="61"/>
  <c r="BY9" i="61" s="1"/>
  <c r="I69" i="61"/>
  <c r="AX10" i="61"/>
  <c r="AV10" i="61" s="1"/>
  <c r="AO10" i="61" s="1"/>
  <c r="AW10" i="62"/>
  <c r="H69" i="62"/>
  <c r="G29" i="64"/>
  <c r="AR5" i="59"/>
  <c r="AC19" i="64"/>
  <c r="T31" i="64"/>
  <c r="BZ31" i="64" s="1"/>
  <c r="N27" i="62"/>
  <c r="AJ32" i="62"/>
  <c r="F41" i="62"/>
  <c r="F18" i="62" s="1"/>
  <c r="F9" i="62" s="1"/>
  <c r="T7" i="59"/>
  <c r="AJ7" i="59" s="1"/>
  <c r="AP7" i="59" s="1"/>
  <c r="BJ5" i="59"/>
  <c r="BI5" i="59" s="1"/>
  <c r="M18" i="64"/>
  <c r="M9" i="64" s="1"/>
  <c r="BZ38" i="62"/>
  <c r="BC8" i="61"/>
  <c r="AO8" i="61" s="1"/>
  <c r="S27" i="64"/>
  <c r="N32" i="64"/>
  <c r="AJ32" i="64" s="1"/>
  <c r="BY37" i="64"/>
  <c r="BR18" i="62"/>
  <c r="AO19" i="62"/>
  <c r="BZ47" i="61"/>
  <c r="BZ46" i="61" s="1"/>
  <c r="BZ18" i="61" s="1"/>
  <c r="AP89" i="64"/>
  <c r="AI89" i="64"/>
  <c r="BS25" i="66"/>
  <c r="AO25" i="66" s="1"/>
  <c r="AJ25" i="66" s="1"/>
  <c r="BS24" i="66"/>
  <c r="AO24" i="66" s="1"/>
  <c r="BS21" i="66"/>
  <c r="BR21" i="66" s="1"/>
  <c r="AO21" i="66" s="1"/>
  <c r="AJ21" i="66" s="1"/>
  <c r="BS20" i="66"/>
  <c r="BR20" i="66" s="1"/>
  <c r="BS23" i="66"/>
  <c r="BS22" i="66"/>
  <c r="BR22" i="66" s="1"/>
  <c r="AO22" i="66" s="1"/>
  <c r="AJ22" i="66" s="1"/>
  <c r="AO121" i="66"/>
  <c r="AO85" i="66"/>
  <c r="BW84" i="66"/>
  <c r="AO84" i="66" s="1"/>
  <c r="AI90" i="66"/>
  <c r="AP90" i="66"/>
  <c r="BY90" i="66"/>
  <c r="N84" i="66"/>
  <c r="BS39" i="66"/>
  <c r="BS38" i="66"/>
  <c r="AO38" i="66" s="1"/>
  <c r="AJ38" i="66" s="1"/>
  <c r="BY74" i="66"/>
  <c r="AP74" i="66"/>
  <c r="AO120" i="66"/>
  <c r="AJ120" i="66" s="1"/>
  <c r="AP13" i="66"/>
  <c r="AJ11" i="66"/>
  <c r="T87" i="66"/>
  <c r="AJ87" i="66" s="1"/>
  <c r="W84" i="66"/>
  <c r="BY75" i="66"/>
  <c r="AP75" i="66"/>
  <c r="AE69" i="66"/>
  <c r="AE68" i="66" s="1"/>
  <c r="BT10" i="66"/>
  <c r="BT9" i="66" s="1"/>
  <c r="AP112" i="66"/>
  <c r="AO119" i="66"/>
  <c r="AJ119" i="66" s="1"/>
  <c r="AP119" i="66"/>
  <c r="AO118" i="66"/>
  <c r="AJ118" i="66" s="1"/>
  <c r="AP118" i="66" s="1"/>
  <c r="BW117" i="66"/>
  <c r="AJ85" i="66"/>
  <c r="AD68" i="66"/>
  <c r="AJ125" i="66"/>
  <c r="AP125" i="66" s="1"/>
  <c r="T81" i="66"/>
  <c r="W80" i="66"/>
  <c r="AP77" i="66"/>
  <c r="BY77" i="66"/>
  <c r="BZ71" i="66"/>
  <c r="BZ70" i="66" s="1"/>
  <c r="AO11" i="66"/>
  <c r="J84" i="66"/>
  <c r="BZ88" i="66"/>
  <c r="D8" i="32" s="1"/>
  <c r="N81" i="66"/>
  <c r="Q80" i="66"/>
  <c r="K70" i="66"/>
  <c r="G71" i="66"/>
  <c r="AJ71" i="66" s="1"/>
  <c r="BY112" i="66"/>
  <c r="BY76" i="66"/>
  <c r="AP76" i="66"/>
  <c r="AJ122" i="66"/>
  <c r="E84" i="66"/>
  <c r="J80" i="66"/>
  <c r="AI126" i="66"/>
  <c r="BY126" i="66"/>
  <c r="P128" i="66"/>
  <c r="BE8" i="66"/>
  <c r="N14" i="66"/>
  <c r="N13" i="66" s="1"/>
  <c r="N11" i="66" s="1"/>
  <c r="O13" i="66"/>
  <c r="O11" i="66" s="1"/>
  <c r="O9" i="66" s="1"/>
  <c r="AO127" i="66"/>
  <c r="BZ79" i="66"/>
  <c r="T79" i="66"/>
  <c r="AJ79" i="66" s="1"/>
  <c r="T70" i="66"/>
  <c r="U68" i="66"/>
  <c r="E80" i="66"/>
  <c r="BZ81" i="66"/>
  <c r="AJ83" i="66"/>
  <c r="AP123" i="66"/>
  <c r="AI123" i="66"/>
  <c r="BY123" i="66"/>
  <c r="BA10" i="66"/>
  <c r="L69" i="66"/>
  <c r="L68" i="66" s="1"/>
  <c r="AP73" i="66"/>
  <c r="BY73" i="66"/>
  <c r="X80" i="66"/>
  <c r="X68" i="66" s="1"/>
  <c r="BW5" i="66"/>
  <c r="AJ124" i="66"/>
  <c r="AP124" i="66" s="1"/>
  <c r="AJ82" i="66"/>
  <c r="BZ82" i="66"/>
  <c r="Q84" i="66"/>
  <c r="BW80" i="66"/>
  <c r="AO82" i="66"/>
  <c r="AP78" i="66"/>
  <c r="BY78" i="66"/>
  <c r="AJ86" i="66"/>
  <c r="BY98" i="65"/>
  <c r="AI98" i="65"/>
  <c r="AO70" i="65"/>
  <c r="T73" i="65"/>
  <c r="AJ73" i="65" s="1"/>
  <c r="U70" i="65"/>
  <c r="AI92" i="65"/>
  <c r="BY92" i="65"/>
  <c r="BY88" i="65"/>
  <c r="AP88" i="65"/>
  <c r="T74" i="65"/>
  <c r="AJ74" i="65" s="1"/>
  <c r="AP72" i="65"/>
  <c r="BY72" i="65"/>
  <c r="AI105" i="65"/>
  <c r="BY105" i="65"/>
  <c r="BY101" i="65" s="1"/>
  <c r="AJ101" i="65"/>
  <c r="AI101" i="65" s="1"/>
  <c r="E70" i="65"/>
  <c r="N11" i="65"/>
  <c r="BY93" i="65"/>
  <c r="AI93" i="65"/>
  <c r="BY97" i="65"/>
  <c r="AI97" i="65"/>
  <c r="G76" i="65"/>
  <c r="AJ76" i="65" s="1"/>
  <c r="BZ76" i="65"/>
  <c r="G78" i="65"/>
  <c r="AJ78" i="65" s="1"/>
  <c r="I70" i="65"/>
  <c r="BZ78" i="65"/>
  <c r="BY91" i="65"/>
  <c r="AI91" i="65"/>
  <c r="AJ90" i="65"/>
  <c r="BZ75" i="65"/>
  <c r="BY96" i="65"/>
  <c r="AI96" i="65"/>
  <c r="BY94" i="65"/>
  <c r="AI94" i="65"/>
  <c r="AO90" i="65"/>
  <c r="AP90" i="65"/>
  <c r="AO101" i="65"/>
  <c r="AP105" i="65"/>
  <c r="AP98" i="65"/>
  <c r="BZ74" i="65"/>
  <c r="K71" i="65"/>
  <c r="V71" i="65"/>
  <c r="AC71" i="65"/>
  <c r="AE71" i="65"/>
  <c r="M71" i="65"/>
  <c r="O128" i="65"/>
  <c r="BD8" i="65"/>
  <c r="T75" i="65"/>
  <c r="AJ75" i="65" s="1"/>
  <c r="AP94" i="65"/>
  <c r="BY95" i="65"/>
  <c r="AI95" i="65"/>
  <c r="AP91" i="65"/>
  <c r="AE77" i="65"/>
  <c r="L77" i="65"/>
  <c r="AC77" i="65"/>
  <c r="V77" i="65"/>
  <c r="T77" i="65" s="1"/>
  <c r="M77" i="65"/>
  <c r="AB70" i="65"/>
  <c r="AB68" i="65" s="1"/>
  <c r="R9" i="32"/>
  <c r="S9" i="32" s="1"/>
  <c r="P6" i="44" s="1"/>
  <c r="R6" i="32"/>
  <c r="S6" i="32" s="1"/>
  <c r="J6" i="39" s="1"/>
  <c r="BY66" i="58"/>
  <c r="AP66" i="58"/>
  <c r="B10" i="43"/>
  <c r="B7" i="43"/>
  <c r="D272" i="32"/>
  <c r="BS57" i="66" s="1"/>
  <c r="B11" i="43"/>
  <c r="D269" i="32"/>
  <c r="BS41" i="66" s="1"/>
  <c r="B8" i="43"/>
  <c r="D273" i="32"/>
  <c r="B12" i="43"/>
  <c r="D270" i="32"/>
  <c r="BS27" i="66" s="1"/>
  <c r="B9" i="43"/>
  <c r="F80" i="32"/>
  <c r="F82" i="32"/>
  <c r="F199" i="32"/>
  <c r="F167" i="32"/>
  <c r="F81" i="32"/>
  <c r="F195" i="32"/>
  <c r="F196" i="32"/>
  <c r="F84" i="32"/>
  <c r="F139" i="32"/>
  <c r="F229" i="32"/>
  <c r="L150" i="43"/>
  <c r="V520" i="32" s="1"/>
  <c r="J150" i="43"/>
  <c r="T520" i="32" s="1"/>
  <c r="AO19" i="64" l="1"/>
  <c r="Q18" i="32"/>
  <c r="Q23" i="32"/>
  <c r="Q20" i="32"/>
  <c r="N3" i="32"/>
  <c r="O7" i="32"/>
  <c r="G4" i="43" s="1"/>
  <c r="O5" i="32"/>
  <c r="G4" i="39" s="1"/>
  <c r="O8" i="32"/>
  <c r="L4" i="44" s="1"/>
  <c r="E68" i="66"/>
  <c r="W68" i="66"/>
  <c r="O10" i="32"/>
  <c r="L4" i="45" s="1"/>
  <c r="L3" i="45"/>
  <c r="BZ84" i="66"/>
  <c r="V18" i="62"/>
  <c r="V9" i="62" s="1"/>
  <c r="T27" i="62"/>
  <c r="AJ27" i="62" s="1"/>
  <c r="AP27" i="62" s="1"/>
  <c r="S18" i="64"/>
  <c r="AJ18" i="61"/>
  <c r="AC18" i="64"/>
  <c r="BY57" i="64"/>
  <c r="Y18" i="62"/>
  <c r="Y9" i="62" s="1"/>
  <c r="BN7" i="62" s="1"/>
  <c r="Y7" i="62" s="1"/>
  <c r="BN5" i="62" s="1"/>
  <c r="E19" i="64"/>
  <c r="E18" i="64" s="1"/>
  <c r="E9" i="64" s="1"/>
  <c r="E128" i="64" s="1"/>
  <c r="AY10" i="62"/>
  <c r="T22" i="64"/>
  <c r="BZ22" i="64" s="1"/>
  <c r="S57" i="64"/>
  <c r="T19" i="62"/>
  <c r="AJ19" i="62" s="1"/>
  <c r="BZ28" i="62"/>
  <c r="BZ27" i="62" s="1"/>
  <c r="J9" i="64"/>
  <c r="AY10" i="64" s="1"/>
  <c r="AB18" i="64"/>
  <c r="AB9" i="64" s="1"/>
  <c r="AB128" i="64" s="1"/>
  <c r="X18" i="64"/>
  <c r="AP101" i="65"/>
  <c r="X128" i="62"/>
  <c r="BM7" i="62"/>
  <c r="X7" i="62" s="1"/>
  <c r="BM5" i="62" s="1"/>
  <c r="W128" i="62"/>
  <c r="BL7" i="62"/>
  <c r="W7" i="62" s="1"/>
  <c r="BL5" i="62" s="1"/>
  <c r="BY88" i="66"/>
  <c r="AP88" i="66"/>
  <c r="AJ81" i="66"/>
  <c r="BY81" i="66" s="1"/>
  <c r="AO18" i="62"/>
  <c r="BR10" i="62"/>
  <c r="AC69" i="62"/>
  <c r="AA128" i="64"/>
  <c r="BP7" i="64"/>
  <c r="AA7" i="64" s="1"/>
  <c r="BP5" i="64" s="1"/>
  <c r="BZ58" i="62"/>
  <c r="BZ57" i="62" s="1"/>
  <c r="C57" i="64"/>
  <c r="AB128" i="62"/>
  <c r="BQ7" i="62"/>
  <c r="AB7" i="62" s="1"/>
  <c r="BQ5" i="62" s="1"/>
  <c r="AX66" i="59"/>
  <c r="AV66" i="59" s="1"/>
  <c r="AO66" i="59" s="1"/>
  <c r="AX9" i="59"/>
  <c r="AV9" i="59" s="1"/>
  <c r="AO9" i="59" s="1"/>
  <c r="AP9" i="59" s="1"/>
  <c r="G66" i="59"/>
  <c r="AJ66" i="59" s="1"/>
  <c r="C46" i="62"/>
  <c r="C18" i="62" s="1"/>
  <c r="C9" i="62" s="1"/>
  <c r="T47" i="64"/>
  <c r="T46" i="64" s="1"/>
  <c r="U46" i="64"/>
  <c r="T20" i="64"/>
  <c r="U19" i="64"/>
  <c r="Y18" i="64"/>
  <c r="Y9" i="64" s="1"/>
  <c r="AZ66" i="62"/>
  <c r="AZ9" i="62"/>
  <c r="O26" i="32"/>
  <c r="N12" i="32" s="1"/>
  <c r="Q128" i="62"/>
  <c r="BF8" i="62"/>
  <c r="N27" i="64"/>
  <c r="T39" i="64"/>
  <c r="T37" i="64" s="1"/>
  <c r="T7" i="60"/>
  <c r="AJ7" i="60" s="1"/>
  <c r="BJ5" i="60"/>
  <c r="BI5" i="60" s="1"/>
  <c r="AO5" i="60" s="1"/>
  <c r="BZ9" i="61"/>
  <c r="L2" i="32" s="1"/>
  <c r="L3" i="32" s="1"/>
  <c r="AZ10" i="64"/>
  <c r="K69" i="64"/>
  <c r="K68" i="64" s="1"/>
  <c r="K66" i="64" s="1"/>
  <c r="AJ37" i="62"/>
  <c r="AP37" i="62" s="1"/>
  <c r="J128" i="62"/>
  <c r="L7" i="32"/>
  <c r="BY32" i="62"/>
  <c r="BY27" i="62" s="1"/>
  <c r="AP32" i="62"/>
  <c r="H68" i="62"/>
  <c r="T42" i="64"/>
  <c r="BZ42" i="64" s="1"/>
  <c r="BZ41" i="64" s="1"/>
  <c r="Z41" i="64"/>
  <c r="V128" i="62"/>
  <c r="BK7" i="62"/>
  <c r="V7" i="62" s="1"/>
  <c r="BK5" i="62" s="1"/>
  <c r="C19" i="64"/>
  <c r="W18" i="64"/>
  <c r="W9" i="64" s="1"/>
  <c r="T28" i="64"/>
  <c r="T27" i="64" s="1"/>
  <c r="U27" i="64"/>
  <c r="K128" i="62"/>
  <c r="Q9" i="64"/>
  <c r="O11" i="32"/>
  <c r="L4" i="41" s="1"/>
  <c r="N15" i="32"/>
  <c r="O21" i="32" s="1"/>
  <c r="L3" i="41"/>
  <c r="BZ20" i="62"/>
  <c r="BZ19" i="62" s="1"/>
  <c r="C37" i="64"/>
  <c r="AO7" i="60"/>
  <c r="U37" i="64"/>
  <c r="Z18" i="62"/>
  <c r="Z9" i="62" s="1"/>
  <c r="T41" i="62"/>
  <c r="AJ41" i="62" s="1"/>
  <c r="AP41" i="62" s="1"/>
  <c r="BZ39" i="62"/>
  <c r="BZ37" i="62" s="1"/>
  <c r="M128" i="62"/>
  <c r="AY9" i="62"/>
  <c r="AY66" i="62"/>
  <c r="AJ59" i="64"/>
  <c r="AP59" i="64" s="1"/>
  <c r="AC57" i="64"/>
  <c r="AC9" i="64" s="1"/>
  <c r="AP32" i="64"/>
  <c r="BY32" i="64"/>
  <c r="BY27" i="64" s="1"/>
  <c r="BB10" i="64"/>
  <c r="M69" i="64"/>
  <c r="M68" i="64" s="1"/>
  <c r="M66" i="64" s="1"/>
  <c r="L11" i="32"/>
  <c r="AO5" i="59"/>
  <c r="I68" i="61"/>
  <c r="G69" i="61"/>
  <c r="N19" i="64"/>
  <c r="AJ24" i="64"/>
  <c r="P6" i="32"/>
  <c r="P9" i="32"/>
  <c r="I19" i="64"/>
  <c r="G20" i="64"/>
  <c r="G19" i="64" s="1"/>
  <c r="H69" i="64"/>
  <c r="AW10" i="64"/>
  <c r="V18" i="64"/>
  <c r="V9" i="64" s="1"/>
  <c r="C27" i="64"/>
  <c r="G68" i="60"/>
  <c r="AJ68" i="60" s="1"/>
  <c r="AP68" i="60" s="1"/>
  <c r="AJ69" i="60"/>
  <c r="AP69" i="60" s="1"/>
  <c r="L10" i="32"/>
  <c r="N61" i="64"/>
  <c r="N57" i="64" s="1"/>
  <c r="R57" i="64"/>
  <c r="R9" i="64" s="1"/>
  <c r="AO18" i="64"/>
  <c r="AP24" i="62"/>
  <c r="BY24" i="62"/>
  <c r="BY19" i="62" s="1"/>
  <c r="J5" i="39"/>
  <c r="AE70" i="65"/>
  <c r="AE69" i="65" s="1"/>
  <c r="AE68" i="65" s="1"/>
  <c r="F128" i="62"/>
  <c r="AU7" i="62"/>
  <c r="F7" i="62" s="1"/>
  <c r="AU5" i="62" s="1"/>
  <c r="AT7" i="62"/>
  <c r="E7" i="62" s="1"/>
  <c r="AT5" i="62" s="1"/>
  <c r="E128" i="62"/>
  <c r="S128" i="62"/>
  <c r="BH8" i="62"/>
  <c r="F41" i="64"/>
  <c r="F18" i="64" s="1"/>
  <c r="F9" i="64" s="1"/>
  <c r="AJ57" i="62"/>
  <c r="AP57" i="62" s="1"/>
  <c r="I57" i="64"/>
  <c r="G58" i="64"/>
  <c r="G57" i="64" s="1"/>
  <c r="U57" i="64"/>
  <c r="T58" i="64"/>
  <c r="T47" i="62"/>
  <c r="T46" i="62" s="1"/>
  <c r="T18" i="62" s="1"/>
  <c r="T9" i="62" s="1"/>
  <c r="U46" i="62"/>
  <c r="U18" i="62" s="1"/>
  <c r="U9" i="62" s="1"/>
  <c r="G47" i="62"/>
  <c r="G46" i="62" s="1"/>
  <c r="G18" i="62" s="1"/>
  <c r="G9" i="62" s="1"/>
  <c r="I46" i="62"/>
  <c r="I18" i="62" s="1"/>
  <c r="I9" i="62" s="1"/>
  <c r="I46" i="64"/>
  <c r="G47" i="64"/>
  <c r="G46" i="64" s="1"/>
  <c r="BZ47" i="64"/>
  <c r="BZ46" i="64" s="1"/>
  <c r="C46" i="64"/>
  <c r="U7" i="61"/>
  <c r="BI7" i="61"/>
  <c r="AO7" i="61" s="1"/>
  <c r="X9" i="64"/>
  <c r="I27" i="64"/>
  <c r="G28" i="64"/>
  <c r="G27" i="64" s="1"/>
  <c r="I66" i="60"/>
  <c r="I128" i="60"/>
  <c r="AW66" i="61"/>
  <c r="AW9" i="61"/>
  <c r="BB66" i="62"/>
  <c r="BB9" i="62"/>
  <c r="N18" i="62"/>
  <c r="N9" i="62" s="1"/>
  <c r="BS66" i="66"/>
  <c r="AD128" i="66"/>
  <c r="AP87" i="66"/>
  <c r="BY87" i="66"/>
  <c r="B3" i="44"/>
  <c r="AP79" i="66"/>
  <c r="BY79" i="66"/>
  <c r="AP81" i="66"/>
  <c r="BS62" i="66"/>
  <c r="BR62" i="66" s="1"/>
  <c r="AO62" i="66" s="1"/>
  <c r="AJ62" i="66" s="1"/>
  <c r="BS60" i="66"/>
  <c r="AO60" i="66" s="1"/>
  <c r="AJ60" i="66" s="1"/>
  <c r="BS61" i="66"/>
  <c r="BR61" i="66" s="1"/>
  <c r="AO61" i="66" s="1"/>
  <c r="AJ61" i="66" s="1"/>
  <c r="BS64" i="66"/>
  <c r="BS58" i="66"/>
  <c r="BR58" i="66" s="1"/>
  <c r="BS59" i="66"/>
  <c r="AO80" i="66"/>
  <c r="BW68" i="66"/>
  <c r="AO68" i="66" s="1"/>
  <c r="G80" i="66"/>
  <c r="AP71" i="66"/>
  <c r="BY71" i="66"/>
  <c r="BY70" i="66" s="1"/>
  <c r="AO117" i="66"/>
  <c r="BW89" i="66"/>
  <c r="AI120" i="66"/>
  <c r="BY120" i="66"/>
  <c r="BR39" i="66"/>
  <c r="AO39" i="66" s="1"/>
  <c r="AJ39" i="66" s="1"/>
  <c r="AO20" i="66"/>
  <c r="AJ20" i="66" s="1"/>
  <c r="T84" i="66"/>
  <c r="G70" i="66"/>
  <c r="AJ70" i="66" s="1"/>
  <c r="AP70" i="66" s="1"/>
  <c r="T80" i="66"/>
  <c r="BY118" i="66"/>
  <c r="AI118" i="66"/>
  <c r="AJ121" i="66"/>
  <c r="AB21" i="66"/>
  <c r="X21" i="66"/>
  <c r="E21" i="66"/>
  <c r="V21" i="66"/>
  <c r="M21" i="66"/>
  <c r="M19" i="66" s="1"/>
  <c r="W21" i="66"/>
  <c r="J21" i="66"/>
  <c r="J19" i="66" s="1"/>
  <c r="Y21" i="66"/>
  <c r="BY21" i="66"/>
  <c r="K21" i="66"/>
  <c r="K19" i="66" s="1"/>
  <c r="AP21" i="66"/>
  <c r="U21" i="66"/>
  <c r="I21" i="66"/>
  <c r="D5" i="32"/>
  <c r="BS28" i="66"/>
  <c r="BR28" i="66" s="1"/>
  <c r="BS29" i="66"/>
  <c r="BR29" i="66" s="1"/>
  <c r="AO29" i="66" s="1"/>
  <c r="AJ29" i="66" s="1"/>
  <c r="BS33" i="66"/>
  <c r="AO33" i="66" s="1"/>
  <c r="AJ33" i="66" s="1"/>
  <c r="BS35" i="66"/>
  <c r="BR35" i="66" s="1"/>
  <c r="AO35" i="66" s="1"/>
  <c r="AJ35" i="66" s="1"/>
  <c r="BS31" i="66"/>
  <c r="BS34" i="66"/>
  <c r="BR34" i="66" s="1"/>
  <c r="AO34" i="66" s="1"/>
  <c r="AJ34" i="66" s="1"/>
  <c r="BS30" i="66"/>
  <c r="BR30" i="66" s="1"/>
  <c r="AO30" i="66" s="1"/>
  <c r="AJ30" i="66" s="1"/>
  <c r="BS32" i="66"/>
  <c r="AO32" i="66" s="1"/>
  <c r="L128" i="66"/>
  <c r="L66" i="66"/>
  <c r="O128" i="66"/>
  <c r="BD8" i="66"/>
  <c r="AI122" i="66"/>
  <c r="BY122" i="66"/>
  <c r="N80" i="66"/>
  <c r="N68" i="66" s="1"/>
  <c r="Q68" i="66"/>
  <c r="BF67" i="66" s="1"/>
  <c r="BC67" i="66" s="1"/>
  <c r="AO67" i="66" s="1"/>
  <c r="AJ84" i="66"/>
  <c r="BY85" i="66"/>
  <c r="AP85" i="66"/>
  <c r="E22" i="66"/>
  <c r="AP22" i="66"/>
  <c r="AB22" i="66"/>
  <c r="BY22" i="66"/>
  <c r="U22" i="66"/>
  <c r="AC24" i="66"/>
  <c r="S24" i="66"/>
  <c r="BS50" i="66"/>
  <c r="BR50" i="66" s="1"/>
  <c r="AO50" i="66" s="1"/>
  <c r="AJ50" i="66" s="1"/>
  <c r="BS51" i="66"/>
  <c r="BR51" i="66" s="1"/>
  <c r="AO51" i="66" s="1"/>
  <c r="AJ51" i="66" s="1"/>
  <c r="BS49" i="66"/>
  <c r="BR49" i="66" s="1"/>
  <c r="AO49" i="66" s="1"/>
  <c r="AJ49" i="66" s="1"/>
  <c r="BS48" i="66"/>
  <c r="BR48" i="66" s="1"/>
  <c r="AO48" i="66" s="1"/>
  <c r="AJ48" i="66" s="1"/>
  <c r="BS47" i="66"/>
  <c r="BS52" i="66"/>
  <c r="BR52" i="66" s="1"/>
  <c r="AO52" i="66" s="1"/>
  <c r="AJ52" i="66" s="1"/>
  <c r="AP86" i="66"/>
  <c r="BY86" i="66"/>
  <c r="AI124" i="66"/>
  <c r="BY124" i="66"/>
  <c r="T68" i="66"/>
  <c r="BS43" i="66"/>
  <c r="BR43" i="66" s="1"/>
  <c r="AO43" i="66" s="1"/>
  <c r="AJ43" i="66" s="1"/>
  <c r="BS42" i="66"/>
  <c r="BR42" i="66" s="1"/>
  <c r="BS44" i="66"/>
  <c r="BR44" i="66" s="1"/>
  <c r="AO44" i="66" s="1"/>
  <c r="AJ44" i="66" s="1"/>
  <c r="BZ80" i="66"/>
  <c r="AP82" i="66"/>
  <c r="BY82" i="66"/>
  <c r="BY83" i="66"/>
  <c r="AP83" i="66"/>
  <c r="AJ127" i="66"/>
  <c r="BY127" i="66" s="1"/>
  <c r="AP122" i="66"/>
  <c r="BY125" i="66"/>
  <c r="AI125" i="66"/>
  <c r="AI119" i="66"/>
  <c r="BY119" i="66"/>
  <c r="AP120" i="66"/>
  <c r="AB38" i="66"/>
  <c r="AB37" i="66" s="1"/>
  <c r="I38" i="66"/>
  <c r="J38" i="66"/>
  <c r="J37" i="66" s="1"/>
  <c r="E38" i="66"/>
  <c r="BY38" i="66"/>
  <c r="W38" i="66"/>
  <c r="Y38" i="66"/>
  <c r="M38" i="66"/>
  <c r="M37" i="66" s="1"/>
  <c r="K38" i="66"/>
  <c r="K37" i="66" s="1"/>
  <c r="AP38" i="66"/>
  <c r="U38" i="66"/>
  <c r="BR23" i="66"/>
  <c r="BR19" i="66" s="1"/>
  <c r="AO19" i="66" s="1"/>
  <c r="AP25" i="66"/>
  <c r="AC25" i="66"/>
  <c r="BY25" i="66"/>
  <c r="BY75" i="65"/>
  <c r="AP75" i="65"/>
  <c r="V70" i="65"/>
  <c r="V68" i="65" s="1"/>
  <c r="T71" i="65"/>
  <c r="AP78" i="65"/>
  <c r="BY78" i="65"/>
  <c r="BY74" i="65"/>
  <c r="AP74" i="65"/>
  <c r="M70" i="65"/>
  <c r="G71" i="65"/>
  <c r="K70" i="65"/>
  <c r="BZ71" i="65"/>
  <c r="U68" i="65"/>
  <c r="BT10" i="65"/>
  <c r="BT9" i="65" s="1"/>
  <c r="AP76" i="65"/>
  <c r="BY76" i="65"/>
  <c r="BY73" i="65"/>
  <c r="AP73" i="65"/>
  <c r="L70" i="65"/>
  <c r="G77" i="65"/>
  <c r="AJ77" i="65" s="1"/>
  <c r="BZ77" i="65"/>
  <c r="AC70" i="65"/>
  <c r="AI90" i="65"/>
  <c r="BY90" i="65"/>
  <c r="P5" i="44"/>
  <c r="F109" i="32"/>
  <c r="F107" i="32"/>
  <c r="F112" i="32"/>
  <c r="F92" i="32"/>
  <c r="F110" i="32"/>
  <c r="F108" i="32"/>
  <c r="F200" i="32"/>
  <c r="F53" i="32"/>
  <c r="F36" i="32"/>
  <c r="F54" i="32"/>
  <c r="F51" i="32"/>
  <c r="F56" i="32"/>
  <c r="F52" i="32"/>
  <c r="F64" i="32"/>
  <c r="F165" i="32"/>
  <c r="F164" i="32"/>
  <c r="F166" i="32"/>
  <c r="F163" i="32"/>
  <c r="F148" i="32"/>
  <c r="F168" i="32"/>
  <c r="F197" i="32"/>
  <c r="F198" i="32"/>
  <c r="F55" i="32"/>
  <c r="F180" i="32"/>
  <c r="F137" i="32"/>
  <c r="F136" i="32"/>
  <c r="F120" i="32"/>
  <c r="F135" i="32"/>
  <c r="F140" i="32"/>
  <c r="F138" i="32"/>
  <c r="F227" i="32"/>
  <c r="F210" i="32"/>
  <c r="F226" i="32"/>
  <c r="F225" i="32"/>
  <c r="F228" i="32"/>
  <c r="F230" i="32"/>
  <c r="F83" i="32"/>
  <c r="F79" i="32"/>
  <c r="F111" i="32"/>
  <c r="L139" i="43"/>
  <c r="V509" i="32" s="1"/>
  <c r="J139" i="43"/>
  <c r="T509" i="32" s="1"/>
  <c r="L130" i="43"/>
  <c r="V500" i="32" s="1"/>
  <c r="J130" i="43"/>
  <c r="T500" i="32" s="1"/>
  <c r="L122" i="43"/>
  <c r="V492" i="32" s="1"/>
  <c r="J122" i="43"/>
  <c r="T492" i="32" s="1"/>
  <c r="L101" i="43"/>
  <c r="V471" i="32" s="1"/>
  <c r="J101" i="43"/>
  <c r="T471" i="32" s="1"/>
  <c r="L97" i="43"/>
  <c r="V467" i="32" s="1"/>
  <c r="J97" i="43"/>
  <c r="T467" i="32" s="1"/>
  <c r="S9" i="64" l="1"/>
  <c r="T70" i="65"/>
  <c r="J69" i="64"/>
  <c r="J68" i="64" s="1"/>
  <c r="J66" i="64" s="1"/>
  <c r="AT7" i="64"/>
  <c r="E7" i="64" s="1"/>
  <c r="AT5" i="64" s="1"/>
  <c r="AJ117" i="66"/>
  <c r="BY121" i="66"/>
  <c r="BY18" i="62"/>
  <c r="BY9" i="62" s="1"/>
  <c r="Y128" i="62"/>
  <c r="BZ39" i="64"/>
  <c r="BZ37" i="64" s="1"/>
  <c r="T19" i="64"/>
  <c r="S128" i="64"/>
  <c r="BH8" i="64"/>
  <c r="BZ28" i="64"/>
  <c r="BZ27" i="64" s="1"/>
  <c r="N18" i="64"/>
  <c r="N9" i="64" s="1"/>
  <c r="BQ7" i="64"/>
  <c r="AB7" i="64" s="1"/>
  <c r="BQ5" i="64" s="1"/>
  <c r="K128" i="64"/>
  <c r="AJ46" i="62"/>
  <c r="AP46" i="62" s="1"/>
  <c r="AJ19" i="64"/>
  <c r="AP19" i="64" s="1"/>
  <c r="U128" i="62"/>
  <c r="BJ7" i="62"/>
  <c r="BR10" i="64"/>
  <c r="AC69" i="64"/>
  <c r="I69" i="62"/>
  <c r="AX10" i="62"/>
  <c r="AV10" i="62" s="1"/>
  <c r="AO10" i="62" s="1"/>
  <c r="C128" i="62"/>
  <c r="AJ9" i="62"/>
  <c r="AR7" i="62"/>
  <c r="T22" i="66"/>
  <c r="BZ22" i="66" s="1"/>
  <c r="I18" i="64"/>
  <c r="I9" i="64" s="1"/>
  <c r="T57" i="64"/>
  <c r="AJ57" i="64" s="1"/>
  <c r="AP57" i="64" s="1"/>
  <c r="C18" i="64"/>
  <c r="C9" i="64" s="1"/>
  <c r="AJ27" i="64"/>
  <c r="AP27" i="64" s="1"/>
  <c r="M11" i="32"/>
  <c r="J4" i="41" s="1"/>
  <c r="J3" i="41"/>
  <c r="AJ37" i="64"/>
  <c r="AP37" i="64" s="1"/>
  <c r="O19" i="32"/>
  <c r="O18" i="32"/>
  <c r="O22" i="32"/>
  <c r="O25" i="32"/>
  <c r="O23" i="32"/>
  <c r="O20" i="32"/>
  <c r="O24" i="32"/>
  <c r="U18" i="64"/>
  <c r="U9" i="64" s="1"/>
  <c r="BZ20" i="64"/>
  <c r="BZ19" i="64" s="1"/>
  <c r="M7" i="32"/>
  <c r="F4" i="43" s="1"/>
  <c r="F3" i="43"/>
  <c r="BY66" i="59"/>
  <c r="AP66" i="59"/>
  <c r="J128" i="64"/>
  <c r="X128" i="64"/>
  <c r="BM7" i="64"/>
  <c r="X7" i="64" s="1"/>
  <c r="BM5" i="64" s="1"/>
  <c r="F128" i="64"/>
  <c r="AU7" i="64"/>
  <c r="F7" i="64" s="1"/>
  <c r="AU5" i="64" s="1"/>
  <c r="M10" i="32"/>
  <c r="J4" i="45" s="1"/>
  <c r="L14" i="32"/>
  <c r="L15" i="32" s="1"/>
  <c r="J3" i="45"/>
  <c r="H68" i="64"/>
  <c r="Q9" i="32"/>
  <c r="N6" i="44" s="1"/>
  <c r="N5" i="44"/>
  <c r="AJ69" i="61"/>
  <c r="AP69" i="61" s="1"/>
  <c r="G68" i="61"/>
  <c r="AJ68" i="61" s="1"/>
  <c r="AP68" i="61" s="1"/>
  <c r="BB9" i="64"/>
  <c r="BB66" i="64"/>
  <c r="Z128" i="62"/>
  <c r="BO7" i="62"/>
  <c r="Z7" i="62" s="1"/>
  <c r="BO5" i="62" s="1"/>
  <c r="AP7" i="60"/>
  <c r="AP19" i="62"/>
  <c r="Y128" i="64"/>
  <c r="BN7" i="64"/>
  <c r="Y7" i="64" s="1"/>
  <c r="BN5" i="64" s="1"/>
  <c r="AJ46" i="64"/>
  <c r="AP46" i="64" s="1"/>
  <c r="AY66" i="64"/>
  <c r="AY9" i="64"/>
  <c r="AC129" i="62"/>
  <c r="AC68" i="62"/>
  <c r="BR66" i="62" s="1"/>
  <c r="BZ69" i="62"/>
  <c r="BZ68" i="62" s="1"/>
  <c r="AX9" i="60"/>
  <c r="AV9" i="60" s="1"/>
  <c r="AO9" i="60" s="1"/>
  <c r="AP9" i="60" s="1"/>
  <c r="AX66" i="60"/>
  <c r="AV66" i="60" s="1"/>
  <c r="AO66" i="60" s="1"/>
  <c r="G66" i="60"/>
  <c r="AJ66" i="60" s="1"/>
  <c r="V128" i="64"/>
  <c r="BK7" i="64"/>
  <c r="V7" i="64" s="1"/>
  <c r="BK5" i="64" s="1"/>
  <c r="Q6" i="32"/>
  <c r="H6" i="39" s="1"/>
  <c r="H5" i="39"/>
  <c r="I66" i="61"/>
  <c r="I128" i="61"/>
  <c r="Q128" i="64"/>
  <c r="BF8" i="64"/>
  <c r="W128" i="64"/>
  <c r="BL7" i="64"/>
  <c r="W7" i="64" s="1"/>
  <c r="BL5" i="64" s="1"/>
  <c r="O12" i="32"/>
  <c r="L4" i="40" s="1"/>
  <c r="L3" i="40"/>
  <c r="BZ58" i="64"/>
  <c r="BZ57" i="64" s="1"/>
  <c r="AC128" i="62"/>
  <c r="BZ10" i="62"/>
  <c r="BR9" i="62"/>
  <c r="AC66" i="62" s="1"/>
  <c r="AJ80" i="66"/>
  <c r="AC19" i="66"/>
  <c r="G18" i="64"/>
  <c r="G9" i="64" s="1"/>
  <c r="BJ5" i="61"/>
  <c r="BI5" i="61" s="1"/>
  <c r="AO5" i="61" s="1"/>
  <c r="T7" i="61"/>
  <c r="AJ7" i="61" s="1"/>
  <c r="AP7" i="61" s="1"/>
  <c r="R128" i="64"/>
  <c r="BG8" i="64"/>
  <c r="BY24" i="64"/>
  <c r="BY19" i="64" s="1"/>
  <c r="BY18" i="64" s="1"/>
  <c r="BY9" i="64" s="1"/>
  <c r="AP24" i="64"/>
  <c r="M128" i="64"/>
  <c r="Z18" i="64"/>
  <c r="Z9" i="64" s="1"/>
  <c r="T41" i="64"/>
  <c r="AJ41" i="64" s="1"/>
  <c r="AP41" i="64" s="1"/>
  <c r="H66" i="62"/>
  <c r="H128" i="62"/>
  <c r="AZ66" i="64"/>
  <c r="AZ9" i="64"/>
  <c r="M5" i="32"/>
  <c r="F4" i="39" s="1"/>
  <c r="M8" i="32"/>
  <c r="J4" i="44" s="1"/>
  <c r="BC8" i="62"/>
  <c r="AO8" i="62" s="1"/>
  <c r="BZ47" i="62"/>
  <c r="BZ46" i="62" s="1"/>
  <c r="BZ18" i="62" s="1"/>
  <c r="BY84" i="66"/>
  <c r="E49" i="66"/>
  <c r="AB49" i="66"/>
  <c r="BY49" i="66"/>
  <c r="U49" i="66"/>
  <c r="AP49" i="66"/>
  <c r="AP29" i="66"/>
  <c r="K29" i="66"/>
  <c r="K27" i="66" s="1"/>
  <c r="U29" i="66"/>
  <c r="E29" i="66"/>
  <c r="BY29" i="66"/>
  <c r="AB29" i="66"/>
  <c r="I29" i="66"/>
  <c r="V29" i="66"/>
  <c r="X29" i="66"/>
  <c r="M29" i="66"/>
  <c r="M27" i="66" s="1"/>
  <c r="W29" i="66"/>
  <c r="J29" i="66"/>
  <c r="J27" i="66" s="1"/>
  <c r="G21" i="66"/>
  <c r="AI117" i="66"/>
  <c r="AJ89" i="66"/>
  <c r="I20" i="66"/>
  <c r="V20" i="66"/>
  <c r="AP20" i="66"/>
  <c r="X20" i="66"/>
  <c r="C20" i="66"/>
  <c r="Y20" i="66"/>
  <c r="E20" i="66"/>
  <c r="W20" i="66"/>
  <c r="U20" i="66"/>
  <c r="AB20" i="66"/>
  <c r="BY20" i="66"/>
  <c r="BY61" i="66"/>
  <c r="R61" i="66"/>
  <c r="AP61" i="66"/>
  <c r="BY80" i="66"/>
  <c r="AO23" i="66"/>
  <c r="AJ23" i="66" s="1"/>
  <c r="BY117" i="66"/>
  <c r="BY89" i="66" s="1"/>
  <c r="AO42" i="66"/>
  <c r="AJ42" i="66" s="1"/>
  <c r="BR41" i="66"/>
  <c r="AF52" i="66"/>
  <c r="AF46" i="66" s="1"/>
  <c r="AF18" i="66" s="1"/>
  <c r="AF9" i="66" s="1"/>
  <c r="BU5" i="66" s="1"/>
  <c r="AP52" i="66"/>
  <c r="BY52" i="66"/>
  <c r="Y51" i="66"/>
  <c r="X51" i="66"/>
  <c r="AB51" i="66"/>
  <c r="I51" i="66"/>
  <c r="G51" i="66" s="1"/>
  <c r="V51" i="66"/>
  <c r="BY51" i="66"/>
  <c r="AP51" i="66"/>
  <c r="W51" i="66"/>
  <c r="C51" i="66"/>
  <c r="U51" i="66"/>
  <c r="E51" i="66"/>
  <c r="BR31" i="66"/>
  <c r="AO31" i="66" s="1"/>
  <c r="AJ31" i="66" s="1"/>
  <c r="AO28" i="66"/>
  <c r="AJ28" i="66" s="1"/>
  <c r="T21" i="66"/>
  <c r="BZ21" i="66" s="1"/>
  <c r="AI121" i="66"/>
  <c r="AP121" i="66"/>
  <c r="BY68" i="66"/>
  <c r="BR59" i="66"/>
  <c r="AO59" i="66" s="1"/>
  <c r="BY60" i="66"/>
  <c r="AC60" i="66"/>
  <c r="AP60" i="66"/>
  <c r="BA66" i="66"/>
  <c r="BA9" i="66"/>
  <c r="E50" i="66"/>
  <c r="BY50" i="66"/>
  <c r="X50" i="66"/>
  <c r="AB50" i="66"/>
  <c r="Y50" i="66"/>
  <c r="I50" i="66"/>
  <c r="G50" i="66" s="1"/>
  <c r="V50" i="66"/>
  <c r="U50" i="66"/>
  <c r="W50" i="66"/>
  <c r="C50" i="66"/>
  <c r="AP50" i="66"/>
  <c r="S32" i="66"/>
  <c r="AC32" i="66"/>
  <c r="AB35" i="66"/>
  <c r="U35" i="66"/>
  <c r="W35" i="66"/>
  <c r="V35" i="66"/>
  <c r="X35" i="66"/>
  <c r="BY35" i="66"/>
  <c r="C35" i="66"/>
  <c r="I35" i="66"/>
  <c r="G35" i="66" s="1"/>
  <c r="E35" i="66"/>
  <c r="AP35" i="66"/>
  <c r="Y35" i="66"/>
  <c r="AP39" i="66"/>
  <c r="BY39" i="66"/>
  <c r="BY37" i="66" s="1"/>
  <c r="C39" i="66"/>
  <c r="X39" i="66"/>
  <c r="X37" i="66" s="1"/>
  <c r="W39" i="66"/>
  <c r="W37" i="66" s="1"/>
  <c r="Y39" i="66"/>
  <c r="Y37" i="66" s="1"/>
  <c r="E39" i="66"/>
  <c r="E37" i="66" s="1"/>
  <c r="U39" i="66"/>
  <c r="I39" i="66"/>
  <c r="G39" i="66" s="1"/>
  <c r="V39" i="66"/>
  <c r="V37" i="66" s="1"/>
  <c r="AO89" i="66"/>
  <c r="D16" i="32"/>
  <c r="AO58" i="66"/>
  <c r="AJ58" i="66" s="1"/>
  <c r="Q62" i="66"/>
  <c r="BY62" i="66"/>
  <c r="AP62" i="66"/>
  <c r="Z44" i="66"/>
  <c r="F44" i="66"/>
  <c r="AP44" i="66"/>
  <c r="AA44" i="66"/>
  <c r="BY44" i="66"/>
  <c r="BY34" i="66"/>
  <c r="AP34" i="66"/>
  <c r="Q34" i="66"/>
  <c r="T38" i="66"/>
  <c r="AP80" i="66"/>
  <c r="Z43" i="66"/>
  <c r="F43" i="66"/>
  <c r="BY43" i="66"/>
  <c r="AA43" i="66"/>
  <c r="AP43" i="66"/>
  <c r="BR47" i="66"/>
  <c r="BS46" i="66"/>
  <c r="BS18" i="66" s="1"/>
  <c r="AD129" i="66" s="1"/>
  <c r="G38" i="66"/>
  <c r="AI127" i="66"/>
  <c r="AP127" i="66"/>
  <c r="K48" i="66"/>
  <c r="K46" i="66" s="1"/>
  <c r="J48" i="66"/>
  <c r="J46" i="66" s="1"/>
  <c r="J18" i="66" s="1"/>
  <c r="X48" i="66"/>
  <c r="AP48" i="66"/>
  <c r="Y48" i="66"/>
  <c r="M48" i="66"/>
  <c r="M46" i="66" s="1"/>
  <c r="BY48" i="66"/>
  <c r="U48" i="66"/>
  <c r="E48" i="66"/>
  <c r="AB48" i="66"/>
  <c r="I48" i="66"/>
  <c r="S19" i="66"/>
  <c r="N24" i="66"/>
  <c r="E30" i="66"/>
  <c r="AB30" i="66"/>
  <c r="BY30" i="66"/>
  <c r="U30" i="66"/>
  <c r="AP30" i="66"/>
  <c r="BY33" i="66"/>
  <c r="AC33" i="66"/>
  <c r="AP33" i="66"/>
  <c r="B3" i="39"/>
  <c r="BR37" i="66"/>
  <c r="AO37" i="66" s="1"/>
  <c r="AP117" i="66"/>
  <c r="BR64" i="66"/>
  <c r="G70" i="65"/>
  <c r="AJ70" i="65" s="1"/>
  <c r="AP70" i="65" s="1"/>
  <c r="AJ71" i="65"/>
  <c r="BA10" i="65"/>
  <c r="L69" i="65"/>
  <c r="L68" i="65" s="1"/>
  <c r="AP77" i="65"/>
  <c r="BY77" i="65"/>
  <c r="BZ70" i="65"/>
  <c r="D38" i="44"/>
  <c r="D18" i="41"/>
  <c r="G210" i="32"/>
  <c r="I210" i="32"/>
  <c r="D16" i="41"/>
  <c r="D18" i="44"/>
  <c r="G180" i="32"/>
  <c r="I180" i="32"/>
  <c r="F93" i="32"/>
  <c r="D10" i="41"/>
  <c r="I92" i="32"/>
  <c r="G92" i="32"/>
  <c r="D6" i="41"/>
  <c r="I36" i="32"/>
  <c r="G36" i="32"/>
  <c r="D12" i="41"/>
  <c r="G120" i="32"/>
  <c r="I120" i="32"/>
  <c r="D14" i="41"/>
  <c r="G148" i="32"/>
  <c r="I148" i="32"/>
  <c r="D8" i="41"/>
  <c r="G64" i="32"/>
  <c r="I64" i="32"/>
  <c r="F121" i="32"/>
  <c r="F149" i="32"/>
  <c r="F181" i="32"/>
  <c r="F260" i="32"/>
  <c r="F37" i="32"/>
  <c r="F211" i="32"/>
  <c r="F65" i="32"/>
  <c r="L85" i="43"/>
  <c r="V455" i="32" s="1"/>
  <c r="J85" i="43"/>
  <c r="T455" i="32" s="1"/>
  <c r="C23" i="33" s="1"/>
  <c r="BZ23" i="33" s="1"/>
  <c r="L69" i="43"/>
  <c r="V439" i="32" s="1"/>
  <c r="J69" i="43"/>
  <c r="T439" i="32" s="1"/>
  <c r="I21" i="33" s="1"/>
  <c r="L59" i="43"/>
  <c r="V429" i="32" s="1"/>
  <c r="J59" i="43"/>
  <c r="T429" i="32" s="1"/>
  <c r="C20" i="33" s="1"/>
  <c r="L51" i="43"/>
  <c r="J51" i="43"/>
  <c r="L40" i="43"/>
  <c r="L177" i="43" s="1"/>
  <c r="J40" i="43"/>
  <c r="L29" i="43"/>
  <c r="J29" i="43"/>
  <c r="L26" i="43"/>
  <c r="J26" i="43"/>
  <c r="L21" i="43"/>
  <c r="V308" i="32" s="1"/>
  <c r="J21" i="43"/>
  <c r="T308" i="32" s="1"/>
  <c r="BS25" i="33" s="1"/>
  <c r="AO25" i="33" s="1"/>
  <c r="AJ25" i="33" s="1"/>
  <c r="V265" i="32"/>
  <c r="J11" i="43"/>
  <c r="T11" i="40"/>
  <c r="R11" i="40"/>
  <c r="T81" i="44"/>
  <c r="V417" i="32" s="1"/>
  <c r="R81" i="44"/>
  <c r="T417" i="32" s="1"/>
  <c r="T77" i="44"/>
  <c r="V414" i="32" s="1"/>
  <c r="R77" i="44"/>
  <c r="T414" i="32" s="1"/>
  <c r="T72" i="44"/>
  <c r="V426" i="32" s="1"/>
  <c r="Y86" i="51" s="1"/>
  <c r="R72" i="44"/>
  <c r="T426" i="32" s="1"/>
  <c r="Y86" i="33" s="1"/>
  <c r="Y84" i="33" s="1"/>
  <c r="Y68" i="33" s="1"/>
  <c r="S38" i="44"/>
  <c r="U38" i="44"/>
  <c r="BR57" i="66" l="1"/>
  <c r="AO57" i="66" s="1"/>
  <c r="BZ18" i="64"/>
  <c r="G37" i="66"/>
  <c r="T39" i="66"/>
  <c r="BZ39" i="66" s="1"/>
  <c r="I37" i="66"/>
  <c r="N9" i="32"/>
  <c r="O9" i="32" s="1"/>
  <c r="L6" i="44" s="1"/>
  <c r="AJ18" i="62"/>
  <c r="U37" i="66"/>
  <c r="BR27" i="66"/>
  <c r="AO27" i="66" s="1"/>
  <c r="AJ18" i="64"/>
  <c r="M23" i="32"/>
  <c r="M18" i="32"/>
  <c r="M24" i="32"/>
  <c r="M22" i="32"/>
  <c r="M20" i="32"/>
  <c r="M25" i="32"/>
  <c r="M19" i="32"/>
  <c r="T44" i="66"/>
  <c r="BZ44" i="66" s="1"/>
  <c r="Z128" i="64"/>
  <c r="BO7" i="64"/>
  <c r="Z7" i="64" s="1"/>
  <c r="BO5" i="64" s="1"/>
  <c r="J10" i="32"/>
  <c r="N6" i="32"/>
  <c r="C128" i="64"/>
  <c r="AR7" i="64"/>
  <c r="C7" i="64" s="1"/>
  <c r="AR5" i="64" s="1"/>
  <c r="AC128" i="64"/>
  <c r="BZ10" i="64"/>
  <c r="BZ9" i="64" s="1"/>
  <c r="AO64" i="66"/>
  <c r="AJ64" i="66" s="1"/>
  <c r="C64" i="66" s="1"/>
  <c r="T43" i="66"/>
  <c r="BZ43" i="66" s="1"/>
  <c r="J11" i="32"/>
  <c r="AX66" i="61"/>
  <c r="AV66" i="61" s="1"/>
  <c r="AO66" i="61" s="1"/>
  <c r="AX9" i="61"/>
  <c r="AV9" i="61" s="1"/>
  <c r="AO9" i="61" s="1"/>
  <c r="AP9" i="61" s="1"/>
  <c r="G66" i="61"/>
  <c r="AJ66" i="61" s="1"/>
  <c r="T18" i="64"/>
  <c r="T9" i="64" s="1"/>
  <c r="AJ9" i="64" s="1"/>
  <c r="H7" i="32"/>
  <c r="H11" i="32"/>
  <c r="C7" i="62"/>
  <c r="I68" i="62"/>
  <c r="G69" i="62"/>
  <c r="BR9" i="64"/>
  <c r="AC66" i="64" s="1"/>
  <c r="AC27" i="66"/>
  <c r="AC18" i="66" s="1"/>
  <c r="G29" i="66"/>
  <c r="T29" i="66"/>
  <c r="BZ29" i="66" s="1"/>
  <c r="T49" i="66"/>
  <c r="AW66" i="62"/>
  <c r="AW9" i="62"/>
  <c r="BC8" i="64"/>
  <c r="AO8" i="64" s="1"/>
  <c r="J7" i="32"/>
  <c r="BY66" i="60"/>
  <c r="AP66" i="60"/>
  <c r="M26" i="32"/>
  <c r="L12" i="32" s="1"/>
  <c r="M21" i="32"/>
  <c r="U128" i="64"/>
  <c r="BJ7" i="64"/>
  <c r="BI7" i="62"/>
  <c r="AO7" i="62" s="1"/>
  <c r="U7" i="62"/>
  <c r="G48" i="66"/>
  <c r="BS9" i="66"/>
  <c r="M18" i="66"/>
  <c r="K18" i="66"/>
  <c r="BZ9" i="62"/>
  <c r="J2" i="32" s="1"/>
  <c r="J3" i="32" s="1"/>
  <c r="H66" i="64"/>
  <c r="H128" i="64"/>
  <c r="AX10" i="64"/>
  <c r="AV10" i="64" s="1"/>
  <c r="AO10" i="64" s="1"/>
  <c r="I69" i="64"/>
  <c r="AC129" i="64"/>
  <c r="AC68" i="64"/>
  <c r="BR66" i="64" s="1"/>
  <c r="BZ69" i="64"/>
  <c r="BZ68" i="64" s="1"/>
  <c r="X31" i="66"/>
  <c r="V31" i="66"/>
  <c r="I31" i="66"/>
  <c r="G31" i="66" s="1"/>
  <c r="AB31" i="66"/>
  <c r="AB27" i="66" s="1"/>
  <c r="BY31" i="66"/>
  <c r="Y31" i="66"/>
  <c r="W31" i="66"/>
  <c r="C31" i="66"/>
  <c r="AP31" i="66"/>
  <c r="U31" i="66"/>
  <c r="E31" i="66"/>
  <c r="S59" i="66"/>
  <c r="AC59" i="66"/>
  <c r="AD66" i="66"/>
  <c r="AA42" i="66"/>
  <c r="AA41" i="66" s="1"/>
  <c r="AA18" i="66" s="1"/>
  <c r="BY42" i="66"/>
  <c r="BY41" i="66" s="1"/>
  <c r="Z42" i="66"/>
  <c r="AP42" i="66"/>
  <c r="F42" i="66"/>
  <c r="C23" i="66"/>
  <c r="C19" i="66" s="1"/>
  <c r="I23" i="66"/>
  <c r="G23" i="66" s="1"/>
  <c r="Y23" i="66"/>
  <c r="Y19" i="66" s="1"/>
  <c r="E23" i="66"/>
  <c r="E19" i="66" s="1"/>
  <c r="AB23" i="66"/>
  <c r="AB19" i="66" s="1"/>
  <c r="U23" i="66"/>
  <c r="U19" i="66" s="1"/>
  <c r="W23" i="66"/>
  <c r="BY23" i="66"/>
  <c r="V23" i="66"/>
  <c r="V19" i="66" s="1"/>
  <c r="AP23" i="66"/>
  <c r="X23" i="66"/>
  <c r="X19" i="66" s="1"/>
  <c r="AO47" i="66"/>
  <c r="AJ47" i="66" s="1"/>
  <c r="BR46" i="66"/>
  <c r="AO46" i="66" s="1"/>
  <c r="T37" i="66"/>
  <c r="N62" i="66"/>
  <c r="C37" i="66"/>
  <c r="W28" i="66"/>
  <c r="Y28" i="66"/>
  <c r="AP28" i="66"/>
  <c r="E28" i="66"/>
  <c r="U28" i="66"/>
  <c r="X28" i="66"/>
  <c r="V28" i="66"/>
  <c r="V27" i="66" s="1"/>
  <c r="BY28" i="66"/>
  <c r="I28" i="66"/>
  <c r="C28" i="66"/>
  <c r="AJ24" i="66"/>
  <c r="N19" i="66"/>
  <c r="Q27" i="66"/>
  <c r="Q18" i="66" s="1"/>
  <c r="N34" i="66"/>
  <c r="N32" i="66"/>
  <c r="S27" i="66"/>
  <c r="S18" i="66" s="1"/>
  <c r="T50" i="66"/>
  <c r="BZ50" i="66" s="1"/>
  <c r="T51" i="66"/>
  <c r="BZ38" i="66"/>
  <c r="Z64" i="66"/>
  <c r="Z57" i="66" s="1"/>
  <c r="R64" i="66"/>
  <c r="R57" i="66" s="1"/>
  <c r="R9" i="66" s="1"/>
  <c r="S64" i="66"/>
  <c r="U64" i="66"/>
  <c r="E64" i="66"/>
  <c r="W19" i="66"/>
  <c r="AI89" i="66"/>
  <c r="AP89" i="66"/>
  <c r="T30" i="66"/>
  <c r="BZ30" i="66" s="1"/>
  <c r="T48" i="66"/>
  <c r="BZ48" i="66" s="1"/>
  <c r="V58" i="66"/>
  <c r="C58" i="66"/>
  <c r="W58" i="66"/>
  <c r="E58" i="66"/>
  <c r="X58" i="66"/>
  <c r="BY58" i="66"/>
  <c r="I58" i="66"/>
  <c r="Y58" i="66"/>
  <c r="J58" i="66"/>
  <c r="AP58" i="66"/>
  <c r="U58" i="66"/>
  <c r="AB58" i="66"/>
  <c r="T35" i="66"/>
  <c r="BZ35" i="66" s="1"/>
  <c r="BZ51" i="66"/>
  <c r="AO41" i="66"/>
  <c r="N61" i="66"/>
  <c r="T20" i="66"/>
  <c r="BZ20" i="66"/>
  <c r="G20" i="66"/>
  <c r="BZ49" i="66"/>
  <c r="F67" i="32"/>
  <c r="AD81" i="65"/>
  <c r="F151" i="32"/>
  <c r="AD85" i="65" s="1"/>
  <c r="F123" i="32"/>
  <c r="AD83" i="65" s="1"/>
  <c r="F94" i="32"/>
  <c r="W82" i="65" s="1"/>
  <c r="S82" i="65"/>
  <c r="AP71" i="65"/>
  <c r="BY71" i="65"/>
  <c r="BY70" i="65" s="1"/>
  <c r="L128" i="65"/>
  <c r="L66" i="65"/>
  <c r="BZ20" i="33"/>
  <c r="C19" i="33"/>
  <c r="X86" i="33"/>
  <c r="BY25" i="33"/>
  <c r="AP25" i="33"/>
  <c r="AC25" i="33"/>
  <c r="G21" i="33"/>
  <c r="G19" i="33" s="1"/>
  <c r="BZ21" i="33"/>
  <c r="I19" i="33"/>
  <c r="X86" i="51"/>
  <c r="T86" i="51" s="1"/>
  <c r="T229" i="32"/>
  <c r="T55" i="32"/>
  <c r="T258" i="32"/>
  <c r="T139" i="32"/>
  <c r="T111" i="32"/>
  <c r="T199" i="32"/>
  <c r="T83" i="32"/>
  <c r="V55" i="32"/>
  <c r="V111" i="32"/>
  <c r="V229" i="32"/>
  <c r="V199" i="32"/>
  <c r="V139" i="32"/>
  <c r="V83" i="32"/>
  <c r="V258" i="32"/>
  <c r="F95" i="32"/>
  <c r="AD82" i="65" s="1"/>
  <c r="F85" i="32"/>
  <c r="T287" i="32"/>
  <c r="BW92" i="33" s="1"/>
  <c r="T286" i="32"/>
  <c r="T284" i="32"/>
  <c r="BW99" i="33" s="1"/>
  <c r="AO99" i="33" s="1"/>
  <c r="AJ99" i="33" s="1"/>
  <c r="J111" i="43"/>
  <c r="T481" i="32" s="1"/>
  <c r="T317" i="32"/>
  <c r="J217" i="43"/>
  <c r="T587" i="32" s="1"/>
  <c r="T338" i="32"/>
  <c r="V286" i="32"/>
  <c r="V287" i="32"/>
  <c r="BW92" i="51" s="1"/>
  <c r="AO92" i="51" s="1"/>
  <c r="AJ92" i="51" s="1"/>
  <c r="V284" i="32"/>
  <c r="BW99" i="51" s="1"/>
  <c r="L111" i="43"/>
  <c r="V481" i="32" s="1"/>
  <c r="V317" i="32"/>
  <c r="L217" i="43"/>
  <c r="V587" i="32" s="1"/>
  <c r="V338" i="32"/>
  <c r="J48" i="43"/>
  <c r="T265" i="32"/>
  <c r="T272" i="32" s="1"/>
  <c r="J105" i="43"/>
  <c r="T475" i="32" s="1"/>
  <c r="T314" i="32"/>
  <c r="J177" i="43"/>
  <c r="T547" i="32" s="1"/>
  <c r="T328" i="32"/>
  <c r="L48" i="43"/>
  <c r="L105" i="43"/>
  <c r="V475" i="32" s="1"/>
  <c r="V314" i="32"/>
  <c r="V547" i="32"/>
  <c r="V328" i="32"/>
  <c r="F213" i="32"/>
  <c r="AD87" i="65" s="1"/>
  <c r="G211" i="32"/>
  <c r="I211" i="32"/>
  <c r="G18" i="44"/>
  <c r="G16" i="41"/>
  <c r="G37" i="32"/>
  <c r="I37" i="32"/>
  <c r="G149" i="32"/>
  <c r="I149" i="32"/>
  <c r="E6" i="41"/>
  <c r="C15" i="39"/>
  <c r="G10" i="41"/>
  <c r="D51" i="39"/>
  <c r="E16" i="41"/>
  <c r="E18" i="44"/>
  <c r="E18" i="41"/>
  <c r="E38" i="44"/>
  <c r="E14" i="41"/>
  <c r="C87" i="39"/>
  <c r="G18" i="41"/>
  <c r="G38" i="44"/>
  <c r="G260" i="32"/>
  <c r="I260" i="32"/>
  <c r="G121" i="32"/>
  <c r="I121" i="32"/>
  <c r="G12" i="41"/>
  <c r="D69" i="39"/>
  <c r="G6" i="41"/>
  <c r="D15" i="39"/>
  <c r="E8" i="41"/>
  <c r="C33" i="39"/>
  <c r="E10" i="41"/>
  <c r="C51" i="39"/>
  <c r="G65" i="32"/>
  <c r="I65" i="32"/>
  <c r="F183" i="32"/>
  <c r="AD86" i="65" s="1"/>
  <c r="G181" i="32"/>
  <c r="I181" i="32"/>
  <c r="G8" i="41"/>
  <c r="D33" i="39"/>
  <c r="G14" i="41"/>
  <c r="D87" i="39"/>
  <c r="E12" i="41"/>
  <c r="C69" i="39"/>
  <c r="G93" i="32"/>
  <c r="I93" i="32"/>
  <c r="F38" i="32"/>
  <c r="F39" i="32"/>
  <c r="AD79" i="65" s="1"/>
  <c r="F28" i="32"/>
  <c r="F150" i="32"/>
  <c r="S85" i="65" s="1"/>
  <c r="F141" i="32"/>
  <c r="F66" i="32"/>
  <c r="J81" i="65" s="1"/>
  <c r="F57" i="32"/>
  <c r="F212" i="32"/>
  <c r="Y87" i="65" s="1"/>
  <c r="F203" i="32"/>
  <c r="F182" i="32"/>
  <c r="W86" i="65" s="1"/>
  <c r="T86" i="65" s="1"/>
  <c r="F169" i="32"/>
  <c r="F122" i="32"/>
  <c r="W83" i="65" s="1"/>
  <c r="F113" i="32"/>
  <c r="Q82" i="65" l="1"/>
  <c r="Y82" i="65"/>
  <c r="I19" i="66"/>
  <c r="L5" i="44"/>
  <c r="G19" i="66"/>
  <c r="X27" i="66"/>
  <c r="L9" i="32"/>
  <c r="M9" i="32" s="1"/>
  <c r="J6" i="44" s="1"/>
  <c r="W27" i="66"/>
  <c r="W18" i="66" s="1"/>
  <c r="H10" i="32"/>
  <c r="F3" i="45" s="1"/>
  <c r="E27" i="66"/>
  <c r="BY64" i="66"/>
  <c r="BY57" i="66" s="1"/>
  <c r="X64" i="66"/>
  <c r="X57" i="66" s="1"/>
  <c r="Q64" i="66"/>
  <c r="AB64" i="66"/>
  <c r="AB57" i="66" s="1"/>
  <c r="K64" i="66"/>
  <c r="K57" i="66" s="1"/>
  <c r="K9" i="66" s="1"/>
  <c r="K69" i="66" s="1"/>
  <c r="K68" i="66" s="1"/>
  <c r="K66" i="66" s="1"/>
  <c r="W64" i="66"/>
  <c r="W57" i="66" s="1"/>
  <c r="Y27" i="66"/>
  <c r="M64" i="66"/>
  <c r="M57" i="66" s="1"/>
  <c r="M9" i="66" s="1"/>
  <c r="AA64" i="66"/>
  <c r="AA57" i="66" s="1"/>
  <c r="AA9" i="66" s="1"/>
  <c r="AA128" i="66" s="1"/>
  <c r="J64" i="66"/>
  <c r="J57" i="66" s="1"/>
  <c r="J9" i="66" s="1"/>
  <c r="Y64" i="66"/>
  <c r="Y57" i="66" s="1"/>
  <c r="H64" i="66"/>
  <c r="I64" i="66"/>
  <c r="F64" i="66"/>
  <c r="F57" i="66" s="1"/>
  <c r="AP64" i="66"/>
  <c r="V64" i="66"/>
  <c r="AJ37" i="66"/>
  <c r="AP37" i="66" s="1"/>
  <c r="Y83" i="65"/>
  <c r="K8" i="32"/>
  <c r="H4" i="44" s="1"/>
  <c r="K5" i="32"/>
  <c r="E4" i="39" s="1"/>
  <c r="M12" i="32"/>
  <c r="J4" i="40" s="1"/>
  <c r="J3" i="40"/>
  <c r="F3" i="41"/>
  <c r="K10" i="32"/>
  <c r="H4" i="45" s="1"/>
  <c r="J14" i="32"/>
  <c r="J15" i="32" s="1"/>
  <c r="H3" i="45"/>
  <c r="J82" i="65"/>
  <c r="G82" i="65" s="1"/>
  <c r="J87" i="65"/>
  <c r="G87" i="65" s="1"/>
  <c r="X81" i="65"/>
  <c r="U7" i="64"/>
  <c r="BI7" i="64"/>
  <c r="AO7" i="64" s="1"/>
  <c r="G68" i="62"/>
  <c r="AJ68" i="62" s="1"/>
  <c r="AP68" i="62" s="1"/>
  <c r="AJ69" i="62"/>
  <c r="AP69" i="62" s="1"/>
  <c r="D3" i="43"/>
  <c r="BW118" i="65"/>
  <c r="AO118" i="65" s="1"/>
  <c r="AJ118" i="65" s="1"/>
  <c r="AC86" i="65"/>
  <c r="N82" i="65"/>
  <c r="W85" i="65"/>
  <c r="E87" i="65"/>
  <c r="V57" i="66"/>
  <c r="I66" i="62"/>
  <c r="I128" i="62"/>
  <c r="K11" i="32"/>
  <c r="H4" i="41" s="1"/>
  <c r="H3" i="41"/>
  <c r="H2" i="32"/>
  <c r="L6" i="32"/>
  <c r="Q86" i="65"/>
  <c r="J83" i="65"/>
  <c r="G83" i="65" s="1"/>
  <c r="Q85" i="65"/>
  <c r="N85" i="65" s="1"/>
  <c r="S81" i="65"/>
  <c r="I68" i="64"/>
  <c r="G69" i="64"/>
  <c r="AW9" i="64"/>
  <c r="AW66" i="64"/>
  <c r="BJ5" i="62"/>
  <c r="BI5" i="62" s="1"/>
  <c r="T7" i="62"/>
  <c r="K7" i="32"/>
  <c r="E4" i="43" s="1"/>
  <c r="E3" i="43"/>
  <c r="AR5" i="62"/>
  <c r="AO5" i="62" s="1"/>
  <c r="AJ7" i="62"/>
  <c r="AP7" i="62" s="1"/>
  <c r="BY66" i="61"/>
  <c r="AP66" i="61"/>
  <c r="O6" i="32"/>
  <c r="G6" i="39" s="1"/>
  <c r="G5" i="39"/>
  <c r="BZ19" i="33"/>
  <c r="R128" i="66"/>
  <c r="BG8" i="66"/>
  <c r="E57" i="66"/>
  <c r="N64" i="66"/>
  <c r="BZ37" i="66"/>
  <c r="N27" i="66"/>
  <c r="N18" i="66" s="1"/>
  <c r="AJ32" i="66"/>
  <c r="C27" i="66"/>
  <c r="Q57" i="66"/>
  <c r="Q9" i="66" s="1"/>
  <c r="W47" i="66"/>
  <c r="W46" i="66" s="1"/>
  <c r="C47" i="66"/>
  <c r="E47" i="66"/>
  <c r="E46" i="66" s="1"/>
  <c r="Y47" i="66"/>
  <c r="Y46" i="66" s="1"/>
  <c r="BY47" i="66"/>
  <c r="BY46" i="66" s="1"/>
  <c r="AP47" i="66"/>
  <c r="X47" i="66"/>
  <c r="X46" i="66" s="1"/>
  <c r="AB47" i="66"/>
  <c r="AB46" i="66" s="1"/>
  <c r="AB18" i="66" s="1"/>
  <c r="U47" i="66"/>
  <c r="V47" i="66"/>
  <c r="V46" i="66" s="1"/>
  <c r="V18" i="66" s="1"/>
  <c r="I47" i="66"/>
  <c r="S57" i="66"/>
  <c r="S9" i="66" s="1"/>
  <c r="N59" i="66"/>
  <c r="F41" i="66"/>
  <c r="M69" i="66"/>
  <c r="M68" i="66" s="1"/>
  <c r="M66" i="66" s="1"/>
  <c r="BB10" i="66"/>
  <c r="BR18" i="66"/>
  <c r="U57" i="66"/>
  <c r="T58" i="66"/>
  <c r="G58" i="66"/>
  <c r="H57" i="66"/>
  <c r="H9" i="66" s="1"/>
  <c r="G28" i="66"/>
  <c r="G27" i="66" s="1"/>
  <c r="I27" i="66"/>
  <c r="T28" i="66"/>
  <c r="BZ28" i="66" s="1"/>
  <c r="U27" i="66"/>
  <c r="T23" i="66"/>
  <c r="T19" i="66" s="1"/>
  <c r="T42" i="66"/>
  <c r="BZ42" i="66" s="1"/>
  <c r="Z41" i="66"/>
  <c r="T31" i="66"/>
  <c r="BZ31" i="66" s="1"/>
  <c r="AC57" i="66"/>
  <c r="AC9" i="66" s="1"/>
  <c r="AJ59" i="66"/>
  <c r="AP59" i="66" s="1"/>
  <c r="C57" i="66"/>
  <c r="Y18" i="66"/>
  <c r="AP24" i="66"/>
  <c r="BY24" i="66"/>
  <c r="BY19" i="66" s="1"/>
  <c r="AD84" i="65"/>
  <c r="J80" i="65"/>
  <c r="G80" i="65" s="1"/>
  <c r="G81" i="65"/>
  <c r="F24" i="32"/>
  <c r="BW87" i="65"/>
  <c r="AO87" i="65" s="1"/>
  <c r="E86" i="65"/>
  <c r="S86" i="65"/>
  <c r="AC82" i="65"/>
  <c r="E82" i="65"/>
  <c r="X82" i="65"/>
  <c r="E83" i="65"/>
  <c r="AC79" i="65"/>
  <c r="BW126" i="65"/>
  <c r="AO126" i="65" s="1"/>
  <c r="AJ126" i="65" s="1"/>
  <c r="W79" i="65"/>
  <c r="X79" i="65"/>
  <c r="Q79" i="65"/>
  <c r="Y85" i="65"/>
  <c r="Y84" i="65" s="1"/>
  <c r="AC87" i="65"/>
  <c r="X87" i="65"/>
  <c r="S87" i="65"/>
  <c r="AD80" i="65"/>
  <c r="AD68" i="65" s="1"/>
  <c r="Q81" i="65"/>
  <c r="G85" i="32"/>
  <c r="BW82" i="65"/>
  <c r="AO82" i="65" s="1"/>
  <c r="F20" i="32"/>
  <c r="E79" i="65"/>
  <c r="J79" i="65"/>
  <c r="F18" i="32"/>
  <c r="BW79" i="65"/>
  <c r="BA66" i="65"/>
  <c r="BA9" i="65"/>
  <c r="J86" i="65"/>
  <c r="G86" i="65" s="1"/>
  <c r="X83" i="65"/>
  <c r="T83" i="65" s="1"/>
  <c r="S83" i="65"/>
  <c r="S80" i="65" s="1"/>
  <c r="BW123" i="65"/>
  <c r="S79" i="65"/>
  <c r="BW120" i="65"/>
  <c r="Y79" i="65"/>
  <c r="J85" i="65"/>
  <c r="E85" i="65"/>
  <c r="W87" i="65"/>
  <c r="Q87" i="65"/>
  <c r="AC81" i="65"/>
  <c r="W81" i="65"/>
  <c r="Y81" i="65"/>
  <c r="Y80" i="65" s="1"/>
  <c r="F21" i="32"/>
  <c r="BW83" i="65"/>
  <c r="AO83" i="65" s="1"/>
  <c r="F22" i="32"/>
  <c r="BW85" i="65"/>
  <c r="BW127" i="65"/>
  <c r="BW125" i="65"/>
  <c r="F23" i="32"/>
  <c r="BW86" i="65"/>
  <c r="AO86" i="65" s="1"/>
  <c r="F19" i="32"/>
  <c r="BW81" i="65"/>
  <c r="AC83" i="65"/>
  <c r="Q83" i="65"/>
  <c r="BW122" i="65"/>
  <c r="AO122" i="65" s="1"/>
  <c r="BW119" i="65"/>
  <c r="BW124" i="65"/>
  <c r="BW121" i="65"/>
  <c r="AC85" i="65"/>
  <c r="X85" i="65"/>
  <c r="E81" i="65"/>
  <c r="AP99" i="33"/>
  <c r="AI99" i="33"/>
  <c r="I85" i="32"/>
  <c r="BW91" i="33"/>
  <c r="BW71" i="33"/>
  <c r="T86" i="33"/>
  <c r="AO92" i="33"/>
  <c r="AJ92" i="33" s="1"/>
  <c r="AP92" i="33" s="1"/>
  <c r="BW71" i="51"/>
  <c r="BW91" i="51"/>
  <c r="AO99" i="51"/>
  <c r="AJ99" i="51" s="1"/>
  <c r="AI99" i="51" s="1"/>
  <c r="AP92" i="51"/>
  <c r="AI92" i="51"/>
  <c r="BY92" i="51"/>
  <c r="F266" i="32"/>
  <c r="C12" i="43" s="1"/>
  <c r="L210" i="43"/>
  <c r="V580" i="32" s="1"/>
  <c r="V309" i="32"/>
  <c r="J210" i="43"/>
  <c r="T580" i="32" s="1"/>
  <c r="T309" i="32"/>
  <c r="V634" i="32"/>
  <c r="G169" i="32"/>
  <c r="I169" i="32"/>
  <c r="G57" i="32"/>
  <c r="I57" i="32"/>
  <c r="G28" i="32"/>
  <c r="I28" i="32"/>
  <c r="G113" i="32"/>
  <c r="I113" i="32"/>
  <c r="D31" i="44"/>
  <c r="G203" i="32"/>
  <c r="E31" i="44" s="1"/>
  <c r="I203" i="32"/>
  <c r="G31" i="44" s="1"/>
  <c r="G141" i="32"/>
  <c r="I141" i="32"/>
  <c r="F263" i="32"/>
  <c r="F264" i="32"/>
  <c r="C10" i="43" s="1"/>
  <c r="F261" i="32"/>
  <c r="C7" i="43" s="1"/>
  <c r="F262" i="32"/>
  <c r="F265" i="32"/>
  <c r="B417" i="32"/>
  <c r="B416" i="32"/>
  <c r="B414" i="32"/>
  <c r="B413" i="32"/>
  <c r="N83" i="65" l="1"/>
  <c r="T87" i="65"/>
  <c r="X84" i="65"/>
  <c r="H14" i="32"/>
  <c r="I26" i="32" s="1"/>
  <c r="H12" i="32" s="1"/>
  <c r="I12" i="32" s="1"/>
  <c r="F4" i="40" s="1"/>
  <c r="AC80" i="65"/>
  <c r="AC84" i="65"/>
  <c r="BZ87" i="65"/>
  <c r="F273" i="32"/>
  <c r="BS51" i="65" s="1"/>
  <c r="BR51" i="65" s="1"/>
  <c r="AO51" i="65" s="1"/>
  <c r="AJ51" i="65" s="1"/>
  <c r="AZ10" i="66"/>
  <c r="G64" i="66"/>
  <c r="X18" i="66"/>
  <c r="X9" i="66" s="1"/>
  <c r="BZ23" i="66"/>
  <c r="BZ19" i="66" s="1"/>
  <c r="W9" i="66"/>
  <c r="E18" i="66"/>
  <c r="I57" i="66"/>
  <c r="J5" i="44"/>
  <c r="Y9" i="66"/>
  <c r="J69" i="66"/>
  <c r="J68" i="66" s="1"/>
  <c r="J66" i="66" s="1"/>
  <c r="AY9" i="66" s="1"/>
  <c r="AY10" i="66"/>
  <c r="AB9" i="66"/>
  <c r="BQ7" i="66" s="1"/>
  <c r="AB7" i="66" s="1"/>
  <c r="BQ5" i="66" s="1"/>
  <c r="N57" i="66"/>
  <c r="N9" i="66" s="1"/>
  <c r="BP7" i="66"/>
  <c r="AA7" i="66" s="1"/>
  <c r="BP5" i="66" s="1"/>
  <c r="I11" i="32"/>
  <c r="F4" i="41" s="1"/>
  <c r="H3" i="32"/>
  <c r="V9" i="66"/>
  <c r="V128" i="66" s="1"/>
  <c r="T64" i="66"/>
  <c r="BZ64" i="66" s="1"/>
  <c r="S84" i="65"/>
  <c r="S68" i="65" s="1"/>
  <c r="BH67" i="65" s="1"/>
  <c r="M128" i="66"/>
  <c r="I10" i="32"/>
  <c r="F4" i="45" s="1"/>
  <c r="G68" i="64"/>
  <c r="AJ68" i="64" s="1"/>
  <c r="AP68" i="64" s="1"/>
  <c r="AJ69" i="64"/>
  <c r="AP69" i="64" s="1"/>
  <c r="AX66" i="62"/>
  <c r="AV66" i="62" s="1"/>
  <c r="AO66" i="62" s="1"/>
  <c r="AX9" i="62"/>
  <c r="AV9" i="62" s="1"/>
  <c r="AO9" i="62" s="1"/>
  <c r="AP9" i="62" s="1"/>
  <c r="G66" i="62"/>
  <c r="AJ66" i="62" s="1"/>
  <c r="X80" i="65"/>
  <c r="X68" i="65" s="1"/>
  <c r="E9" i="66"/>
  <c r="AT7" i="66" s="1"/>
  <c r="E7" i="66" s="1"/>
  <c r="AT5" i="66" s="1"/>
  <c r="K128" i="66"/>
  <c r="I66" i="64"/>
  <c r="I128" i="64"/>
  <c r="K20" i="32"/>
  <c r="K24" i="32"/>
  <c r="K25" i="32"/>
  <c r="K23" i="32"/>
  <c r="K18" i="32"/>
  <c r="K19" i="32"/>
  <c r="K22" i="32"/>
  <c r="I7" i="32"/>
  <c r="D4" i="43" s="1"/>
  <c r="K26" i="32"/>
  <c r="J12" i="32" s="1"/>
  <c r="K21" i="32"/>
  <c r="M6" i="32"/>
  <c r="F6" i="39" s="1"/>
  <c r="F5" i="39"/>
  <c r="BJ5" i="64"/>
  <c r="BI5" i="64" s="1"/>
  <c r="AO5" i="64" s="1"/>
  <c r="T7" i="64"/>
  <c r="AJ7" i="64" s="1"/>
  <c r="AP7" i="64" s="1"/>
  <c r="BZ27" i="66"/>
  <c r="I8" i="32"/>
  <c r="F4" i="44" s="1"/>
  <c r="I5" i="32"/>
  <c r="D4" i="39" s="1"/>
  <c r="BS66" i="65"/>
  <c r="AD128" i="65"/>
  <c r="S128" i="66"/>
  <c r="BH8" i="66"/>
  <c r="Q128" i="66"/>
  <c r="BF8" i="66"/>
  <c r="AJ19" i="66"/>
  <c r="G47" i="66"/>
  <c r="G46" i="66" s="1"/>
  <c r="G18" i="66" s="1"/>
  <c r="I46" i="66"/>
  <c r="I18" i="66" s="1"/>
  <c r="I9" i="66" s="1"/>
  <c r="BZ41" i="66"/>
  <c r="W128" i="66"/>
  <c r="BL7" i="66"/>
  <c r="W7" i="66" s="1"/>
  <c r="BL5" i="66" s="1"/>
  <c r="AB128" i="66"/>
  <c r="H69" i="66"/>
  <c r="AW10" i="66"/>
  <c r="F18" i="66"/>
  <c r="F9" i="66" s="1"/>
  <c r="C46" i="66"/>
  <c r="G57" i="66"/>
  <c r="AO18" i="66"/>
  <c r="AC69" i="66"/>
  <c r="BR10" i="66"/>
  <c r="U46" i="66"/>
  <c r="U18" i="66" s="1"/>
  <c r="U9" i="66" s="1"/>
  <c r="T47" i="66"/>
  <c r="T46" i="66" s="1"/>
  <c r="BY32" i="66"/>
  <c r="BY27" i="66" s="1"/>
  <c r="BY18" i="66" s="1"/>
  <c r="BY9" i="66" s="1"/>
  <c r="AP32" i="66"/>
  <c r="AZ66" i="66"/>
  <c r="AZ9" i="66"/>
  <c r="AY66" i="66"/>
  <c r="X128" i="66"/>
  <c r="BM7" i="66"/>
  <c r="X7" i="66" s="1"/>
  <c r="BM5" i="66" s="1"/>
  <c r="Y128" i="66"/>
  <c r="BN7" i="66"/>
  <c r="Y7" i="66" s="1"/>
  <c r="BN5" i="66" s="1"/>
  <c r="BZ58" i="66"/>
  <c r="Z18" i="66"/>
  <c r="Z9" i="66" s="1"/>
  <c r="T41" i="66"/>
  <c r="AJ41" i="66" s="1"/>
  <c r="AP41" i="66" s="1"/>
  <c r="T27" i="66"/>
  <c r="AJ27" i="66" s="1"/>
  <c r="AP27" i="66" s="1"/>
  <c r="BB66" i="66"/>
  <c r="BB9" i="66"/>
  <c r="AO121" i="65"/>
  <c r="AJ121" i="65" s="1"/>
  <c r="AP121" i="65" s="1"/>
  <c r="AO125" i="65"/>
  <c r="AJ125" i="65" s="1"/>
  <c r="AP125" i="65"/>
  <c r="AO123" i="65"/>
  <c r="AJ123" i="65" s="1"/>
  <c r="AP123" i="65" s="1"/>
  <c r="BZ79" i="65"/>
  <c r="N79" i="65"/>
  <c r="E80" i="65"/>
  <c r="BZ80" i="65" s="1"/>
  <c r="BZ81" i="65"/>
  <c r="AO124" i="65"/>
  <c r="AJ124" i="65" s="1"/>
  <c r="AP124" i="65" s="1"/>
  <c r="AO127" i="65"/>
  <c r="AJ127" i="65" s="1"/>
  <c r="AP127" i="65" s="1"/>
  <c r="N87" i="65"/>
  <c r="AJ87" i="65" s="1"/>
  <c r="Y68" i="65"/>
  <c r="Q84" i="65"/>
  <c r="AP118" i="65"/>
  <c r="AI118" i="65"/>
  <c r="BY118" i="65"/>
  <c r="AJ83" i="65"/>
  <c r="BZ83" i="65"/>
  <c r="W84" i="65"/>
  <c r="J84" i="65"/>
  <c r="G85" i="65"/>
  <c r="G84" i="65" s="1"/>
  <c r="BW117" i="65"/>
  <c r="AO119" i="65"/>
  <c r="AJ119" i="65" s="1"/>
  <c r="AP119" i="65" s="1"/>
  <c r="AO85" i="65"/>
  <c r="BW84" i="65"/>
  <c r="AO84" i="65" s="1"/>
  <c r="AO120" i="65"/>
  <c r="AJ120" i="65" s="1"/>
  <c r="AP120" i="65" s="1"/>
  <c r="AO79" i="65"/>
  <c r="Q80" i="65"/>
  <c r="N80" i="65" s="1"/>
  <c r="N81" i="65"/>
  <c r="T79" i="65"/>
  <c r="BZ86" i="65"/>
  <c r="T85" i="65"/>
  <c r="T84" i="65" s="1"/>
  <c r="T82" i="65"/>
  <c r="AJ82" i="65" s="1"/>
  <c r="BS49" i="65"/>
  <c r="BR49" i="65" s="1"/>
  <c r="AO49" i="65" s="1"/>
  <c r="AJ49" i="65" s="1"/>
  <c r="AJ122" i="65"/>
  <c r="BW80" i="65"/>
  <c r="AO80" i="65" s="1"/>
  <c r="AO81" i="65"/>
  <c r="T81" i="65"/>
  <c r="W80" i="65"/>
  <c r="E84" i="65"/>
  <c r="BZ85" i="65"/>
  <c r="G79" i="65"/>
  <c r="AP126" i="65"/>
  <c r="BY126" i="65"/>
  <c r="AI126" i="65"/>
  <c r="BZ82" i="65"/>
  <c r="N86" i="65"/>
  <c r="BY92" i="33"/>
  <c r="AI92" i="33"/>
  <c r="AO91" i="33"/>
  <c r="AJ91" i="33" s="1"/>
  <c r="AP91" i="33" s="1"/>
  <c r="BW90" i="33"/>
  <c r="AO71" i="33"/>
  <c r="E71" i="33"/>
  <c r="BW70" i="33"/>
  <c r="AP99" i="51"/>
  <c r="BW90" i="51"/>
  <c r="AO91" i="51"/>
  <c r="AJ91" i="51" s="1"/>
  <c r="E71" i="51"/>
  <c r="AO71" i="51"/>
  <c r="BW70" i="51"/>
  <c r="AO70" i="51" s="1"/>
  <c r="F271" i="32"/>
  <c r="BS37" i="65" s="1"/>
  <c r="F268" i="32"/>
  <c r="BS19" i="65" s="1"/>
  <c r="F272" i="32"/>
  <c r="BS57" i="65" s="1"/>
  <c r="C11" i="43"/>
  <c r="F270" i="32"/>
  <c r="BS27" i="65" s="1"/>
  <c r="C9" i="43"/>
  <c r="F269" i="32"/>
  <c r="BS41" i="65" s="1"/>
  <c r="C8" i="43"/>
  <c r="B630" i="32"/>
  <c r="B629" i="32"/>
  <c r="B628" i="32"/>
  <c r="B627" i="32"/>
  <c r="B626" i="32"/>
  <c r="B625" i="32"/>
  <c r="B624" i="32"/>
  <c r="B623" i="32"/>
  <c r="B622" i="32"/>
  <c r="B620" i="32"/>
  <c r="B619" i="32"/>
  <c r="B618" i="32"/>
  <c r="B617" i="32"/>
  <c r="B616" i="32"/>
  <c r="B615" i="32"/>
  <c r="B614" i="32"/>
  <c r="B613" i="32"/>
  <c r="B612" i="32"/>
  <c r="B610" i="32"/>
  <c r="B609" i="32"/>
  <c r="B608" i="32"/>
  <c r="B606" i="32"/>
  <c r="B605" i="32"/>
  <c r="B604" i="32"/>
  <c r="B603" i="32"/>
  <c r="B602" i="32"/>
  <c r="B601" i="32"/>
  <c r="B600" i="32"/>
  <c r="B599" i="32"/>
  <c r="B598" i="32"/>
  <c r="B597" i="32"/>
  <c r="B596" i="32"/>
  <c r="B594" i="32"/>
  <c r="B593" i="32"/>
  <c r="B592" i="32"/>
  <c r="B591" i="32"/>
  <c r="B590" i="32"/>
  <c r="B589" i="32"/>
  <c r="B588" i="32"/>
  <c r="B587" i="32"/>
  <c r="B586" i="32"/>
  <c r="B584" i="32"/>
  <c r="B583" i="32"/>
  <c r="B582" i="32"/>
  <c r="B581" i="32"/>
  <c r="B580" i="32"/>
  <c r="B579" i="32"/>
  <c r="B578" i="32"/>
  <c r="B577" i="32"/>
  <c r="B576" i="32"/>
  <c r="B575" i="32"/>
  <c r="B574" i="32"/>
  <c r="B573" i="32"/>
  <c r="B572" i="32"/>
  <c r="B571" i="32"/>
  <c r="B570" i="32"/>
  <c r="B569" i="32"/>
  <c r="B568" i="32"/>
  <c r="B567" i="32"/>
  <c r="B566" i="32"/>
  <c r="B560" i="32"/>
  <c r="B559" i="32"/>
  <c r="B556" i="32"/>
  <c r="B555" i="32"/>
  <c r="B554" i="32"/>
  <c r="B553" i="32"/>
  <c r="B552" i="32"/>
  <c r="B551" i="32"/>
  <c r="B549" i="32"/>
  <c r="B548" i="32"/>
  <c r="B547" i="32"/>
  <c r="B546" i="32"/>
  <c r="B545" i="32"/>
  <c r="B544" i="32"/>
  <c r="B543" i="32"/>
  <c r="B542" i="32"/>
  <c r="B541" i="32"/>
  <c r="B540" i="32"/>
  <c r="B538" i="32"/>
  <c r="B537" i="32"/>
  <c r="B536" i="32"/>
  <c r="B535" i="32"/>
  <c r="B534" i="32"/>
  <c r="B533" i="32"/>
  <c r="B532" i="32"/>
  <c r="B531" i="32"/>
  <c r="B530" i="32"/>
  <c r="B529" i="32"/>
  <c r="B528" i="32"/>
  <c r="B526" i="32"/>
  <c r="B525" i="32"/>
  <c r="B524" i="32"/>
  <c r="B523" i="32"/>
  <c r="B522" i="32"/>
  <c r="B521" i="32"/>
  <c r="B520" i="32"/>
  <c r="B519" i="32"/>
  <c r="B518" i="32"/>
  <c r="C514" i="32"/>
  <c r="B512" i="32"/>
  <c r="B511" i="32"/>
  <c r="B510" i="32"/>
  <c r="B509" i="32"/>
  <c r="B508" i="32"/>
  <c r="B507" i="32"/>
  <c r="B506" i="32"/>
  <c r="B505" i="32"/>
  <c r="B504" i="32"/>
  <c r="B502" i="32"/>
  <c r="B501" i="32"/>
  <c r="B500" i="32"/>
  <c r="B498" i="32"/>
  <c r="B497" i="32"/>
  <c r="B496" i="32"/>
  <c r="B495" i="32"/>
  <c r="B494" i="32"/>
  <c r="B493" i="32"/>
  <c r="B492" i="32"/>
  <c r="B491" i="32"/>
  <c r="B490" i="32"/>
  <c r="B489" i="32"/>
  <c r="B488" i="32"/>
  <c r="B486" i="32"/>
  <c r="B485" i="32"/>
  <c r="B484" i="32"/>
  <c r="B483" i="32"/>
  <c r="B482" i="32"/>
  <c r="B481" i="32"/>
  <c r="B480" i="32"/>
  <c r="B479" i="32"/>
  <c r="B477" i="32"/>
  <c r="B476" i="32"/>
  <c r="B475" i="32"/>
  <c r="B473" i="32"/>
  <c r="B472" i="32"/>
  <c r="B471" i="32"/>
  <c r="B469" i="32"/>
  <c r="B468" i="32"/>
  <c r="B467" i="32"/>
  <c r="C465" i="32"/>
  <c r="B463" i="32"/>
  <c r="B462" i="32"/>
  <c r="B461" i="32"/>
  <c r="B460" i="32"/>
  <c r="B459" i="32"/>
  <c r="B458" i="32"/>
  <c r="B457" i="32"/>
  <c r="B456" i="32"/>
  <c r="B455" i="32"/>
  <c r="B453" i="32"/>
  <c r="B452" i="32"/>
  <c r="B451" i="32"/>
  <c r="B449" i="32"/>
  <c r="B448" i="32"/>
  <c r="B447" i="32"/>
  <c r="B446" i="32"/>
  <c r="B445" i="32"/>
  <c r="B444" i="32"/>
  <c r="B443" i="32"/>
  <c r="B442" i="32"/>
  <c r="B441" i="32"/>
  <c r="B440" i="32"/>
  <c r="B439" i="32"/>
  <c r="B437" i="32"/>
  <c r="B436" i="32"/>
  <c r="B435" i="32"/>
  <c r="B434" i="32"/>
  <c r="B433" i="32"/>
  <c r="B432" i="32"/>
  <c r="B431" i="32"/>
  <c r="B430" i="32"/>
  <c r="B429" i="32"/>
  <c r="B427" i="32"/>
  <c r="B426" i="32"/>
  <c r="B425" i="32"/>
  <c r="B424" i="32"/>
  <c r="B422" i="32"/>
  <c r="B421" i="32"/>
  <c r="B420" i="32"/>
  <c r="B419" i="32"/>
  <c r="B411" i="32"/>
  <c r="B410" i="32"/>
  <c r="B409" i="32"/>
  <c r="B408" i="32"/>
  <c r="B407" i="32"/>
  <c r="B406" i="32"/>
  <c r="B405" i="32"/>
  <c r="B404" i="32"/>
  <c r="B403" i="32"/>
  <c r="B402" i="32"/>
  <c r="B401" i="32"/>
  <c r="C399" i="32"/>
  <c r="B399" i="32"/>
  <c r="C398" i="32"/>
  <c r="B398" i="32"/>
  <c r="C397" i="32"/>
  <c r="B397" i="32"/>
  <c r="C396" i="32"/>
  <c r="B396" i="32"/>
  <c r="C395" i="32"/>
  <c r="B395" i="32"/>
  <c r="C394" i="32"/>
  <c r="B394" i="32"/>
  <c r="C393" i="32"/>
  <c r="B393" i="32"/>
  <c r="C392" i="32"/>
  <c r="B392" i="32"/>
  <c r="C391" i="32"/>
  <c r="B391" i="32"/>
  <c r="C390" i="32"/>
  <c r="B390" i="32"/>
  <c r="C389" i="32"/>
  <c r="C388" i="32"/>
  <c r="B388" i="32"/>
  <c r="B387" i="32"/>
  <c r="B386" i="32"/>
  <c r="B385" i="32"/>
  <c r="B384" i="32"/>
  <c r="B383" i="32"/>
  <c r="B382" i="32"/>
  <c r="C380" i="32"/>
  <c r="B380" i="32"/>
  <c r="C379" i="32"/>
  <c r="B379" i="32"/>
  <c r="C378" i="32"/>
  <c r="B378" i="32"/>
  <c r="C377" i="32"/>
  <c r="B377" i="32"/>
  <c r="C376" i="32"/>
  <c r="B376" i="32"/>
  <c r="C375" i="32"/>
  <c r="B375" i="32"/>
  <c r="C373" i="32"/>
  <c r="B373" i="32"/>
  <c r="C372" i="32"/>
  <c r="B372" i="32"/>
  <c r="C371" i="32"/>
  <c r="B371" i="32"/>
  <c r="C370" i="32"/>
  <c r="B370" i="32"/>
  <c r="C369" i="32"/>
  <c r="B369" i="32"/>
  <c r="C367" i="32"/>
  <c r="B367" i="32"/>
  <c r="C366" i="32"/>
  <c r="B366" i="32"/>
  <c r="C364" i="32"/>
  <c r="B364" i="32"/>
  <c r="C363" i="32"/>
  <c r="B363" i="32"/>
  <c r="C362" i="32"/>
  <c r="B362" i="32"/>
  <c r="C361" i="32"/>
  <c r="B361" i="32"/>
  <c r="C360" i="32"/>
  <c r="B360" i="32"/>
  <c r="C359" i="32"/>
  <c r="B359" i="32"/>
  <c r="C358" i="32"/>
  <c r="B358" i="32"/>
  <c r="C357" i="32"/>
  <c r="B357" i="32"/>
  <c r="B355" i="32"/>
  <c r="B354" i="32"/>
  <c r="B353" i="32"/>
  <c r="C351" i="32"/>
  <c r="B351" i="32"/>
  <c r="C350" i="32"/>
  <c r="B350" i="32"/>
  <c r="C349" i="32"/>
  <c r="B349" i="32"/>
  <c r="C348" i="32"/>
  <c r="B348" i="32"/>
  <c r="C347" i="32"/>
  <c r="B347" i="32"/>
  <c r="C346" i="32"/>
  <c r="B346" i="32"/>
  <c r="C345" i="32"/>
  <c r="B345" i="32"/>
  <c r="B335" i="32"/>
  <c r="B334" i="32"/>
  <c r="B333" i="32"/>
  <c r="B332" i="32"/>
  <c r="B331" i="32"/>
  <c r="B328" i="32"/>
  <c r="B327" i="32"/>
  <c r="B324" i="32"/>
  <c r="B323" i="32"/>
  <c r="B322" i="32"/>
  <c r="B321" i="32"/>
  <c r="B320" i="32"/>
  <c r="B319" i="32"/>
  <c r="B318" i="32"/>
  <c r="B317" i="32"/>
  <c r="B314" i="32"/>
  <c r="B313" i="32"/>
  <c r="B312" i="32"/>
  <c r="B309" i="32"/>
  <c r="B308" i="32"/>
  <c r="B307" i="32"/>
  <c r="B306" i="32"/>
  <c r="B305" i="32"/>
  <c r="B304" i="32"/>
  <c r="B303" i="32"/>
  <c r="B300" i="32"/>
  <c r="B299" i="32"/>
  <c r="B298" i="32"/>
  <c r="B297" i="32"/>
  <c r="B296" i="32"/>
  <c r="B295" i="32"/>
  <c r="B294" i="32"/>
  <c r="B283" i="32"/>
  <c r="B282" i="32"/>
  <c r="B26" i="32" s="1"/>
  <c r="B281" i="32"/>
  <c r="B280" i="32"/>
  <c r="B279" i="32"/>
  <c r="B278" i="32"/>
  <c r="B277" i="32"/>
  <c r="B276" i="32"/>
  <c r="B275" i="32"/>
  <c r="B259" i="32"/>
  <c r="B258" i="32"/>
  <c r="B257" i="32"/>
  <c r="B256" i="32"/>
  <c r="B255" i="32"/>
  <c r="B254" i="32"/>
  <c r="B252" i="32"/>
  <c r="B251" i="32"/>
  <c r="B250" i="32"/>
  <c r="B249" i="32"/>
  <c r="B248" i="32"/>
  <c r="B247" i="32"/>
  <c r="B246" i="32"/>
  <c r="B245" i="32"/>
  <c r="B244" i="32"/>
  <c r="B239" i="32"/>
  <c r="B238" i="32"/>
  <c r="B237" i="32"/>
  <c r="B236" i="32"/>
  <c r="B235" i="32"/>
  <c r="B234" i="32"/>
  <c r="B233" i="32"/>
  <c r="B230" i="32"/>
  <c r="B229" i="32"/>
  <c r="B228" i="32"/>
  <c r="B227" i="32"/>
  <c r="B226" i="32"/>
  <c r="B225" i="32"/>
  <c r="B223" i="32"/>
  <c r="B222" i="32"/>
  <c r="B221" i="32"/>
  <c r="B220" i="32"/>
  <c r="B219" i="32"/>
  <c r="B218" i="32"/>
  <c r="B217" i="32"/>
  <c r="B216" i="32"/>
  <c r="B215" i="32"/>
  <c r="B210" i="32"/>
  <c r="B209" i="32"/>
  <c r="B208" i="32"/>
  <c r="B207" i="32"/>
  <c r="B206" i="32"/>
  <c r="B205" i="32"/>
  <c r="B202" i="32"/>
  <c r="B201" i="32"/>
  <c r="B200" i="32"/>
  <c r="B199" i="32"/>
  <c r="B198" i="32"/>
  <c r="B197" i="32"/>
  <c r="B196" i="32"/>
  <c r="B195" i="32"/>
  <c r="B193" i="32"/>
  <c r="B192" i="32"/>
  <c r="B191" i="32"/>
  <c r="B190" i="32"/>
  <c r="B189" i="32"/>
  <c r="B188" i="32"/>
  <c r="B187" i="32"/>
  <c r="B186" i="32"/>
  <c r="B185" i="32"/>
  <c r="B180" i="32"/>
  <c r="B179" i="32"/>
  <c r="B178" i="32"/>
  <c r="B177" i="32"/>
  <c r="B176" i="32"/>
  <c r="B175" i="32"/>
  <c r="B173" i="32"/>
  <c r="B172" i="32"/>
  <c r="B171" i="32"/>
  <c r="B168" i="32"/>
  <c r="B167" i="32"/>
  <c r="B166" i="32"/>
  <c r="B165" i="32"/>
  <c r="B164" i="32"/>
  <c r="B163" i="32"/>
  <c r="B161" i="32"/>
  <c r="B97" i="39" s="1"/>
  <c r="B160" i="32"/>
  <c r="B96" i="39" s="1"/>
  <c r="B159" i="32"/>
  <c r="B95" i="39" s="1"/>
  <c r="B158" i="32"/>
  <c r="B94" i="39" s="1"/>
  <c r="B157" i="32"/>
  <c r="B93" i="39" s="1"/>
  <c r="B156" i="32"/>
  <c r="B92" i="39" s="1"/>
  <c r="B155" i="32"/>
  <c r="B91" i="39" s="1"/>
  <c r="B154" i="32"/>
  <c r="B90" i="39" s="1"/>
  <c r="B153" i="32"/>
  <c r="B89" i="39" s="1"/>
  <c r="B148" i="32"/>
  <c r="B147" i="32"/>
  <c r="B146" i="32"/>
  <c r="B145" i="32"/>
  <c r="B144" i="32"/>
  <c r="B143" i="32"/>
  <c r="B140" i="32"/>
  <c r="B139" i="32"/>
  <c r="B138" i="32"/>
  <c r="B137" i="32"/>
  <c r="B136" i="32"/>
  <c r="B135" i="32"/>
  <c r="B133" i="32"/>
  <c r="B132" i="32"/>
  <c r="B131" i="32"/>
  <c r="B130" i="32"/>
  <c r="B129" i="32"/>
  <c r="B128" i="32"/>
  <c r="B127" i="32"/>
  <c r="B126" i="32"/>
  <c r="B125" i="32"/>
  <c r="B120" i="32"/>
  <c r="B119" i="32"/>
  <c r="B118" i="32"/>
  <c r="B117" i="32"/>
  <c r="B116" i="32"/>
  <c r="B115" i="32"/>
  <c r="B112" i="32"/>
  <c r="B111" i="32"/>
  <c r="B110" i="32"/>
  <c r="B109" i="32"/>
  <c r="B108" i="32"/>
  <c r="B107" i="32"/>
  <c r="B105" i="32"/>
  <c r="B104" i="32"/>
  <c r="B103" i="32"/>
  <c r="B102" i="32"/>
  <c r="B101" i="32"/>
  <c r="B100" i="32"/>
  <c r="B99" i="32"/>
  <c r="B98" i="32"/>
  <c r="B97" i="32"/>
  <c r="B92" i="32"/>
  <c r="B91" i="32"/>
  <c r="B90" i="32"/>
  <c r="B89" i="32"/>
  <c r="B88" i="32"/>
  <c r="B87" i="32"/>
  <c r="B84" i="32"/>
  <c r="B83" i="32"/>
  <c r="B82" i="32"/>
  <c r="B81" i="32"/>
  <c r="B80" i="32"/>
  <c r="B79" i="32"/>
  <c r="B77" i="32"/>
  <c r="B76" i="32"/>
  <c r="B75" i="32"/>
  <c r="B74" i="32"/>
  <c r="B73" i="32"/>
  <c r="B72" i="32"/>
  <c r="B71" i="32"/>
  <c r="B70" i="32"/>
  <c r="B69" i="32"/>
  <c r="B64" i="32"/>
  <c r="B63" i="32"/>
  <c r="B62" i="32"/>
  <c r="B61" i="32"/>
  <c r="B60" i="32"/>
  <c r="B59" i="32"/>
  <c r="B56" i="32"/>
  <c r="B55" i="32"/>
  <c r="B54" i="32"/>
  <c r="B53" i="32"/>
  <c r="B52" i="32"/>
  <c r="B51" i="32"/>
  <c r="B49" i="32"/>
  <c r="B48" i="32"/>
  <c r="B47" i="32"/>
  <c r="B46" i="32"/>
  <c r="B45" i="32"/>
  <c r="B44" i="32"/>
  <c r="B43" i="32"/>
  <c r="B42" i="32"/>
  <c r="B41" i="32"/>
  <c r="B36" i="32"/>
  <c r="B35" i="32"/>
  <c r="B34" i="32"/>
  <c r="B33" i="32"/>
  <c r="B31" i="32"/>
  <c r="B30" i="32"/>
  <c r="B117" i="50"/>
  <c r="AJ81" i="65" l="1"/>
  <c r="F3" i="40"/>
  <c r="H15" i="32"/>
  <c r="I18" i="32" s="1"/>
  <c r="N84" i="65"/>
  <c r="BZ57" i="66"/>
  <c r="BS50" i="65"/>
  <c r="BR50" i="65" s="1"/>
  <c r="AO50" i="65" s="1"/>
  <c r="AJ50" i="65" s="1"/>
  <c r="I50" i="65" s="1"/>
  <c r="G50" i="65" s="1"/>
  <c r="BS48" i="65"/>
  <c r="BR48" i="65" s="1"/>
  <c r="AO48" i="65" s="1"/>
  <c r="AJ48" i="65" s="1"/>
  <c r="M48" i="65" s="1"/>
  <c r="M46" i="65" s="1"/>
  <c r="BS47" i="65"/>
  <c r="BS52" i="65"/>
  <c r="BR52" i="65" s="1"/>
  <c r="AO52" i="65" s="1"/>
  <c r="AJ52" i="65" s="1"/>
  <c r="BY52" i="65" s="1"/>
  <c r="BK7" i="66"/>
  <c r="V7" i="66" s="1"/>
  <c r="BK5" i="66" s="1"/>
  <c r="T57" i="66"/>
  <c r="AJ57" i="66" s="1"/>
  <c r="AP57" i="66" s="1"/>
  <c r="J128" i="66"/>
  <c r="E128" i="66"/>
  <c r="G9" i="66"/>
  <c r="AJ85" i="65"/>
  <c r="AP85" i="65" s="1"/>
  <c r="J9" i="32"/>
  <c r="BY66" i="62"/>
  <c r="AP66" i="62"/>
  <c r="AX66" i="64"/>
  <c r="AV66" i="64" s="1"/>
  <c r="AO66" i="64" s="1"/>
  <c r="AX9" i="64"/>
  <c r="AV9" i="64" s="1"/>
  <c r="AO9" i="64" s="1"/>
  <c r="AP9" i="64" s="1"/>
  <c r="G66" i="64"/>
  <c r="AJ66" i="64" s="1"/>
  <c r="AJ79" i="65"/>
  <c r="BY79" i="65" s="1"/>
  <c r="E68" i="65"/>
  <c r="BC8" i="66"/>
  <c r="AO8" i="66" s="1"/>
  <c r="K12" i="32"/>
  <c r="H4" i="40" s="1"/>
  <c r="H3" i="40"/>
  <c r="J6" i="32"/>
  <c r="I22" i="32"/>
  <c r="I19" i="32"/>
  <c r="I24" i="32"/>
  <c r="I23" i="32"/>
  <c r="I25" i="32"/>
  <c r="U128" i="66"/>
  <c r="BJ7" i="66"/>
  <c r="I69" i="66"/>
  <c r="I68" i="66" s="1"/>
  <c r="I66" i="66" s="1"/>
  <c r="AX10" i="66"/>
  <c r="AV10" i="66" s="1"/>
  <c r="AO10" i="66" s="1"/>
  <c r="AC128" i="66"/>
  <c r="BZ10" i="66"/>
  <c r="BR9" i="66"/>
  <c r="AC66" i="66" s="1"/>
  <c r="F128" i="66"/>
  <c r="AU7" i="66"/>
  <c r="F7" i="66" s="1"/>
  <c r="AU5" i="66" s="1"/>
  <c r="AP19" i="66"/>
  <c r="AC129" i="66"/>
  <c r="BZ69" i="66"/>
  <c r="BZ68" i="66" s="1"/>
  <c r="AC68" i="66"/>
  <c r="BR66" i="66" s="1"/>
  <c r="AJ46" i="66"/>
  <c r="AP46" i="66" s="1"/>
  <c r="C18" i="66"/>
  <c r="C9" i="66" s="1"/>
  <c r="T18" i="66"/>
  <c r="T9" i="66" s="1"/>
  <c r="Z128" i="66"/>
  <c r="BO7" i="66"/>
  <c r="Z7" i="66" s="1"/>
  <c r="BO5" i="66" s="1"/>
  <c r="BZ47" i="66"/>
  <c r="BZ46" i="66" s="1"/>
  <c r="BZ18" i="66" s="1"/>
  <c r="H68" i="66"/>
  <c r="BS23" i="65"/>
  <c r="BR23" i="65" s="1"/>
  <c r="AO23" i="65" s="1"/>
  <c r="AJ23" i="65" s="1"/>
  <c r="BS24" i="65"/>
  <c r="AO24" i="65" s="1"/>
  <c r="BS21" i="65"/>
  <c r="BR21" i="65" s="1"/>
  <c r="AO21" i="65" s="1"/>
  <c r="AJ21" i="65" s="1"/>
  <c r="BS20" i="65"/>
  <c r="BR20" i="65" s="1"/>
  <c r="BS22" i="65"/>
  <c r="BR22" i="65" s="1"/>
  <c r="AO22" i="65" s="1"/>
  <c r="AJ22" i="65" s="1"/>
  <c r="BS25" i="65"/>
  <c r="AO25" i="65" s="1"/>
  <c r="AJ25" i="65" s="1"/>
  <c r="AP82" i="65"/>
  <c r="BY82" i="65"/>
  <c r="AP79" i="65"/>
  <c r="BY85" i="65"/>
  <c r="AB48" i="65"/>
  <c r="U48" i="65"/>
  <c r="X48" i="65"/>
  <c r="AP48" i="65"/>
  <c r="E48" i="65"/>
  <c r="BY48" i="65"/>
  <c r="K48" i="65"/>
  <c r="K46" i="65" s="1"/>
  <c r="Y48" i="65"/>
  <c r="I48" i="65"/>
  <c r="F8" i="32"/>
  <c r="N68" i="65"/>
  <c r="BS33" i="65"/>
  <c r="AO33" i="65" s="1"/>
  <c r="AJ33" i="65" s="1"/>
  <c r="BS35" i="65"/>
  <c r="BR35" i="65" s="1"/>
  <c r="AO35" i="65" s="1"/>
  <c r="AJ35" i="65" s="1"/>
  <c r="BS32" i="65"/>
  <c r="AO32" i="65" s="1"/>
  <c r="BS31" i="65"/>
  <c r="BS29" i="65"/>
  <c r="BR29" i="65" s="1"/>
  <c r="AO29" i="65" s="1"/>
  <c r="AJ29" i="65" s="1"/>
  <c r="BS30" i="65"/>
  <c r="BR30" i="65" s="1"/>
  <c r="AO30" i="65" s="1"/>
  <c r="AJ30" i="65" s="1"/>
  <c r="BS28" i="65"/>
  <c r="BS34" i="65"/>
  <c r="BR34" i="65" s="1"/>
  <c r="AO34" i="65" s="1"/>
  <c r="AJ34" i="65" s="1"/>
  <c r="BS39" i="65"/>
  <c r="BR39" i="65" s="1"/>
  <c r="BS38" i="65"/>
  <c r="AO38" i="65" s="1"/>
  <c r="AJ38" i="65" s="1"/>
  <c r="BY81" i="65"/>
  <c r="AP81" i="65"/>
  <c r="BR47" i="65"/>
  <c r="AP52" i="65"/>
  <c r="AJ86" i="65"/>
  <c r="AI120" i="65"/>
  <c r="BY120" i="65"/>
  <c r="BY119" i="65"/>
  <c r="AI119" i="65"/>
  <c r="AJ117" i="65"/>
  <c r="AP117" i="65" s="1"/>
  <c r="BY127" i="65"/>
  <c r="AI127" i="65"/>
  <c r="F5" i="32"/>
  <c r="AI125" i="65"/>
  <c r="BY125" i="65"/>
  <c r="U51" i="65"/>
  <c r="C51" i="65"/>
  <c r="X51" i="65"/>
  <c r="Y51" i="65"/>
  <c r="V51" i="65"/>
  <c r="I51" i="65"/>
  <c r="G51" i="65" s="1"/>
  <c r="E51" i="65"/>
  <c r="AP51" i="65"/>
  <c r="AB51" i="65"/>
  <c r="W51" i="65"/>
  <c r="BY51" i="65"/>
  <c r="BW68" i="65"/>
  <c r="AO68" i="65" s="1"/>
  <c r="AO117" i="65"/>
  <c r="BW89" i="65"/>
  <c r="Q68" i="65"/>
  <c r="BF67" i="65" s="1"/>
  <c r="BC67" i="65" s="1"/>
  <c r="AO67" i="65" s="1"/>
  <c r="E50" i="65"/>
  <c r="X50" i="65"/>
  <c r="W68" i="65"/>
  <c r="T80" i="65"/>
  <c r="AJ80" i="65" s="1"/>
  <c r="AP80" i="65" s="1"/>
  <c r="AI122" i="65"/>
  <c r="BY122" i="65"/>
  <c r="BS42" i="65"/>
  <c r="BS44" i="65"/>
  <c r="BS43" i="65"/>
  <c r="BS64" i="65"/>
  <c r="BR64" i="65" s="1"/>
  <c r="AO64" i="65" s="1"/>
  <c r="AJ64" i="65" s="1"/>
  <c r="BS61" i="65"/>
  <c r="BS59" i="65"/>
  <c r="BR59" i="65" s="1"/>
  <c r="AO59" i="65" s="1"/>
  <c r="BS58" i="65"/>
  <c r="BR58" i="65" s="1"/>
  <c r="BS60" i="65"/>
  <c r="AO60" i="65" s="1"/>
  <c r="AJ60" i="65" s="1"/>
  <c r="BS62" i="65"/>
  <c r="BZ84" i="65"/>
  <c r="AP122" i="65"/>
  <c r="AP49" i="65"/>
  <c r="AB49" i="65"/>
  <c r="BY49" i="65"/>
  <c r="E49" i="65"/>
  <c r="U49" i="65"/>
  <c r="BY83" i="65"/>
  <c r="AP83" i="65"/>
  <c r="BY87" i="65"/>
  <c r="AP87" i="65"/>
  <c r="AI124" i="65"/>
  <c r="BY124" i="65"/>
  <c r="BY123" i="65"/>
  <c r="AI123" i="65"/>
  <c r="BY121" i="65"/>
  <c r="AI121" i="65"/>
  <c r="E70" i="33"/>
  <c r="M71" i="33"/>
  <c r="M70" i="33" s="1"/>
  <c r="K71" i="33"/>
  <c r="AC71" i="33"/>
  <c r="AC70" i="33" s="1"/>
  <c r="V71" i="33"/>
  <c r="AE71" i="33"/>
  <c r="AE70" i="33" s="1"/>
  <c r="AO90" i="33"/>
  <c r="AO70" i="33"/>
  <c r="BY91" i="33"/>
  <c r="BY90" i="33" s="1"/>
  <c r="AI91" i="33"/>
  <c r="AJ90" i="33"/>
  <c r="AP91" i="51"/>
  <c r="AJ90" i="51"/>
  <c r="AI90" i="51" s="1"/>
  <c r="AI91" i="51"/>
  <c r="BY91" i="51"/>
  <c r="BY90" i="51" s="1"/>
  <c r="AO90" i="51"/>
  <c r="E70" i="51"/>
  <c r="K71" i="51"/>
  <c r="AE71" i="51"/>
  <c r="AE70" i="51" s="1"/>
  <c r="M71" i="51"/>
  <c r="M70" i="51" s="1"/>
  <c r="V71" i="51"/>
  <c r="AC71" i="51"/>
  <c r="AC70" i="51" s="1"/>
  <c r="B644" i="32"/>
  <c r="B698" i="32"/>
  <c r="B690" i="32"/>
  <c r="B654" i="32"/>
  <c r="B665" i="32"/>
  <c r="B682" i="32"/>
  <c r="B676" i="32"/>
  <c r="B638" i="32"/>
  <c r="B670" i="32"/>
  <c r="B688" i="32"/>
  <c r="B635" i="32"/>
  <c r="B640" i="32"/>
  <c r="B645" i="32"/>
  <c r="B655" i="32"/>
  <c r="B661" i="32"/>
  <c r="B667" i="32"/>
  <c r="B671" i="32"/>
  <c r="B678" i="32"/>
  <c r="B684" i="32"/>
  <c r="B695" i="32"/>
  <c r="B636" i="32"/>
  <c r="B642" i="32"/>
  <c r="B646" i="32"/>
  <c r="B652" i="32"/>
  <c r="B657" i="32"/>
  <c r="B662" i="32"/>
  <c r="B668" i="32"/>
  <c r="B673" i="32"/>
  <c r="B680" i="32"/>
  <c r="B686" i="32"/>
  <c r="B692" i="32"/>
  <c r="B696" i="32"/>
  <c r="B637" i="32"/>
  <c r="B643" i="32"/>
  <c r="B648" i="32"/>
  <c r="B653" i="32"/>
  <c r="B659" i="32"/>
  <c r="B663" i="32"/>
  <c r="B669" i="32"/>
  <c r="B675" i="32"/>
  <c r="B681" i="32"/>
  <c r="B687" i="32"/>
  <c r="B693" i="32"/>
  <c r="B697" i="32"/>
  <c r="B651" i="32"/>
  <c r="B634" i="32"/>
  <c r="B650" i="32"/>
  <c r="B660" i="32"/>
  <c r="B694" i="32"/>
  <c r="J48" i="65" l="1"/>
  <c r="J46" i="65" s="1"/>
  <c r="T68" i="65"/>
  <c r="I21" i="32"/>
  <c r="H6" i="32" s="1"/>
  <c r="I20" i="32"/>
  <c r="AP50" i="65"/>
  <c r="C50" i="65"/>
  <c r="V50" i="65"/>
  <c r="W50" i="65"/>
  <c r="AB50" i="65"/>
  <c r="Y50" i="65"/>
  <c r="U50" i="65"/>
  <c r="BY50" i="65"/>
  <c r="AF52" i="65"/>
  <c r="AF46" i="65" s="1"/>
  <c r="AF18" i="65" s="1"/>
  <c r="AF9" i="65" s="1"/>
  <c r="BU5" i="65" s="1"/>
  <c r="BS46" i="65"/>
  <c r="BS18" i="65" s="1"/>
  <c r="AD129" i="65" s="1"/>
  <c r="H9" i="32"/>
  <c r="F5" i="44" s="1"/>
  <c r="T49" i="65"/>
  <c r="BZ49" i="65" s="1"/>
  <c r="G69" i="66"/>
  <c r="G68" i="66" s="1"/>
  <c r="AJ68" i="66" s="1"/>
  <c r="AP68" i="66" s="1"/>
  <c r="BS9" i="65"/>
  <c r="BY66" i="64"/>
  <c r="AP66" i="64"/>
  <c r="BY117" i="65"/>
  <c r="BY89" i="65" s="1"/>
  <c r="K9" i="32"/>
  <c r="H6" i="44" s="1"/>
  <c r="H5" i="44"/>
  <c r="K6" i="32"/>
  <c r="E6" i="39" s="1"/>
  <c r="E5" i="39"/>
  <c r="AJ18" i="66"/>
  <c r="AP90" i="51"/>
  <c r="I128" i="66"/>
  <c r="C128" i="66"/>
  <c r="AR7" i="66"/>
  <c r="AJ9" i="66"/>
  <c r="D10" i="32"/>
  <c r="BI7" i="66"/>
  <c r="U7" i="66"/>
  <c r="H66" i="66"/>
  <c r="H128" i="66"/>
  <c r="D11" i="32"/>
  <c r="BZ9" i="66"/>
  <c r="D2" i="32" s="1"/>
  <c r="D3" i="32" s="1"/>
  <c r="AX66" i="66"/>
  <c r="AX9" i="66"/>
  <c r="D7" i="32"/>
  <c r="AD66" i="65"/>
  <c r="BR62" i="65"/>
  <c r="AO62" i="65" s="1"/>
  <c r="AJ62" i="65" s="1"/>
  <c r="BR42" i="65"/>
  <c r="AO42" i="65" s="1"/>
  <c r="AJ42" i="65" s="1"/>
  <c r="AO89" i="65"/>
  <c r="F16" i="32"/>
  <c r="BR46" i="65"/>
  <c r="AO46" i="65" s="1"/>
  <c r="AO47" i="65"/>
  <c r="AJ47" i="65" s="1"/>
  <c r="AB35" i="65"/>
  <c r="E35" i="65"/>
  <c r="Y35" i="65"/>
  <c r="BY35" i="65"/>
  <c r="V35" i="65"/>
  <c r="W35" i="65"/>
  <c r="C35" i="65"/>
  <c r="U35" i="65"/>
  <c r="AP35" i="65"/>
  <c r="X35" i="65"/>
  <c r="I35" i="65"/>
  <c r="G35" i="65" s="1"/>
  <c r="AB21" i="65"/>
  <c r="V21" i="65"/>
  <c r="AP21" i="65"/>
  <c r="X21" i="65"/>
  <c r="U21" i="65"/>
  <c r="W21" i="65"/>
  <c r="M21" i="65"/>
  <c r="M19" i="65" s="1"/>
  <c r="Y21" i="65"/>
  <c r="J21" i="65"/>
  <c r="J19" i="65" s="1"/>
  <c r="E21" i="65"/>
  <c r="K21" i="65"/>
  <c r="K19" i="65" s="1"/>
  <c r="I21" i="65"/>
  <c r="BY21" i="65"/>
  <c r="BY60" i="65"/>
  <c r="AP60" i="65"/>
  <c r="AC60" i="65"/>
  <c r="R64" i="65"/>
  <c r="Q64" i="65"/>
  <c r="V64" i="65"/>
  <c r="U64" i="65"/>
  <c r="S64" i="65"/>
  <c r="AP64" i="65"/>
  <c r="J64" i="65"/>
  <c r="H64" i="65"/>
  <c r="M64" i="65"/>
  <c r="M57" i="65" s="1"/>
  <c r="K64" i="65"/>
  <c r="K57" i="65" s="1"/>
  <c r="AA64" i="65"/>
  <c r="AA57" i="65" s="1"/>
  <c r="E64" i="65"/>
  <c r="C64" i="65"/>
  <c r="F64" i="65"/>
  <c r="F57" i="65" s="1"/>
  <c r="Y64" i="65"/>
  <c r="W64" i="65"/>
  <c r="X64" i="65"/>
  <c r="AB64" i="65"/>
  <c r="Z64" i="65"/>
  <c r="Z57" i="65" s="1"/>
  <c r="I64" i="65"/>
  <c r="BY64" i="65"/>
  <c r="AO39" i="65"/>
  <c r="AJ39" i="65" s="1"/>
  <c r="BR37" i="65"/>
  <c r="AO37" i="65" s="1"/>
  <c r="K29" i="65"/>
  <c r="K27" i="65" s="1"/>
  <c r="I29" i="65"/>
  <c r="AB29" i="65"/>
  <c r="X29" i="65"/>
  <c r="U29" i="65"/>
  <c r="AP29" i="65"/>
  <c r="J29" i="65"/>
  <c r="J27" i="65" s="1"/>
  <c r="E29" i="65"/>
  <c r="W29" i="65"/>
  <c r="V29" i="65"/>
  <c r="M29" i="65"/>
  <c r="M27" i="65" s="1"/>
  <c r="BY29" i="65"/>
  <c r="AC33" i="65"/>
  <c r="AP33" i="65"/>
  <c r="BY33" i="65"/>
  <c r="D3" i="44"/>
  <c r="AC24" i="65"/>
  <c r="S24" i="65"/>
  <c r="J38" i="65"/>
  <c r="J37" i="65" s="1"/>
  <c r="Y38" i="65"/>
  <c r="AP38" i="65"/>
  <c r="I38" i="65"/>
  <c r="M38" i="65"/>
  <c r="M37" i="65" s="1"/>
  <c r="W38" i="65"/>
  <c r="AB38" i="65"/>
  <c r="AB37" i="65" s="1"/>
  <c r="E38" i="65"/>
  <c r="BY38" i="65"/>
  <c r="K38" i="65"/>
  <c r="K37" i="65" s="1"/>
  <c r="U38" i="65"/>
  <c r="AO58" i="65"/>
  <c r="AJ58" i="65" s="1"/>
  <c r="BR43" i="65"/>
  <c r="AO43" i="65" s="1"/>
  <c r="AJ43" i="65" s="1"/>
  <c r="AI117" i="65"/>
  <c r="AJ89" i="65"/>
  <c r="AP34" i="65"/>
  <c r="Q34" i="65"/>
  <c r="BY34" i="65"/>
  <c r="BR31" i="65"/>
  <c r="AO31" i="65" s="1"/>
  <c r="AJ31" i="65" s="1"/>
  <c r="G48" i="65"/>
  <c r="E22" i="65"/>
  <c r="AP22" i="65"/>
  <c r="AB22" i="65"/>
  <c r="BY22" i="65"/>
  <c r="U22" i="65"/>
  <c r="V23" i="65"/>
  <c r="W23" i="65"/>
  <c r="C23" i="65"/>
  <c r="Y23" i="65"/>
  <c r="AP23" i="65"/>
  <c r="X23" i="65"/>
  <c r="U23" i="65"/>
  <c r="AB23" i="65"/>
  <c r="E23" i="65"/>
  <c r="I23" i="65"/>
  <c r="G23" i="65" s="1"/>
  <c r="BY23" i="65"/>
  <c r="BR61" i="65"/>
  <c r="BY30" i="65"/>
  <c r="AP30" i="65"/>
  <c r="U30" i="65"/>
  <c r="AB30" i="65"/>
  <c r="E30" i="65"/>
  <c r="BY25" i="65"/>
  <c r="AC25" i="65"/>
  <c r="AP25" i="65"/>
  <c r="S59" i="65"/>
  <c r="AC59" i="65"/>
  <c r="AJ59" i="65" s="1"/>
  <c r="AP59" i="65" s="1"/>
  <c r="BR44" i="65"/>
  <c r="AO44" i="65" s="1"/>
  <c r="AJ44" i="65" s="1"/>
  <c r="T51" i="65"/>
  <c r="BZ51" i="65" s="1"/>
  <c r="C3" i="39"/>
  <c r="AP86" i="65"/>
  <c r="BY86" i="65"/>
  <c r="BY84" i="65" s="1"/>
  <c r="BY80" i="65"/>
  <c r="BR28" i="65"/>
  <c r="AC32" i="65"/>
  <c r="S32" i="65"/>
  <c r="T48" i="65"/>
  <c r="BZ48" i="65" s="1"/>
  <c r="AJ84" i="65"/>
  <c r="BR19" i="65"/>
  <c r="AO20" i="65"/>
  <c r="AJ20" i="65" s="1"/>
  <c r="G71" i="33"/>
  <c r="K70" i="33"/>
  <c r="AI90" i="33"/>
  <c r="V70" i="33"/>
  <c r="T71" i="33"/>
  <c r="E68" i="33"/>
  <c r="AE69" i="33"/>
  <c r="BT10" i="33"/>
  <c r="AP90" i="33"/>
  <c r="BZ71" i="33"/>
  <c r="BZ70" i="33" s="1"/>
  <c r="BT10" i="51"/>
  <c r="AE69" i="51"/>
  <c r="BZ71" i="51"/>
  <c r="BZ70" i="51" s="1"/>
  <c r="K70" i="51"/>
  <c r="G70" i="51" s="1"/>
  <c r="G71" i="51"/>
  <c r="V70" i="51"/>
  <c r="T71" i="51"/>
  <c r="C55" i="47"/>
  <c r="T50" i="65" l="1"/>
  <c r="BZ50" i="65" s="1"/>
  <c r="BR57" i="65"/>
  <c r="AO57" i="65" s="1"/>
  <c r="AJ69" i="66"/>
  <c r="AP69" i="66" s="1"/>
  <c r="I9" i="32"/>
  <c r="F6" i="44" s="1"/>
  <c r="AC27" i="65"/>
  <c r="AJ71" i="33"/>
  <c r="G29" i="65"/>
  <c r="N64" i="65"/>
  <c r="M18" i="65"/>
  <c r="M9" i="65" s="1"/>
  <c r="BB10" i="65" s="1"/>
  <c r="I6" i="32"/>
  <c r="D6" i="39" s="1"/>
  <c r="D5" i="39"/>
  <c r="BR27" i="65"/>
  <c r="AO27" i="65" s="1"/>
  <c r="T30" i="65"/>
  <c r="BZ30" i="65" s="1"/>
  <c r="AO61" i="65"/>
  <c r="AJ61" i="65" s="1"/>
  <c r="T22" i="65"/>
  <c r="BZ22" i="65" s="1"/>
  <c r="BT9" i="33"/>
  <c r="J5" i="55"/>
  <c r="BT9" i="51"/>
  <c r="K5" i="55"/>
  <c r="AE68" i="51"/>
  <c r="K4" i="55"/>
  <c r="AE68" i="33"/>
  <c r="J4" i="55"/>
  <c r="E7" i="32"/>
  <c r="B4" i="43" s="1"/>
  <c r="B3" i="43"/>
  <c r="E11" i="32"/>
  <c r="B4" i="41" s="1"/>
  <c r="B3" i="41"/>
  <c r="D14" i="32"/>
  <c r="E26" i="32" s="1"/>
  <c r="D12" i="32" s="1"/>
  <c r="E10" i="32"/>
  <c r="B4" i="45" s="1"/>
  <c r="B3" i="45"/>
  <c r="AW66" i="66"/>
  <c r="AV66" i="66" s="1"/>
  <c r="AO66" i="66" s="1"/>
  <c r="G66" i="66"/>
  <c r="AJ66" i="66" s="1"/>
  <c r="AW9" i="66"/>
  <c r="AV9" i="66" s="1"/>
  <c r="AO9" i="66" s="1"/>
  <c r="AP9" i="66" s="1"/>
  <c r="E8" i="32"/>
  <c r="B4" i="44" s="1"/>
  <c r="E5" i="32"/>
  <c r="B4" i="39" s="1"/>
  <c r="T7" i="66"/>
  <c r="BJ5" i="66"/>
  <c r="BI5" i="66" s="1"/>
  <c r="C7" i="66"/>
  <c r="AO7" i="66"/>
  <c r="AP62" i="65"/>
  <c r="Q62" i="65"/>
  <c r="BY62" i="65"/>
  <c r="BY68" i="65"/>
  <c r="AO19" i="65"/>
  <c r="BY61" i="65"/>
  <c r="AP61" i="65"/>
  <c r="R61" i="65"/>
  <c r="BY43" i="65"/>
  <c r="Z43" i="65"/>
  <c r="F43" i="65"/>
  <c r="AP43" i="65"/>
  <c r="AA43" i="65"/>
  <c r="T23" i="65"/>
  <c r="BZ23" i="65" s="1"/>
  <c r="W58" i="65"/>
  <c r="W57" i="65" s="1"/>
  <c r="U58" i="65"/>
  <c r="Y58" i="65"/>
  <c r="Y57" i="65" s="1"/>
  <c r="AP58" i="65"/>
  <c r="I58" i="65"/>
  <c r="V58" i="65"/>
  <c r="V57" i="65" s="1"/>
  <c r="J58" i="65"/>
  <c r="J57" i="65" s="1"/>
  <c r="X58" i="65"/>
  <c r="X57" i="65" s="1"/>
  <c r="C58" i="65"/>
  <c r="E58" i="65"/>
  <c r="E57" i="65" s="1"/>
  <c r="AB58" i="65"/>
  <c r="AB57" i="65" s="1"/>
  <c r="BY58" i="65"/>
  <c r="BY57" i="65" s="1"/>
  <c r="T29" i="65"/>
  <c r="BZ29" i="65" s="1"/>
  <c r="AP44" i="65"/>
  <c r="BY44" i="65"/>
  <c r="F44" i="65"/>
  <c r="Z44" i="65"/>
  <c r="AA44" i="65"/>
  <c r="BY31" i="65"/>
  <c r="AP31" i="65"/>
  <c r="Y31" i="65"/>
  <c r="I31" i="65"/>
  <c r="G31" i="65" s="1"/>
  <c r="E31" i="65"/>
  <c r="U31" i="65"/>
  <c r="X31" i="65"/>
  <c r="V31" i="65"/>
  <c r="C31" i="65"/>
  <c r="AB31" i="65"/>
  <c r="AB27" i="65" s="1"/>
  <c r="W31" i="65"/>
  <c r="S57" i="65"/>
  <c r="N59" i="65"/>
  <c r="N34" i="65"/>
  <c r="Q27" i="65"/>
  <c r="Q18" i="65" s="1"/>
  <c r="G38" i="65"/>
  <c r="N24" i="65"/>
  <c r="S19" i="65"/>
  <c r="G64" i="65"/>
  <c r="H57" i="65"/>
  <c r="H9" i="65" s="1"/>
  <c r="T64" i="65"/>
  <c r="BZ64" i="65" s="1"/>
  <c r="AC57" i="65"/>
  <c r="J18" i="65"/>
  <c r="T21" i="65"/>
  <c r="BZ21" i="65" s="1"/>
  <c r="T35" i="65"/>
  <c r="BZ35" i="65" s="1"/>
  <c r="I47" i="65"/>
  <c r="E47" i="65"/>
  <c r="E46" i="65" s="1"/>
  <c r="W47" i="65"/>
  <c r="W46" i="65" s="1"/>
  <c r="Y47" i="65"/>
  <c r="Y46" i="65" s="1"/>
  <c r="C47" i="65"/>
  <c r="AB47" i="65"/>
  <c r="AB46" i="65" s="1"/>
  <c r="BY47" i="65"/>
  <c r="BY46" i="65" s="1"/>
  <c r="X47" i="65"/>
  <c r="X46" i="65" s="1"/>
  <c r="V47" i="65"/>
  <c r="V46" i="65" s="1"/>
  <c r="U47" i="65"/>
  <c r="AP47" i="65"/>
  <c r="BR41" i="65"/>
  <c r="AO41" i="65" s="1"/>
  <c r="N32" i="65"/>
  <c r="S27" i="65"/>
  <c r="AI89" i="65"/>
  <c r="AP89" i="65"/>
  <c r="K18" i="65"/>
  <c r="K9" i="65" s="1"/>
  <c r="C20" i="65"/>
  <c r="Y20" i="65"/>
  <c r="Y19" i="65" s="1"/>
  <c r="BY20" i="65"/>
  <c r="X20" i="65"/>
  <c r="X19" i="65" s="1"/>
  <c r="U20" i="65"/>
  <c r="AP20" i="65"/>
  <c r="AB20" i="65"/>
  <c r="AB19" i="65" s="1"/>
  <c r="E20" i="65"/>
  <c r="E19" i="65" s="1"/>
  <c r="I20" i="65"/>
  <c r="V20" i="65"/>
  <c r="V19" i="65" s="1"/>
  <c r="W20" i="65"/>
  <c r="W19" i="65" s="1"/>
  <c r="AO28" i="65"/>
  <c r="AJ28" i="65" s="1"/>
  <c r="T38" i="65"/>
  <c r="BZ38" i="65" s="1"/>
  <c r="AC19" i="65"/>
  <c r="E39" i="65"/>
  <c r="E37" i="65" s="1"/>
  <c r="Y39" i="65"/>
  <c r="Y37" i="65" s="1"/>
  <c r="BY39" i="65"/>
  <c r="BY37" i="65" s="1"/>
  <c r="V39" i="65"/>
  <c r="V37" i="65" s="1"/>
  <c r="X39" i="65"/>
  <c r="X37" i="65" s="1"/>
  <c r="U39" i="65"/>
  <c r="C39" i="65"/>
  <c r="W39" i="65"/>
  <c r="W37" i="65" s="1"/>
  <c r="I39" i="65"/>
  <c r="G39" i="65" s="1"/>
  <c r="AP39" i="65"/>
  <c r="G21" i="65"/>
  <c r="BY42" i="65"/>
  <c r="AP42" i="65"/>
  <c r="F42" i="65"/>
  <c r="AA42" i="65"/>
  <c r="Z42" i="65"/>
  <c r="V68" i="33"/>
  <c r="T70" i="33"/>
  <c r="G70" i="33"/>
  <c r="AP71" i="33"/>
  <c r="BY71" i="33"/>
  <c r="BY70" i="33" s="1"/>
  <c r="AJ71" i="51"/>
  <c r="AP71" i="51" s="1"/>
  <c r="V68" i="51"/>
  <c r="T70" i="51"/>
  <c r="AJ70" i="51" s="1"/>
  <c r="AP70" i="51" s="1"/>
  <c r="J6" i="55" l="1"/>
  <c r="AJ70" i="33"/>
  <c r="AP70" i="33" s="1"/>
  <c r="AC18" i="65"/>
  <c r="AC9" i="65" s="1"/>
  <c r="J9" i="65"/>
  <c r="AY10" i="65" s="1"/>
  <c r="S18" i="65"/>
  <c r="S9" i="65" s="1"/>
  <c r="S128" i="65" s="1"/>
  <c r="BY41" i="65"/>
  <c r="M69" i="65"/>
  <c r="M68" i="65" s="1"/>
  <c r="M66" i="65" s="1"/>
  <c r="BB66" i="65" s="1"/>
  <c r="AA41" i="65"/>
  <c r="AA18" i="65" s="1"/>
  <c r="AA9" i="65" s="1"/>
  <c r="AA128" i="65" s="1"/>
  <c r="AB18" i="65"/>
  <c r="AB9" i="65" s="1"/>
  <c r="AB128" i="65" s="1"/>
  <c r="T44" i="65"/>
  <c r="BZ44" i="65" s="1"/>
  <c r="K6" i="55"/>
  <c r="AR5" i="66"/>
  <c r="AO5" i="66" s="1"/>
  <c r="AJ7" i="66"/>
  <c r="AP7" i="66" s="1"/>
  <c r="D15" i="32"/>
  <c r="AP66" i="66"/>
  <c r="BY66" i="66"/>
  <c r="E12" i="32"/>
  <c r="B4" i="40" s="1"/>
  <c r="B3" i="40"/>
  <c r="BH8" i="65"/>
  <c r="T39" i="65"/>
  <c r="T37" i="65" s="1"/>
  <c r="U37" i="65"/>
  <c r="H69" i="65"/>
  <c r="AW10" i="65"/>
  <c r="N19" i="65"/>
  <c r="AJ24" i="65"/>
  <c r="T31" i="65"/>
  <c r="BZ31" i="65" s="1"/>
  <c r="T43" i="65"/>
  <c r="BZ43" i="65" s="1"/>
  <c r="C19" i="65"/>
  <c r="T47" i="65"/>
  <c r="T46" i="65" s="1"/>
  <c r="U46" i="65"/>
  <c r="G37" i="65"/>
  <c r="T58" i="65"/>
  <c r="T57" i="65" s="1"/>
  <c r="U57" i="65"/>
  <c r="Q57" i="65"/>
  <c r="Q9" i="65" s="1"/>
  <c r="N62" i="65"/>
  <c r="F41" i="65"/>
  <c r="C37" i="65"/>
  <c r="Z41" i="65"/>
  <c r="T42" i="65"/>
  <c r="BZ42" i="65" s="1"/>
  <c r="G20" i="65"/>
  <c r="G19" i="65" s="1"/>
  <c r="I19" i="65"/>
  <c r="U19" i="65"/>
  <c r="T20" i="65"/>
  <c r="T19" i="65" s="1"/>
  <c r="I28" i="65"/>
  <c r="W28" i="65"/>
  <c r="W27" i="65" s="1"/>
  <c r="W18" i="65" s="1"/>
  <c r="W9" i="65" s="1"/>
  <c r="AP28" i="65"/>
  <c r="U28" i="65"/>
  <c r="V28" i="65"/>
  <c r="V27" i="65" s="1"/>
  <c r="V18" i="65" s="1"/>
  <c r="V9" i="65" s="1"/>
  <c r="Y28" i="65"/>
  <c r="Y27" i="65" s="1"/>
  <c r="Y18" i="65" s="1"/>
  <c r="Y9" i="65" s="1"/>
  <c r="C28" i="65"/>
  <c r="X28" i="65"/>
  <c r="X27" i="65" s="1"/>
  <c r="X18" i="65" s="1"/>
  <c r="X9" i="65" s="1"/>
  <c r="E28" i="65"/>
  <c r="E27" i="65" s="1"/>
  <c r="E18" i="65" s="1"/>
  <c r="E9" i="65" s="1"/>
  <c r="BY28" i="65"/>
  <c r="K69" i="65"/>
  <c r="K68" i="65" s="1"/>
  <c r="K66" i="65" s="1"/>
  <c r="AZ10" i="65"/>
  <c r="AJ32" i="65"/>
  <c r="N27" i="65"/>
  <c r="C46" i="65"/>
  <c r="G47" i="65"/>
  <c r="G46" i="65" s="1"/>
  <c r="I46" i="65"/>
  <c r="I37" i="65"/>
  <c r="C57" i="65"/>
  <c r="G58" i="65"/>
  <c r="G57" i="65" s="1"/>
  <c r="I57" i="65"/>
  <c r="R57" i="65"/>
  <c r="R9" i="65" s="1"/>
  <c r="N61" i="65"/>
  <c r="BR18" i="65"/>
  <c r="BY71" i="51"/>
  <c r="BY70" i="51" s="1"/>
  <c r="C21" i="47" s="1"/>
  <c r="C49" i="47"/>
  <c r="N57" i="65" l="1"/>
  <c r="BZ39" i="65"/>
  <c r="BZ37" i="65" s="1"/>
  <c r="BP7" i="65"/>
  <c r="AA7" i="65" s="1"/>
  <c r="BP5" i="65" s="1"/>
  <c r="J69" i="65"/>
  <c r="J68" i="65" s="1"/>
  <c r="J66" i="65" s="1"/>
  <c r="BZ58" i="65"/>
  <c r="BZ57" i="65" s="1"/>
  <c r="BZ47" i="65"/>
  <c r="BZ46" i="65" s="1"/>
  <c r="BB9" i="65"/>
  <c r="M128" i="65"/>
  <c r="AJ46" i="65"/>
  <c r="AP46" i="65" s="1"/>
  <c r="BQ7" i="65"/>
  <c r="AB7" i="65" s="1"/>
  <c r="BQ5" i="65" s="1"/>
  <c r="K128" i="65"/>
  <c r="AJ37" i="65"/>
  <c r="AP37" i="65" s="1"/>
  <c r="E21" i="32"/>
  <c r="E22" i="32"/>
  <c r="E23" i="32"/>
  <c r="E24" i="32"/>
  <c r="E25" i="32"/>
  <c r="E20" i="32"/>
  <c r="E19" i="32"/>
  <c r="E18" i="32"/>
  <c r="E128" i="65"/>
  <c r="AT7" i="65"/>
  <c r="E7" i="65" s="1"/>
  <c r="AT5" i="65" s="1"/>
  <c r="V128" i="65"/>
  <c r="BK7" i="65"/>
  <c r="V7" i="65" s="1"/>
  <c r="BK5" i="65" s="1"/>
  <c r="Y128" i="65"/>
  <c r="BN7" i="65"/>
  <c r="Y7" i="65" s="1"/>
  <c r="BN5" i="65" s="1"/>
  <c r="W128" i="65"/>
  <c r="BL7" i="65"/>
  <c r="W7" i="65" s="1"/>
  <c r="BL5" i="65" s="1"/>
  <c r="Q128" i="65"/>
  <c r="BF8" i="65"/>
  <c r="AO18" i="65"/>
  <c r="AC69" i="65"/>
  <c r="AZ66" i="65"/>
  <c r="AZ9" i="65"/>
  <c r="I27" i="65"/>
  <c r="G28" i="65"/>
  <c r="G27" i="65" s="1"/>
  <c r="G18" i="65" s="1"/>
  <c r="G9" i="65" s="1"/>
  <c r="Z18" i="65"/>
  <c r="Z9" i="65" s="1"/>
  <c r="T41" i="65"/>
  <c r="AJ41" i="65" s="1"/>
  <c r="AP41" i="65" s="1"/>
  <c r="AY9" i="65"/>
  <c r="AY66" i="65"/>
  <c r="BR10" i="65"/>
  <c r="H68" i="65"/>
  <c r="BZ41" i="65"/>
  <c r="AJ19" i="65"/>
  <c r="AP24" i="65"/>
  <c r="BY24" i="65"/>
  <c r="BY19" i="65" s="1"/>
  <c r="X128" i="65"/>
  <c r="BM7" i="65"/>
  <c r="X7" i="65" s="1"/>
  <c r="BM5" i="65" s="1"/>
  <c r="T28" i="65"/>
  <c r="T27" i="65" s="1"/>
  <c r="U27" i="65"/>
  <c r="U18" i="65" s="1"/>
  <c r="U9" i="65" s="1"/>
  <c r="I18" i="65"/>
  <c r="I9" i="65" s="1"/>
  <c r="R128" i="65"/>
  <c r="BG8" i="65"/>
  <c r="AJ57" i="65"/>
  <c r="AP57" i="65" s="1"/>
  <c r="BY32" i="65"/>
  <c r="BY27" i="65" s="1"/>
  <c r="AP32" i="65"/>
  <c r="BZ28" i="65"/>
  <c r="BZ27" i="65" s="1"/>
  <c r="C27" i="65"/>
  <c r="F18" i="65"/>
  <c r="F9" i="65" s="1"/>
  <c r="J128" i="65"/>
  <c r="BZ20" i="65"/>
  <c r="BZ19" i="65" s="1"/>
  <c r="N18" i="65"/>
  <c r="N9" i="65" s="1"/>
  <c r="T18" i="65" l="1"/>
  <c r="T9" i="65" s="1"/>
  <c r="BC8" i="65"/>
  <c r="AO8" i="65" s="1"/>
  <c r="D6" i="32"/>
  <c r="D9" i="32"/>
  <c r="U128" i="65"/>
  <c r="BJ7" i="65"/>
  <c r="H66" i="65"/>
  <c r="H128" i="65"/>
  <c r="AC129" i="65"/>
  <c r="BZ69" i="65"/>
  <c r="BZ68" i="65" s="1"/>
  <c r="AC68" i="65"/>
  <c r="BR66" i="65" s="1"/>
  <c r="F7" i="32"/>
  <c r="BZ18" i="65"/>
  <c r="AX10" i="65"/>
  <c r="AV10" i="65" s="1"/>
  <c r="AO10" i="65" s="1"/>
  <c r="I69" i="65"/>
  <c r="AP19" i="65"/>
  <c r="AJ27" i="65"/>
  <c r="AP27" i="65" s="1"/>
  <c r="C18" i="65"/>
  <c r="C9" i="65" s="1"/>
  <c r="AC128" i="65"/>
  <c r="BZ10" i="65"/>
  <c r="BR9" i="65"/>
  <c r="AC66" i="65" s="1"/>
  <c r="Z128" i="65"/>
  <c r="BO7" i="65"/>
  <c r="Z7" i="65" s="1"/>
  <c r="BO5" i="65" s="1"/>
  <c r="F128" i="65"/>
  <c r="AU7" i="65"/>
  <c r="F7" i="65" s="1"/>
  <c r="AU5" i="65" s="1"/>
  <c r="BY18" i="65"/>
  <c r="BY9" i="65" s="1"/>
  <c r="F10" i="32" l="1"/>
  <c r="F14" i="32" s="1"/>
  <c r="E9" i="32"/>
  <c r="B6" i="44" s="1"/>
  <c r="B5" i="44"/>
  <c r="E6" i="32"/>
  <c r="B6" i="39" s="1"/>
  <c r="B5" i="39"/>
  <c r="AJ18" i="65"/>
  <c r="BZ9" i="65"/>
  <c r="F2" i="32" s="1"/>
  <c r="AW9" i="65"/>
  <c r="AW66" i="65"/>
  <c r="C128" i="65"/>
  <c r="AJ9" i="65"/>
  <c r="AR7" i="65"/>
  <c r="C7" i="65" s="1"/>
  <c r="I68" i="65"/>
  <c r="G69" i="65"/>
  <c r="C3" i="43"/>
  <c r="BI7" i="65"/>
  <c r="AO7" i="65" s="1"/>
  <c r="U7" i="65"/>
  <c r="F11" i="32"/>
  <c r="D3" i="45" l="1"/>
  <c r="G10" i="32"/>
  <c r="D4" i="45" s="1"/>
  <c r="F3" i="32"/>
  <c r="G7" i="32"/>
  <c r="C4" i="43" s="1"/>
  <c r="I66" i="65"/>
  <c r="I128" i="65"/>
  <c r="AR5" i="65"/>
  <c r="F15" i="32"/>
  <c r="G21" i="32" s="1"/>
  <c r="D3" i="41"/>
  <c r="T7" i="65"/>
  <c r="AJ7" i="65" s="1"/>
  <c r="AP7" i="65" s="1"/>
  <c r="BJ5" i="65"/>
  <c r="BI5" i="65" s="1"/>
  <c r="G68" i="65"/>
  <c r="AJ68" i="65" s="1"/>
  <c r="AP68" i="65" s="1"/>
  <c r="AJ69" i="65"/>
  <c r="AP69" i="65" s="1"/>
  <c r="G11" i="32"/>
  <c r="D4" i="41" s="1"/>
  <c r="G5" i="32"/>
  <c r="C4" i="39" s="1"/>
  <c r="G8" i="32"/>
  <c r="D4" i="44" s="1"/>
  <c r="G26" i="32"/>
  <c r="F12" i="32" s="1"/>
  <c r="B77" i="48"/>
  <c r="B76" i="48"/>
  <c r="B75" i="48"/>
  <c r="AO5" i="65" l="1"/>
  <c r="G25" i="32"/>
  <c r="G24" i="32"/>
  <c r="G20" i="32"/>
  <c r="G19" i="32"/>
  <c r="G18" i="32"/>
  <c r="G22" i="32"/>
  <c r="G23" i="32"/>
  <c r="G12" i="32"/>
  <c r="D4" i="40" s="1"/>
  <c r="D3" i="40"/>
  <c r="AX66" i="65"/>
  <c r="AV66" i="65" s="1"/>
  <c r="AO66" i="65" s="1"/>
  <c r="AX9" i="65"/>
  <c r="AV9" i="65" s="1"/>
  <c r="AO9" i="65" s="1"/>
  <c r="AP9" i="65" s="1"/>
  <c r="G66" i="65"/>
  <c r="AJ66" i="65" s="1"/>
  <c r="F9" i="32" l="1"/>
  <c r="G9" i="32" s="1"/>
  <c r="D6" i="44" s="1"/>
  <c r="BY66" i="65"/>
  <c r="AP66" i="65"/>
  <c r="F6" i="32"/>
  <c r="E59" i="48"/>
  <c r="E60" i="48" s="1"/>
  <c r="B78" i="48"/>
  <c r="C79" i="48" s="1"/>
  <c r="G59" i="48"/>
  <c r="F59" i="48"/>
  <c r="B59" i="48"/>
  <c r="C60" i="48" s="1"/>
  <c r="H59" i="48"/>
  <c r="U57" i="44"/>
  <c r="U18" i="44"/>
  <c r="T27" i="41"/>
  <c r="V300" i="32" s="1"/>
  <c r="T26" i="41"/>
  <c r="V299" i="32" s="1"/>
  <c r="T25" i="41"/>
  <c r="V298" i="32" s="1"/>
  <c r="T24" i="41"/>
  <c r="V297" i="32" s="1"/>
  <c r="T23" i="41"/>
  <c r="V296" i="32" s="1"/>
  <c r="U53" i="44"/>
  <c r="U52" i="44"/>
  <c r="U51" i="44"/>
  <c r="U35" i="44"/>
  <c r="U34" i="44"/>
  <c r="U33" i="44"/>
  <c r="U11" i="44"/>
  <c r="U10" i="44"/>
  <c r="U9" i="44"/>
  <c r="F60" i="48" l="1"/>
  <c r="H60" i="48"/>
  <c r="I60" i="48"/>
  <c r="G60" i="48"/>
  <c r="G63" i="48"/>
  <c r="G68" i="48"/>
  <c r="G64" i="48"/>
  <c r="G66" i="48"/>
  <c r="G65" i="48"/>
  <c r="G67" i="48"/>
  <c r="H64" i="48"/>
  <c r="H63" i="48"/>
  <c r="H65" i="48"/>
  <c r="H68" i="48"/>
  <c r="H66" i="48"/>
  <c r="H67" i="48"/>
  <c r="F63" i="48"/>
  <c r="F65" i="48"/>
  <c r="F64" i="48"/>
  <c r="F67" i="48"/>
  <c r="F68" i="48"/>
  <c r="F66" i="48"/>
  <c r="B64" i="48"/>
  <c r="B67" i="48"/>
  <c r="B68" i="48"/>
  <c r="B66" i="48"/>
  <c r="B65" i="48"/>
  <c r="B63" i="48"/>
  <c r="E65" i="48"/>
  <c r="E63" i="48"/>
  <c r="E64" i="48"/>
  <c r="E67" i="48"/>
  <c r="E68" i="48"/>
  <c r="E66" i="48"/>
  <c r="W171" i="32"/>
  <c r="T9" i="44"/>
  <c r="V171" i="32" s="1"/>
  <c r="W206" i="32"/>
  <c r="T34" i="44"/>
  <c r="V206" i="32" s="1"/>
  <c r="W172" i="32"/>
  <c r="T10" i="44"/>
  <c r="V172" i="32" s="1"/>
  <c r="BW102" i="51" s="1"/>
  <c r="W207" i="32"/>
  <c r="T35" i="44"/>
  <c r="V207" i="32" s="1"/>
  <c r="W205" i="32"/>
  <c r="T33" i="44"/>
  <c r="V205" i="32" s="1"/>
  <c r="W173" i="32"/>
  <c r="T11" i="44"/>
  <c r="V173" i="32" s="1"/>
  <c r="BW103" i="51" s="1"/>
  <c r="D5" i="44"/>
  <c r="G6" i="32"/>
  <c r="C6" i="39" s="1"/>
  <c r="C5" i="39"/>
  <c r="W235" i="32"/>
  <c r="T53" i="44"/>
  <c r="V235" i="32" s="1"/>
  <c r="W233" i="32"/>
  <c r="T51" i="44"/>
  <c r="V233" i="32" s="1"/>
  <c r="W234" i="32"/>
  <c r="T52" i="44"/>
  <c r="V234" i="32" s="1"/>
  <c r="B82" i="48"/>
  <c r="B86" i="48"/>
  <c r="B83" i="48"/>
  <c r="B87" i="48"/>
  <c r="B84" i="48"/>
  <c r="B85" i="48"/>
  <c r="H88" i="48"/>
  <c r="G69" i="48" l="1"/>
  <c r="E69" i="48"/>
  <c r="H69" i="48"/>
  <c r="F69" i="48"/>
  <c r="BW115" i="51"/>
  <c r="AO115" i="51" s="1"/>
  <c r="AJ115" i="51" s="1"/>
  <c r="BY115" i="51" s="1"/>
  <c r="BW116" i="51"/>
  <c r="AO116" i="51" s="1"/>
  <c r="AJ116" i="51" s="1"/>
  <c r="AP116" i="51" s="1"/>
  <c r="AO103" i="51"/>
  <c r="AJ103" i="51" s="1"/>
  <c r="AP103" i="51" s="1"/>
  <c r="AC87" i="51"/>
  <c r="AO102" i="51"/>
  <c r="AJ102" i="51" s="1"/>
  <c r="AP102" i="51" s="1"/>
  <c r="BW101" i="51"/>
  <c r="AC86" i="51"/>
  <c r="AJ86" i="51" s="1"/>
  <c r="AC88" i="51"/>
  <c r="BW113" i="51"/>
  <c r="F88" i="48"/>
  <c r="G88" i="48"/>
  <c r="B88" i="48"/>
  <c r="B69" i="48"/>
  <c r="AP115" i="51" l="1"/>
  <c r="AI115" i="51"/>
  <c r="AI102" i="51"/>
  <c r="AJ101" i="51"/>
  <c r="AI101" i="51" s="1"/>
  <c r="AO101" i="51"/>
  <c r="BY103" i="51"/>
  <c r="BY101" i="51" s="1"/>
  <c r="AI103" i="51"/>
  <c r="BY116" i="51"/>
  <c r="AI116" i="51"/>
  <c r="BW112" i="51"/>
  <c r="AO112" i="51" s="1"/>
  <c r="AO113" i="51"/>
  <c r="AJ113" i="51" s="1"/>
  <c r="AP101" i="51" l="1"/>
  <c r="AP113" i="51"/>
  <c r="AI113" i="51"/>
  <c r="BY113" i="51"/>
  <c r="BY112" i="51" s="1"/>
  <c r="AJ112" i="51"/>
  <c r="AP112" i="51" l="1"/>
  <c r="AI112" i="51"/>
  <c r="E70" i="47" l="1"/>
  <c r="E21" i="47"/>
  <c r="S57" i="44" l="1"/>
  <c r="S18" i="44"/>
  <c r="B117" i="46" l="1"/>
  <c r="S51" i="44" l="1"/>
  <c r="S52" i="44"/>
  <c r="S53" i="44"/>
  <c r="U235" i="32" l="1"/>
  <c r="R53" i="44"/>
  <c r="T235" i="32" s="1"/>
  <c r="U234" i="32"/>
  <c r="R52" i="44"/>
  <c r="T234" i="32" s="1"/>
  <c r="U233" i="32"/>
  <c r="R51" i="44"/>
  <c r="T233" i="32" s="1"/>
  <c r="T50" i="44"/>
  <c r="V232" i="32" s="1"/>
  <c r="V231" i="32" s="1"/>
  <c r="L15" i="39"/>
  <c r="L33" i="39"/>
  <c r="N33" i="39"/>
  <c r="L51" i="39"/>
  <c r="N51" i="39"/>
  <c r="L69" i="39"/>
  <c r="N69" i="39"/>
  <c r="L87" i="39"/>
  <c r="N87" i="39"/>
  <c r="V148" i="32" s="1"/>
  <c r="R18" i="44"/>
  <c r="T18" i="44"/>
  <c r="R38" i="44"/>
  <c r="T38" i="44"/>
  <c r="R57" i="44"/>
  <c r="T57" i="44"/>
  <c r="AC88" i="33" l="1"/>
  <c r="V25" i="32"/>
  <c r="BW88" i="51"/>
  <c r="V260" i="32"/>
  <c r="V149" i="32"/>
  <c r="T24" i="44"/>
  <c r="V189" i="32" s="1"/>
  <c r="T44" i="44"/>
  <c r="V219" i="32" s="1"/>
  <c r="X87" i="51" s="1"/>
  <c r="T87" i="51" s="1"/>
  <c r="AJ87" i="51" s="1"/>
  <c r="R44" i="44"/>
  <c r="T219" i="32" s="1"/>
  <c r="X87" i="33" s="1"/>
  <c r="T63" i="44"/>
  <c r="V248" i="32" s="1"/>
  <c r="X88" i="51" s="1"/>
  <c r="T88" i="51" s="1"/>
  <c r="AJ88" i="51" s="1"/>
  <c r="R24" i="44"/>
  <c r="T189" i="32" s="1"/>
  <c r="R63" i="44"/>
  <c r="T248" i="32" s="1"/>
  <c r="X88" i="33" s="1"/>
  <c r="T88" i="33" s="1"/>
  <c r="T12" i="44"/>
  <c r="V174" i="32" s="1"/>
  <c r="R50" i="44"/>
  <c r="T232" i="32" s="1"/>
  <c r="T231" i="32" s="1"/>
  <c r="BW88" i="33" s="1"/>
  <c r="AO88" i="33" s="1"/>
  <c r="AJ88" i="33" l="1"/>
  <c r="AP88" i="33" s="1"/>
  <c r="T87" i="33"/>
  <c r="X84" i="33"/>
  <c r="X68" i="33" s="1"/>
  <c r="BW124" i="33"/>
  <c r="AO88" i="51"/>
  <c r="AP88" i="51" s="1"/>
  <c r="BY88" i="51"/>
  <c r="T25" i="32"/>
  <c r="V151" i="32"/>
  <c r="AD85" i="51" s="1"/>
  <c r="AD84" i="51" s="1"/>
  <c r="AD68" i="51" s="1"/>
  <c r="V150" i="32"/>
  <c r="Y85" i="51" s="1"/>
  <c r="Y84" i="51" s="1"/>
  <c r="Y68" i="51" s="1"/>
  <c r="W149" i="32"/>
  <c r="V141" i="32"/>
  <c r="V270" i="32"/>
  <c r="BS27" i="51" s="1"/>
  <c r="V273" i="32"/>
  <c r="V269" i="32"/>
  <c r="BS41" i="51" s="1"/>
  <c r="V268" i="32"/>
  <c r="BS19" i="51" s="1"/>
  <c r="V271" i="32"/>
  <c r="BS37" i="51" s="1"/>
  <c r="V272" i="32"/>
  <c r="BS57" i="51" s="1"/>
  <c r="W231" i="32"/>
  <c r="U231" i="32"/>
  <c r="S34" i="44"/>
  <c r="S35" i="44"/>
  <c r="S33" i="44"/>
  <c r="S10" i="44"/>
  <c r="S11" i="44"/>
  <c r="S9" i="44"/>
  <c r="R24" i="41"/>
  <c r="T297" i="32" s="1"/>
  <c r="BS27" i="33" s="1"/>
  <c r="R25" i="41"/>
  <c r="T298" i="32" s="1"/>
  <c r="BS37" i="33" s="1"/>
  <c r="R26" i="41"/>
  <c r="T299" i="32" s="1"/>
  <c r="BS57" i="33" s="1"/>
  <c r="R27" i="41"/>
  <c r="T300" i="32" s="1"/>
  <c r="R23" i="41"/>
  <c r="T296" i="32" s="1"/>
  <c r="BS41" i="33" s="1"/>
  <c r="B149" i="32"/>
  <c r="B65" i="32"/>
  <c r="BY88" i="33" l="1"/>
  <c r="U207" i="32"/>
  <c r="R35" i="44"/>
  <c r="T207" i="32" s="1"/>
  <c r="BW116" i="33" s="1"/>
  <c r="AO116" i="33" s="1"/>
  <c r="AJ116" i="33" s="1"/>
  <c r="U172" i="32"/>
  <c r="R10" i="44"/>
  <c r="T172" i="32" s="1"/>
  <c r="BW102" i="33" s="1"/>
  <c r="U173" i="32"/>
  <c r="R11" i="44"/>
  <c r="T173" i="32" s="1"/>
  <c r="BW103" i="33" s="1"/>
  <c r="AO103" i="33" s="1"/>
  <c r="AJ103" i="33" s="1"/>
  <c r="U206" i="32"/>
  <c r="R34" i="44"/>
  <c r="T206" i="32" s="1"/>
  <c r="BW115" i="33" s="1"/>
  <c r="AO115" i="33" s="1"/>
  <c r="AJ115" i="33" s="1"/>
  <c r="BS38" i="33"/>
  <c r="AO38" i="33" s="1"/>
  <c r="AJ38" i="33" s="1"/>
  <c r="BS39" i="33"/>
  <c r="BR39" i="33" s="1"/>
  <c r="BS29" i="33"/>
  <c r="BR29" i="33" s="1"/>
  <c r="AO29" i="33" s="1"/>
  <c r="AJ29" i="33" s="1"/>
  <c r="BS30" i="33"/>
  <c r="BR30" i="33" s="1"/>
  <c r="AO30" i="33" s="1"/>
  <c r="AJ30" i="33" s="1"/>
  <c r="BS33" i="33"/>
  <c r="AO33" i="33" s="1"/>
  <c r="AJ33" i="33" s="1"/>
  <c r="BS32" i="33"/>
  <c r="AO32" i="33" s="1"/>
  <c r="BS31" i="33"/>
  <c r="BR31" i="33" s="1"/>
  <c r="AO31" i="33" s="1"/>
  <c r="AJ31" i="33" s="1"/>
  <c r="BS35" i="33"/>
  <c r="BR35" i="33" s="1"/>
  <c r="AO35" i="33" s="1"/>
  <c r="AJ35" i="33" s="1"/>
  <c r="BS34" i="33"/>
  <c r="BR34" i="33" s="1"/>
  <c r="AO34" i="33" s="1"/>
  <c r="AJ34" i="33" s="1"/>
  <c r="BS28" i="33"/>
  <c r="BR28" i="33" s="1"/>
  <c r="BS50" i="33"/>
  <c r="BR50" i="33" s="1"/>
  <c r="AO50" i="33" s="1"/>
  <c r="AJ50" i="33" s="1"/>
  <c r="BS51" i="33"/>
  <c r="BR51" i="33" s="1"/>
  <c r="AO51" i="33" s="1"/>
  <c r="AJ51" i="33" s="1"/>
  <c r="BS52" i="33"/>
  <c r="BR52" i="33" s="1"/>
  <c r="AO52" i="33" s="1"/>
  <c r="AJ52" i="33" s="1"/>
  <c r="BS48" i="33"/>
  <c r="BR48" i="33" s="1"/>
  <c r="AO48" i="33" s="1"/>
  <c r="AJ48" i="33" s="1"/>
  <c r="BS49" i="33"/>
  <c r="BR49" i="33" s="1"/>
  <c r="AO49" i="33" s="1"/>
  <c r="AJ49" i="33" s="1"/>
  <c r="BS47" i="33"/>
  <c r="BS42" i="33"/>
  <c r="BR42" i="33" s="1"/>
  <c r="BS43" i="33"/>
  <c r="BR43" i="33" s="1"/>
  <c r="AO43" i="33" s="1"/>
  <c r="AJ43" i="33" s="1"/>
  <c r="BS44" i="33"/>
  <c r="BR44" i="33" s="1"/>
  <c r="AO44" i="33" s="1"/>
  <c r="AJ44" i="33" s="1"/>
  <c r="BS58" i="33"/>
  <c r="BR58" i="33" s="1"/>
  <c r="BS61" i="33"/>
  <c r="BR61" i="33" s="1"/>
  <c r="AO61" i="33" s="1"/>
  <c r="AJ61" i="33" s="1"/>
  <c r="BS60" i="33"/>
  <c r="AO60" i="33" s="1"/>
  <c r="AJ60" i="33" s="1"/>
  <c r="BS59" i="33"/>
  <c r="BR59" i="33" s="1"/>
  <c r="AO59" i="33" s="1"/>
  <c r="BS62" i="33"/>
  <c r="BR62" i="33" s="1"/>
  <c r="AO62" i="33" s="1"/>
  <c r="AJ62" i="33" s="1"/>
  <c r="BS64" i="33"/>
  <c r="BR64" i="33" s="1"/>
  <c r="AO64" i="33" s="1"/>
  <c r="AJ64" i="33" s="1"/>
  <c r="BS66" i="51"/>
  <c r="AD128" i="51"/>
  <c r="AO124" i="33"/>
  <c r="AJ124" i="33" s="1"/>
  <c r="AP124" i="33" s="1"/>
  <c r="BW117" i="33"/>
  <c r="T84" i="33"/>
  <c r="T68" i="33" s="1"/>
  <c r="BS43" i="51"/>
  <c r="BR43" i="51" s="1"/>
  <c r="AO43" i="51" s="1"/>
  <c r="AJ43" i="51" s="1"/>
  <c r="BS44" i="51"/>
  <c r="BR44" i="51" s="1"/>
  <c r="AO44" i="51" s="1"/>
  <c r="AJ44" i="51" s="1"/>
  <c r="BS42" i="51"/>
  <c r="BR42" i="51" s="1"/>
  <c r="BS39" i="51"/>
  <c r="BR39" i="51" s="1"/>
  <c r="BS38" i="51"/>
  <c r="AO38" i="51" s="1"/>
  <c r="AJ38" i="51" s="1"/>
  <c r="BS33" i="51"/>
  <c r="AO33" i="51" s="1"/>
  <c r="AJ33" i="51" s="1"/>
  <c r="BS35" i="51"/>
  <c r="BS32" i="51"/>
  <c r="AO32" i="51" s="1"/>
  <c r="BS29" i="51"/>
  <c r="BS31" i="51"/>
  <c r="BR31" i="51" s="1"/>
  <c r="AO31" i="51" s="1"/>
  <c r="AJ31" i="51" s="1"/>
  <c r="BS34" i="51"/>
  <c r="BR34" i="51" s="1"/>
  <c r="AO34" i="51" s="1"/>
  <c r="AJ34" i="51" s="1"/>
  <c r="BS30" i="51"/>
  <c r="BR30" i="51" s="1"/>
  <c r="AO30" i="51" s="1"/>
  <c r="AJ30" i="51" s="1"/>
  <c r="BS28" i="51"/>
  <c r="BR28" i="51" s="1"/>
  <c r="AO28" i="51" s="1"/>
  <c r="AJ28" i="51" s="1"/>
  <c r="BS25" i="51"/>
  <c r="AO25" i="51" s="1"/>
  <c r="AJ25" i="51" s="1"/>
  <c r="BS21" i="51"/>
  <c r="BR21" i="51" s="1"/>
  <c r="AO21" i="51" s="1"/>
  <c r="AJ21" i="51" s="1"/>
  <c r="BS24" i="51"/>
  <c r="AO24" i="51" s="1"/>
  <c r="BS22" i="51"/>
  <c r="BR22" i="51" s="1"/>
  <c r="AO22" i="51" s="1"/>
  <c r="AJ22" i="51" s="1"/>
  <c r="BS23" i="51"/>
  <c r="BR23" i="51" s="1"/>
  <c r="AO23" i="51" s="1"/>
  <c r="AJ23" i="51" s="1"/>
  <c r="BS20" i="51"/>
  <c r="BW126" i="51"/>
  <c r="BW125" i="51"/>
  <c r="E85" i="51"/>
  <c r="X85" i="51"/>
  <c r="X84" i="51" s="1"/>
  <c r="X68" i="51" s="1"/>
  <c r="BW119" i="51"/>
  <c r="BW127" i="51"/>
  <c r="BW120" i="51"/>
  <c r="W85" i="51"/>
  <c r="BW124" i="51"/>
  <c r="BW121" i="51"/>
  <c r="BW123" i="51"/>
  <c r="S85" i="51"/>
  <c r="S84" i="51" s="1"/>
  <c r="S68" i="51" s="1"/>
  <c r="BH67" i="51" s="1"/>
  <c r="Q85" i="51"/>
  <c r="BW122" i="51"/>
  <c r="BW118" i="51"/>
  <c r="AC85" i="51"/>
  <c r="AC84" i="51" s="1"/>
  <c r="J85" i="51"/>
  <c r="V22" i="32"/>
  <c r="BW85" i="51"/>
  <c r="BS62" i="51"/>
  <c r="BR62" i="51" s="1"/>
  <c r="AO62" i="51" s="1"/>
  <c r="AJ62" i="51" s="1"/>
  <c r="BS61" i="51"/>
  <c r="BR61" i="51" s="1"/>
  <c r="AO61" i="51" s="1"/>
  <c r="AJ61" i="51" s="1"/>
  <c r="BS58" i="51"/>
  <c r="BR58" i="51" s="1"/>
  <c r="BS64" i="51"/>
  <c r="BR64" i="51" s="1"/>
  <c r="AO64" i="51" s="1"/>
  <c r="AJ64" i="51" s="1"/>
  <c r="BS59" i="51"/>
  <c r="BR59" i="51" s="1"/>
  <c r="AO59" i="51" s="1"/>
  <c r="BS60" i="51"/>
  <c r="AO60" i="51" s="1"/>
  <c r="AJ60" i="51" s="1"/>
  <c r="BS52" i="51"/>
  <c r="BR52" i="51" s="1"/>
  <c r="AO52" i="51" s="1"/>
  <c r="AJ52" i="51" s="1"/>
  <c r="BS48" i="51"/>
  <c r="BR48" i="51" s="1"/>
  <c r="AO48" i="51" s="1"/>
  <c r="AJ48" i="51" s="1"/>
  <c r="BS49" i="51"/>
  <c r="BR49" i="51" s="1"/>
  <c r="AO49" i="51" s="1"/>
  <c r="AJ49" i="51" s="1"/>
  <c r="BS51" i="51"/>
  <c r="BR51" i="51" s="1"/>
  <c r="AO51" i="51" s="1"/>
  <c r="AJ51" i="51" s="1"/>
  <c r="BS50" i="51"/>
  <c r="BR50" i="51" s="1"/>
  <c r="AO50" i="51" s="1"/>
  <c r="AJ50" i="51" s="1"/>
  <c r="BS47" i="51"/>
  <c r="W141" i="32"/>
  <c r="U205" i="32"/>
  <c r="R33" i="44"/>
  <c r="T205" i="32" s="1"/>
  <c r="U171" i="32"/>
  <c r="R9" i="44"/>
  <c r="T171" i="32" s="1"/>
  <c r="T32" i="44"/>
  <c r="V204" i="32" s="1"/>
  <c r="V203" i="32" s="1"/>
  <c r="T8" i="44"/>
  <c r="V170" i="32" s="1"/>
  <c r="V169" i="32" s="1"/>
  <c r="R12" i="44"/>
  <c r="T174" i="32" s="1"/>
  <c r="W174" i="32" s="1"/>
  <c r="B67" i="32"/>
  <c r="B142" i="32"/>
  <c r="B141" i="32" s="1"/>
  <c r="B22" i="32" s="1"/>
  <c r="B181" i="32"/>
  <c r="B114" i="32"/>
  <c r="B121" i="32"/>
  <c r="B204" i="32"/>
  <c r="B211" i="32"/>
  <c r="B29" i="32"/>
  <c r="B37" i="32"/>
  <c r="B58" i="32"/>
  <c r="B57" i="32" s="1"/>
  <c r="B19" i="32" s="1"/>
  <c r="B86" i="32"/>
  <c r="B93" i="32"/>
  <c r="B170" i="32"/>
  <c r="B174" i="32"/>
  <c r="B232" i="32"/>
  <c r="B240" i="32"/>
  <c r="B150" i="32"/>
  <c r="B151" i="32"/>
  <c r="B260" i="32"/>
  <c r="B66" i="32"/>
  <c r="AP115" i="33" l="1"/>
  <c r="AI115" i="33"/>
  <c r="BY115" i="33"/>
  <c r="AC87" i="33"/>
  <c r="AJ87" i="33" s="1"/>
  <c r="AP103" i="33"/>
  <c r="AI103" i="33"/>
  <c r="BY103" i="33"/>
  <c r="BY101" i="33" s="1"/>
  <c r="AP116" i="33"/>
  <c r="BY116" i="33"/>
  <c r="AI116" i="33"/>
  <c r="AO102" i="33"/>
  <c r="AJ102" i="33" s="1"/>
  <c r="AP102" i="33" s="1"/>
  <c r="BW101" i="33"/>
  <c r="BY62" i="33"/>
  <c r="AP62" i="33"/>
  <c r="Q62" i="33"/>
  <c r="E35" i="33"/>
  <c r="U35" i="33"/>
  <c r="I35" i="33"/>
  <c r="G35" i="33" s="1"/>
  <c r="C35" i="33"/>
  <c r="Y35" i="33"/>
  <c r="V35" i="33"/>
  <c r="BY35" i="33"/>
  <c r="W35" i="33"/>
  <c r="AP35" i="33"/>
  <c r="X35" i="33"/>
  <c r="AB35" i="33"/>
  <c r="S59" i="33"/>
  <c r="AC59" i="33"/>
  <c r="AO58" i="33"/>
  <c r="AJ58" i="33" s="1"/>
  <c r="BR57" i="33"/>
  <c r="AO57" i="33" s="1"/>
  <c r="BR47" i="33"/>
  <c r="BS46" i="33"/>
  <c r="BS18" i="33" s="1"/>
  <c r="BS9" i="33" s="1"/>
  <c r="AD66" i="33" s="1"/>
  <c r="AP30" i="33"/>
  <c r="U30" i="33"/>
  <c r="BY30" i="33"/>
  <c r="AB30" i="33"/>
  <c r="E30" i="33"/>
  <c r="AA44" i="33"/>
  <c r="F44" i="33"/>
  <c r="BY44" i="33"/>
  <c r="AP44" i="33"/>
  <c r="Z44" i="33"/>
  <c r="T44" i="33" s="1"/>
  <c r="BY49" i="33"/>
  <c r="AB49" i="33"/>
  <c r="U49" i="33"/>
  <c r="E49" i="33"/>
  <c r="AP49" i="33"/>
  <c r="W50" i="33"/>
  <c r="C50" i="33"/>
  <c r="I50" i="33"/>
  <c r="G50" i="33" s="1"/>
  <c r="BY50" i="33"/>
  <c r="E50" i="33"/>
  <c r="U50" i="33"/>
  <c r="X50" i="33"/>
  <c r="AP50" i="33"/>
  <c r="AB50" i="33"/>
  <c r="V50" i="33"/>
  <c r="Y50" i="33"/>
  <c r="BY31" i="33"/>
  <c r="E31" i="33"/>
  <c r="V31" i="33"/>
  <c r="I31" i="33"/>
  <c r="G31" i="33" s="1"/>
  <c r="C31" i="33"/>
  <c r="AB31" i="33"/>
  <c r="U31" i="33"/>
  <c r="AP31" i="33"/>
  <c r="Y31" i="33"/>
  <c r="X31" i="33"/>
  <c r="W31" i="33"/>
  <c r="AP29" i="33"/>
  <c r="U29" i="33"/>
  <c r="I29" i="33"/>
  <c r="X29" i="33"/>
  <c r="K29" i="33"/>
  <c r="K27" i="33" s="1"/>
  <c r="J29" i="33"/>
  <c r="J27" i="33" s="1"/>
  <c r="V29" i="33"/>
  <c r="BY29" i="33"/>
  <c r="M29" i="33"/>
  <c r="M27" i="33" s="1"/>
  <c r="AB29" i="33"/>
  <c r="W29" i="33"/>
  <c r="E29" i="33"/>
  <c r="BY60" i="33"/>
  <c r="AC60" i="33"/>
  <c r="AP60" i="33"/>
  <c r="F43" i="33"/>
  <c r="BY43" i="33"/>
  <c r="AP43" i="33"/>
  <c r="AA43" i="33"/>
  <c r="Z43" i="33"/>
  <c r="E48" i="33"/>
  <c r="AP48" i="33"/>
  <c r="M48" i="33"/>
  <c r="M46" i="33" s="1"/>
  <c r="K48" i="33"/>
  <c r="K46" i="33" s="1"/>
  <c r="AB48" i="33"/>
  <c r="J48" i="33"/>
  <c r="J46" i="33" s="1"/>
  <c r="BY48" i="33"/>
  <c r="U48" i="33"/>
  <c r="Y48" i="33"/>
  <c r="X48" i="33"/>
  <c r="I48" i="33"/>
  <c r="BR27" i="33"/>
  <c r="AO28" i="33"/>
  <c r="AJ28" i="33" s="1"/>
  <c r="S32" i="33"/>
  <c r="AC32" i="33"/>
  <c r="BR37" i="33"/>
  <c r="AO37" i="33" s="1"/>
  <c r="AO39" i="33"/>
  <c r="AJ39" i="33" s="1"/>
  <c r="U51" i="33"/>
  <c r="W51" i="33"/>
  <c r="E51" i="33"/>
  <c r="X51" i="33"/>
  <c r="I51" i="33"/>
  <c r="G51" i="33" s="1"/>
  <c r="BY51" i="33"/>
  <c r="AB51" i="33"/>
  <c r="C51" i="33"/>
  <c r="AP51" i="33"/>
  <c r="V51" i="33"/>
  <c r="Y51" i="33"/>
  <c r="Z64" i="33"/>
  <c r="Z57" i="33" s="1"/>
  <c r="BY64" i="33"/>
  <c r="X64" i="33"/>
  <c r="J64" i="33"/>
  <c r="AA64" i="33"/>
  <c r="AA57" i="33" s="1"/>
  <c r="R64" i="33"/>
  <c r="K64" i="33"/>
  <c r="K57" i="33" s="1"/>
  <c r="W64" i="33"/>
  <c r="M64" i="33"/>
  <c r="M57" i="33" s="1"/>
  <c r="C64" i="33"/>
  <c r="AB64" i="33"/>
  <c r="Y64" i="33"/>
  <c r="Q64" i="33"/>
  <c r="E64" i="33"/>
  <c r="F64" i="33"/>
  <c r="F57" i="33" s="1"/>
  <c r="S64" i="33"/>
  <c r="I64" i="33"/>
  <c r="H64" i="33"/>
  <c r="V64" i="33"/>
  <c r="AP64" i="33"/>
  <c r="U64" i="33"/>
  <c r="AP61" i="33"/>
  <c r="R61" i="33"/>
  <c r="BY61" i="33"/>
  <c r="AO42" i="33"/>
  <c r="AJ42" i="33" s="1"/>
  <c r="BR41" i="33"/>
  <c r="AO41" i="33" s="1"/>
  <c r="AF52" i="33"/>
  <c r="AF46" i="33" s="1"/>
  <c r="AF18" i="33" s="1"/>
  <c r="AF9" i="33" s="1"/>
  <c r="BU5" i="33" s="1"/>
  <c r="BY52" i="33"/>
  <c r="AP52" i="33"/>
  <c r="BY34" i="33"/>
  <c r="AP34" i="33"/>
  <c r="Q34" i="33"/>
  <c r="BY33" i="33"/>
  <c r="AP33" i="33"/>
  <c r="AC33" i="33"/>
  <c r="AP38" i="33"/>
  <c r="E38" i="33"/>
  <c r="K38" i="33"/>
  <c r="K37" i="33" s="1"/>
  <c r="I38" i="33"/>
  <c r="W38" i="33"/>
  <c r="U38" i="33"/>
  <c r="BY38" i="33"/>
  <c r="M38" i="33"/>
  <c r="M37" i="33" s="1"/>
  <c r="J38" i="33"/>
  <c r="J37" i="33" s="1"/>
  <c r="Y38" i="33"/>
  <c r="AB38" i="33"/>
  <c r="AB37" i="33" s="1"/>
  <c r="AI124" i="33"/>
  <c r="BY124" i="33"/>
  <c r="BY117" i="33" s="1"/>
  <c r="AJ117" i="33"/>
  <c r="AI117" i="33" s="1"/>
  <c r="AC86" i="33"/>
  <c r="BW113" i="33"/>
  <c r="AO117" i="33"/>
  <c r="V24" i="32"/>
  <c r="BW87" i="51"/>
  <c r="S24" i="51"/>
  <c r="AC24" i="51"/>
  <c r="AC32" i="51"/>
  <c r="S32" i="51"/>
  <c r="BR20" i="51"/>
  <c r="BR19" i="51" s="1"/>
  <c r="AO19" i="51" s="1"/>
  <c r="BY34" i="51"/>
  <c r="AP34" i="51"/>
  <c r="Q34" i="51"/>
  <c r="BR35" i="51"/>
  <c r="AO35" i="51" s="1"/>
  <c r="AJ35" i="51" s="1"/>
  <c r="AO42" i="51"/>
  <c r="AJ42" i="51" s="1"/>
  <c r="BR41" i="51"/>
  <c r="AO41" i="51" s="1"/>
  <c r="C43" i="47" s="1"/>
  <c r="C23" i="51"/>
  <c r="I23" i="51"/>
  <c r="G23" i="51" s="1"/>
  <c r="AP23" i="51"/>
  <c r="U23" i="51"/>
  <c r="V23" i="51"/>
  <c r="X23" i="51"/>
  <c r="Y23" i="51"/>
  <c r="W23" i="51"/>
  <c r="AB23" i="51"/>
  <c r="E23" i="51"/>
  <c r="BY23" i="51"/>
  <c r="BY25" i="51"/>
  <c r="AP25" i="51"/>
  <c r="AC25" i="51"/>
  <c r="U31" i="51"/>
  <c r="E31" i="51"/>
  <c r="I31" i="51"/>
  <c r="G31" i="51" s="1"/>
  <c r="BY31" i="51"/>
  <c r="Y31" i="51"/>
  <c r="AB31" i="51"/>
  <c r="X31" i="51"/>
  <c r="V31" i="51"/>
  <c r="AP31" i="51"/>
  <c r="C31" i="51"/>
  <c r="W31" i="51"/>
  <c r="BY33" i="51"/>
  <c r="AC33" i="51"/>
  <c r="AP33" i="51"/>
  <c r="AP44" i="51"/>
  <c r="Z44" i="51"/>
  <c r="F44" i="51"/>
  <c r="BY44" i="51"/>
  <c r="AA44" i="51"/>
  <c r="U30" i="51"/>
  <c r="BY30" i="51"/>
  <c r="E30" i="51"/>
  <c r="AP30" i="51"/>
  <c r="AB30" i="51"/>
  <c r="BR37" i="51"/>
  <c r="AO37" i="51" s="1"/>
  <c r="AO39" i="51"/>
  <c r="AJ39" i="51" s="1"/>
  <c r="X21" i="51"/>
  <c r="K21" i="51"/>
  <c r="K19" i="51" s="1"/>
  <c r="V21" i="51"/>
  <c r="AP21" i="51"/>
  <c r="E21" i="51"/>
  <c r="J21" i="51"/>
  <c r="J19" i="51" s="1"/>
  <c r="BY21" i="51"/>
  <c r="W21" i="51"/>
  <c r="AB21" i="51"/>
  <c r="M21" i="51"/>
  <c r="M19" i="51" s="1"/>
  <c r="Y21" i="51"/>
  <c r="U21" i="51"/>
  <c r="I21" i="51"/>
  <c r="V23" i="32"/>
  <c r="BW86" i="51"/>
  <c r="U22" i="51"/>
  <c r="BY22" i="51"/>
  <c r="AB22" i="51"/>
  <c r="E22" i="51"/>
  <c r="AP22" i="51"/>
  <c r="X28" i="51"/>
  <c r="V28" i="51"/>
  <c r="BY28" i="51"/>
  <c r="W28" i="51"/>
  <c r="U28" i="51"/>
  <c r="I28" i="51"/>
  <c r="C28" i="51"/>
  <c r="AP28" i="51"/>
  <c r="Y28" i="51"/>
  <c r="E28" i="51"/>
  <c r="BR29" i="51"/>
  <c r="K38" i="51"/>
  <c r="K37" i="51" s="1"/>
  <c r="U38" i="51"/>
  <c r="J38" i="51"/>
  <c r="J37" i="51" s="1"/>
  <c r="W38" i="51"/>
  <c r="Y38" i="51"/>
  <c r="AB38" i="51"/>
  <c r="AB37" i="51" s="1"/>
  <c r="I38" i="51"/>
  <c r="E38" i="51"/>
  <c r="M38" i="51"/>
  <c r="M37" i="51" s="1"/>
  <c r="AP38" i="51"/>
  <c r="BY38" i="51"/>
  <c r="Z43" i="51"/>
  <c r="AA43" i="51"/>
  <c r="BY43" i="51"/>
  <c r="F43" i="51"/>
  <c r="AP43" i="51"/>
  <c r="AO118" i="51"/>
  <c r="AJ118" i="51" s="1"/>
  <c r="BW117" i="51"/>
  <c r="AO123" i="51"/>
  <c r="AJ123" i="51" s="1"/>
  <c r="AO120" i="51"/>
  <c r="AJ120" i="51" s="1"/>
  <c r="AP120" i="51" s="1"/>
  <c r="E84" i="51"/>
  <c r="E68" i="51" s="1"/>
  <c r="BZ85" i="51"/>
  <c r="V5" i="32" s="1"/>
  <c r="N3" i="39" s="1"/>
  <c r="AO122" i="51"/>
  <c r="AJ122" i="51" s="1"/>
  <c r="AP122" i="51" s="1"/>
  <c r="AO121" i="51"/>
  <c r="AJ121" i="51" s="1"/>
  <c r="AP121" i="51" s="1"/>
  <c r="AO127" i="51"/>
  <c r="AJ127" i="51" s="1"/>
  <c r="AP127" i="51" s="1"/>
  <c r="AO125" i="51"/>
  <c r="AJ125" i="51" s="1"/>
  <c r="AP125" i="51" s="1"/>
  <c r="W84" i="51"/>
  <c r="W68" i="51" s="1"/>
  <c r="T85" i="51"/>
  <c r="T84" i="51" s="1"/>
  <c r="T68" i="51" s="1"/>
  <c r="C29" i="47" s="1"/>
  <c r="J84" i="51"/>
  <c r="G85" i="51"/>
  <c r="G84" i="51" s="1"/>
  <c r="N85" i="51"/>
  <c r="N84" i="51" s="1"/>
  <c r="N68" i="51" s="1"/>
  <c r="Q84" i="51"/>
  <c r="Q68" i="51" s="1"/>
  <c r="BF67" i="51" s="1"/>
  <c r="BC67" i="51" s="1"/>
  <c r="AO67" i="51" s="1"/>
  <c r="AO124" i="51"/>
  <c r="AJ124" i="51" s="1"/>
  <c r="AP124" i="51" s="1"/>
  <c r="AO119" i="51"/>
  <c r="AJ119" i="51" s="1"/>
  <c r="AP119" i="51" s="1"/>
  <c r="AO126" i="51"/>
  <c r="AJ126" i="51" s="1"/>
  <c r="AO85" i="51"/>
  <c r="W64" i="51"/>
  <c r="Z64" i="51"/>
  <c r="Z57" i="51" s="1"/>
  <c r="C64" i="51"/>
  <c r="H64" i="51"/>
  <c r="S64" i="51"/>
  <c r="Q64" i="51"/>
  <c r="AB64" i="51"/>
  <c r="E64" i="51"/>
  <c r="I64" i="51"/>
  <c r="F64" i="51"/>
  <c r="F57" i="51" s="1"/>
  <c r="BY64" i="51"/>
  <c r="R64" i="51"/>
  <c r="V64" i="51"/>
  <c r="Y64" i="51"/>
  <c r="K64" i="51"/>
  <c r="K57" i="51" s="1"/>
  <c r="X64" i="51"/>
  <c r="AP64" i="51"/>
  <c r="J64" i="51"/>
  <c r="U64" i="51"/>
  <c r="AA64" i="51"/>
  <c r="AA57" i="51" s="1"/>
  <c r="M64" i="51"/>
  <c r="M57" i="51" s="1"/>
  <c r="AO58" i="51"/>
  <c r="AJ58" i="51" s="1"/>
  <c r="BR57" i="51"/>
  <c r="AO57" i="51" s="1"/>
  <c r="AP60" i="51"/>
  <c r="BY60" i="51"/>
  <c r="AC60" i="51"/>
  <c r="BY61" i="51"/>
  <c r="R61" i="51"/>
  <c r="AP61" i="51"/>
  <c r="AC59" i="51"/>
  <c r="S59" i="51"/>
  <c r="AP62" i="51"/>
  <c r="BY62" i="51"/>
  <c r="Q62" i="51"/>
  <c r="BR47" i="51"/>
  <c r="BS46" i="51"/>
  <c r="BS18" i="51" s="1"/>
  <c r="AD129" i="51" s="1"/>
  <c r="X48" i="51"/>
  <c r="AP48" i="51"/>
  <c r="M48" i="51"/>
  <c r="M46" i="51" s="1"/>
  <c r="U48" i="51"/>
  <c r="E48" i="51"/>
  <c r="AB48" i="51"/>
  <c r="I48" i="51"/>
  <c r="K48" i="51"/>
  <c r="K46" i="51" s="1"/>
  <c r="BY48" i="51"/>
  <c r="J48" i="51"/>
  <c r="J46" i="51" s="1"/>
  <c r="Y48" i="51"/>
  <c r="Y50" i="51"/>
  <c r="X50" i="51"/>
  <c r="AB50" i="51"/>
  <c r="I50" i="51"/>
  <c r="G50" i="51" s="1"/>
  <c r="V50" i="51"/>
  <c r="U50" i="51"/>
  <c r="AP50" i="51"/>
  <c r="W50" i="51"/>
  <c r="C50" i="51"/>
  <c r="E50" i="51"/>
  <c r="BY50" i="51"/>
  <c r="AF52" i="51"/>
  <c r="AF46" i="51" s="1"/>
  <c r="AF18" i="51" s="1"/>
  <c r="AF9" i="51" s="1"/>
  <c r="BU5" i="51" s="1"/>
  <c r="AP52" i="51"/>
  <c r="BY52" i="51"/>
  <c r="E51" i="51"/>
  <c r="X51" i="51"/>
  <c r="AB51" i="51"/>
  <c r="U51" i="51"/>
  <c r="I51" i="51"/>
  <c r="G51" i="51" s="1"/>
  <c r="V51" i="51"/>
  <c r="Y51" i="51"/>
  <c r="BY51" i="51"/>
  <c r="W51" i="51"/>
  <c r="C51" i="51"/>
  <c r="AP51" i="51"/>
  <c r="AB49" i="51"/>
  <c r="AP49" i="51"/>
  <c r="U49" i="51"/>
  <c r="E49" i="51"/>
  <c r="BY49" i="51"/>
  <c r="B39" i="32"/>
  <c r="B38" i="32"/>
  <c r="B242" i="32"/>
  <c r="R32" i="44"/>
  <c r="T204" i="32" s="1"/>
  <c r="T203" i="32" s="1"/>
  <c r="BW87" i="33" s="1"/>
  <c r="AO87" i="33" s="1"/>
  <c r="R8" i="44"/>
  <c r="T170" i="32" s="1"/>
  <c r="T169" i="32" s="1"/>
  <c r="BW86" i="33" s="1"/>
  <c r="B28" i="32"/>
  <c r="B18" i="32" s="1"/>
  <c r="B213" i="32"/>
  <c r="B95" i="32"/>
  <c r="B183" i="32"/>
  <c r="B182" i="32"/>
  <c r="B123" i="32"/>
  <c r="B212" i="32"/>
  <c r="B94" i="32"/>
  <c r="B85" i="32"/>
  <c r="B20" i="32" s="1"/>
  <c r="B203" i="32"/>
  <c r="B24" i="32" s="1"/>
  <c r="B122" i="32"/>
  <c r="B113" i="32"/>
  <c r="B21" i="32" s="1"/>
  <c r="B231" i="32"/>
  <c r="B25" i="32" s="1"/>
  <c r="B169" i="32"/>
  <c r="B23" i="32" s="1"/>
  <c r="B241" i="32"/>
  <c r="AP87" i="33" l="1"/>
  <c r="AI102" i="33"/>
  <c r="AJ101" i="33"/>
  <c r="AI101" i="33" s="1"/>
  <c r="BW84" i="51"/>
  <c r="AO84" i="51" s="1"/>
  <c r="AO101" i="33"/>
  <c r="G48" i="33"/>
  <c r="G29" i="33"/>
  <c r="N64" i="33"/>
  <c r="BZ44" i="33"/>
  <c r="BR27" i="51"/>
  <c r="AO27" i="51" s="1"/>
  <c r="H57" i="33"/>
  <c r="H9" i="33" s="1"/>
  <c r="G64" i="33"/>
  <c r="T51" i="33"/>
  <c r="BZ51" i="33" s="1"/>
  <c r="N32" i="33"/>
  <c r="AJ32" i="33" s="1"/>
  <c r="S27" i="33"/>
  <c r="S18" i="33" s="1"/>
  <c r="AB27" i="33"/>
  <c r="J18" i="33"/>
  <c r="T29" i="33"/>
  <c r="BZ29" i="33" s="1"/>
  <c r="AO47" i="33"/>
  <c r="AJ47" i="33" s="1"/>
  <c r="BR46" i="33"/>
  <c r="AO46" i="33" s="1"/>
  <c r="N59" i="33"/>
  <c r="S57" i="33"/>
  <c r="Q57" i="33"/>
  <c r="N62" i="33"/>
  <c r="G38" i="33"/>
  <c r="N61" i="33"/>
  <c r="R57" i="33"/>
  <c r="R9" i="33" s="1"/>
  <c r="BG8" i="33" s="1"/>
  <c r="T38" i="33"/>
  <c r="BZ38" i="33" s="1"/>
  <c r="AP42" i="33"/>
  <c r="F42" i="33"/>
  <c r="F41" i="33" s="1"/>
  <c r="F18" i="33" s="1"/>
  <c r="F9" i="33" s="1"/>
  <c r="AU7" i="33" s="1"/>
  <c r="F7" i="33" s="1"/>
  <c r="AU5" i="33" s="1"/>
  <c r="BY42" i="33"/>
  <c r="BY41" i="33" s="1"/>
  <c r="AA42" i="33"/>
  <c r="AA41" i="33" s="1"/>
  <c r="AA18" i="33" s="1"/>
  <c r="AA9" i="33" s="1"/>
  <c r="BP7" i="33" s="1"/>
  <c r="AA7" i="33" s="1"/>
  <c r="BP5" i="33" s="1"/>
  <c r="Z42" i="33"/>
  <c r="T64" i="33"/>
  <c r="BZ64" i="33" s="1"/>
  <c r="AP39" i="33"/>
  <c r="V39" i="33"/>
  <c r="V37" i="33" s="1"/>
  <c r="Y39" i="33"/>
  <c r="Y37" i="33" s="1"/>
  <c r="I39" i="33"/>
  <c r="G39" i="33" s="1"/>
  <c r="C39" i="33"/>
  <c r="W39" i="33"/>
  <c r="W37" i="33" s="1"/>
  <c r="X39" i="33"/>
  <c r="X37" i="33" s="1"/>
  <c r="U39" i="33"/>
  <c r="BY39" i="33"/>
  <c r="BY37" i="33" s="1"/>
  <c r="E39" i="33"/>
  <c r="E37" i="33" s="1"/>
  <c r="U28" i="33"/>
  <c r="Y28" i="33"/>
  <c r="Y27" i="33" s="1"/>
  <c r="AP28" i="33"/>
  <c r="X28" i="33"/>
  <c r="X27" i="33" s="1"/>
  <c r="E28" i="33"/>
  <c r="E27" i="33" s="1"/>
  <c r="V28" i="33"/>
  <c r="V27" i="33" s="1"/>
  <c r="C28" i="33"/>
  <c r="I28" i="33"/>
  <c r="BY28" i="33"/>
  <c r="W28" i="33"/>
  <c r="W27" i="33" s="1"/>
  <c r="M18" i="33"/>
  <c r="M9" i="33" s="1"/>
  <c r="K18" i="33"/>
  <c r="K9" i="33" s="1"/>
  <c r="T30" i="33"/>
  <c r="BZ30" i="33" s="1"/>
  <c r="AC27" i="33"/>
  <c r="AC57" i="33"/>
  <c r="AJ59" i="33"/>
  <c r="AP59" i="33" s="1"/>
  <c r="Q27" i="33"/>
  <c r="Q18" i="33" s="1"/>
  <c r="N34" i="33"/>
  <c r="AO27" i="33"/>
  <c r="BR18" i="33"/>
  <c r="AO18" i="33" s="1"/>
  <c r="T48" i="33"/>
  <c r="BZ48" i="33" s="1"/>
  <c r="T43" i="33"/>
  <c r="BZ43" i="33" s="1"/>
  <c r="T31" i="33"/>
  <c r="BZ31" i="33" s="1"/>
  <c r="T50" i="33"/>
  <c r="BZ50" i="33" s="1"/>
  <c r="T49" i="33"/>
  <c r="BZ49" i="33" s="1"/>
  <c r="I58" i="33"/>
  <c r="AB58" i="33"/>
  <c r="AB57" i="33" s="1"/>
  <c r="U58" i="33"/>
  <c r="AP58" i="33"/>
  <c r="Y58" i="33"/>
  <c r="Y57" i="33" s="1"/>
  <c r="X58" i="33"/>
  <c r="X57" i="33" s="1"/>
  <c r="J58" i="33"/>
  <c r="J57" i="33" s="1"/>
  <c r="W58" i="33"/>
  <c r="W57" i="33" s="1"/>
  <c r="C58" i="33"/>
  <c r="BY58" i="33"/>
  <c r="BY57" i="33" s="1"/>
  <c r="E58" i="33"/>
  <c r="E57" i="33" s="1"/>
  <c r="V58" i="33"/>
  <c r="V57" i="33" s="1"/>
  <c r="T35" i="33"/>
  <c r="BZ35" i="33" s="1"/>
  <c r="BS9" i="51"/>
  <c r="AP117" i="33"/>
  <c r="AO113" i="33"/>
  <c r="AJ113" i="33" s="1"/>
  <c r="AP113" i="33" s="1"/>
  <c r="BW112" i="33"/>
  <c r="AJ86" i="33"/>
  <c r="AC84" i="33"/>
  <c r="AO86" i="33"/>
  <c r="BW84" i="33"/>
  <c r="BY87" i="33"/>
  <c r="AO87" i="51"/>
  <c r="AP87" i="51" s="1"/>
  <c r="BY87" i="51"/>
  <c r="AC19" i="51"/>
  <c r="AO29" i="51"/>
  <c r="AJ29" i="51" s="1"/>
  <c r="U29" i="51" s="1"/>
  <c r="AC27" i="51"/>
  <c r="T43" i="51"/>
  <c r="BZ43" i="51" s="1"/>
  <c r="T30" i="51"/>
  <c r="BZ30" i="51" s="1"/>
  <c r="T44" i="51"/>
  <c r="BZ44" i="51" s="1"/>
  <c r="G38" i="51"/>
  <c r="AO86" i="51"/>
  <c r="AP86" i="51" s="1"/>
  <c r="BY86" i="51"/>
  <c r="T31" i="51"/>
  <c r="BZ31" i="51" s="1"/>
  <c r="AP42" i="51"/>
  <c r="AA42" i="51"/>
  <c r="AA41" i="51" s="1"/>
  <c r="AA18" i="51" s="1"/>
  <c r="AA9" i="51" s="1"/>
  <c r="BY42" i="51"/>
  <c r="BY41" i="51" s="1"/>
  <c r="F42" i="51"/>
  <c r="Z42" i="51"/>
  <c r="S27" i="51"/>
  <c r="N32" i="51"/>
  <c r="AJ32" i="51" s="1"/>
  <c r="AP35" i="51"/>
  <c r="BY35" i="51"/>
  <c r="W35" i="51"/>
  <c r="V35" i="51"/>
  <c r="X35" i="51"/>
  <c r="AB35" i="51"/>
  <c r="C35" i="51"/>
  <c r="I35" i="51"/>
  <c r="G35" i="51" s="1"/>
  <c r="Y35" i="51"/>
  <c r="Y27" i="51" s="1"/>
  <c r="E35" i="51"/>
  <c r="U35" i="51"/>
  <c r="T51" i="51"/>
  <c r="BZ51" i="51" s="1"/>
  <c r="T50" i="51"/>
  <c r="BZ50" i="51" s="1"/>
  <c r="T28" i="51"/>
  <c r="G21" i="51"/>
  <c r="T38" i="51"/>
  <c r="BZ38" i="51" s="1"/>
  <c r="G28" i="51"/>
  <c r="T22" i="51"/>
  <c r="BZ22" i="51" s="1"/>
  <c r="T21" i="51"/>
  <c r="BZ21" i="51" s="1"/>
  <c r="W39" i="51"/>
  <c r="W37" i="51" s="1"/>
  <c r="Y39" i="51"/>
  <c r="Y37" i="51" s="1"/>
  <c r="V39" i="51"/>
  <c r="V37" i="51" s="1"/>
  <c r="I39" i="51"/>
  <c r="G39" i="51" s="1"/>
  <c r="E39" i="51"/>
  <c r="E37" i="51" s="1"/>
  <c r="U39" i="51"/>
  <c r="U37" i="51" s="1"/>
  <c r="BY39" i="51"/>
  <c r="BY37" i="51" s="1"/>
  <c r="X39" i="51"/>
  <c r="X37" i="51" s="1"/>
  <c r="AP39" i="51"/>
  <c r="C39" i="51"/>
  <c r="T23" i="51"/>
  <c r="BZ23" i="51" s="1"/>
  <c r="N34" i="51"/>
  <c r="Q27" i="51"/>
  <c r="Q18" i="51" s="1"/>
  <c r="AO20" i="51"/>
  <c r="AJ20" i="51" s="1"/>
  <c r="N24" i="51"/>
  <c r="S19" i="51"/>
  <c r="BY123" i="51"/>
  <c r="AI123" i="51"/>
  <c r="BY119" i="51"/>
  <c r="AI119" i="51"/>
  <c r="AI127" i="51"/>
  <c r="BY127" i="51"/>
  <c r="AI122" i="51"/>
  <c r="BY122" i="51"/>
  <c r="AI120" i="51"/>
  <c r="BY120" i="51"/>
  <c r="AO117" i="51"/>
  <c r="BW89" i="51"/>
  <c r="V16" i="32" s="1"/>
  <c r="AI126" i="51"/>
  <c r="BY126" i="51"/>
  <c r="AJ85" i="51"/>
  <c r="BY118" i="51"/>
  <c r="AI118" i="51"/>
  <c r="AJ117" i="51"/>
  <c r="AP126" i="51"/>
  <c r="AI124" i="51"/>
  <c r="BY124" i="51"/>
  <c r="BY125" i="51"/>
  <c r="AI125" i="51"/>
  <c r="BY121" i="51"/>
  <c r="AI121" i="51"/>
  <c r="BZ84" i="51"/>
  <c r="B5" i="32"/>
  <c r="AP123" i="51"/>
  <c r="AP118" i="51"/>
  <c r="N61" i="51"/>
  <c r="R57" i="51"/>
  <c r="R9" i="51" s="1"/>
  <c r="G64" i="51"/>
  <c r="H57" i="51"/>
  <c r="H9" i="51" s="1"/>
  <c r="S57" i="51"/>
  <c r="N59" i="51"/>
  <c r="AJ59" i="51"/>
  <c r="AP59" i="51" s="1"/>
  <c r="AC57" i="51"/>
  <c r="W58" i="51"/>
  <c r="W57" i="51" s="1"/>
  <c r="E58" i="51"/>
  <c r="E57" i="51" s="1"/>
  <c r="J58" i="51"/>
  <c r="J57" i="51" s="1"/>
  <c r="U58" i="51"/>
  <c r="C58" i="51"/>
  <c r="I58" i="51"/>
  <c r="Y58" i="51"/>
  <c r="Y57" i="51" s="1"/>
  <c r="X58" i="51"/>
  <c r="X57" i="51" s="1"/>
  <c r="AP58" i="51"/>
  <c r="AB58" i="51"/>
  <c r="AB57" i="51" s="1"/>
  <c r="V58" i="51"/>
  <c r="V57" i="51" s="1"/>
  <c r="BY58" i="51"/>
  <c r="BY57" i="51" s="1"/>
  <c r="N64" i="51"/>
  <c r="Q57" i="51"/>
  <c r="N62" i="51"/>
  <c r="T64" i="51"/>
  <c r="BZ64" i="51" s="1"/>
  <c r="T48" i="51"/>
  <c r="BZ48" i="51" s="1"/>
  <c r="AD66" i="51"/>
  <c r="T49" i="51"/>
  <c r="BZ49" i="51" s="1"/>
  <c r="G48" i="51"/>
  <c r="BR46" i="51"/>
  <c r="AO47" i="51"/>
  <c r="AJ47" i="51" s="1"/>
  <c r="T23" i="32"/>
  <c r="T24" i="32"/>
  <c r="C9" i="47"/>
  <c r="W169" i="32"/>
  <c r="C11" i="47"/>
  <c r="C25" i="47"/>
  <c r="B263" i="32"/>
  <c r="B270" i="32" s="1"/>
  <c r="U169" i="32"/>
  <c r="U203" i="32"/>
  <c r="W203" i="32"/>
  <c r="B265" i="32"/>
  <c r="B272" i="32" s="1"/>
  <c r="B264" i="32"/>
  <c r="B271" i="32" s="1"/>
  <c r="B262" i="32"/>
  <c r="B269" i="32" s="1"/>
  <c r="B266" i="32"/>
  <c r="B273" i="32" s="1"/>
  <c r="B261" i="32"/>
  <c r="B268" i="32" s="1"/>
  <c r="BW68" i="51" l="1"/>
  <c r="AO68" i="51" s="1"/>
  <c r="AP101" i="33"/>
  <c r="N57" i="33"/>
  <c r="N27" i="33"/>
  <c r="N18" i="33" s="1"/>
  <c r="S9" i="33"/>
  <c r="BH8" i="33" s="1"/>
  <c r="T39" i="33"/>
  <c r="T37" i="33" s="1"/>
  <c r="G37" i="33"/>
  <c r="J9" i="33"/>
  <c r="AY10" i="33" s="1"/>
  <c r="K69" i="33"/>
  <c r="K68" i="33" s="1"/>
  <c r="K66" i="33" s="1"/>
  <c r="AZ10" i="33"/>
  <c r="U27" i="33"/>
  <c r="T28" i="33"/>
  <c r="T27" i="33" s="1"/>
  <c r="M69" i="33"/>
  <c r="M68" i="33" s="1"/>
  <c r="M66" i="33" s="1"/>
  <c r="BB10" i="33"/>
  <c r="U37" i="33"/>
  <c r="H69" i="33"/>
  <c r="AW10" i="33"/>
  <c r="C57" i="33"/>
  <c r="G58" i="33"/>
  <c r="G57" i="33" s="1"/>
  <c r="I57" i="33"/>
  <c r="I27" i="33"/>
  <c r="G28" i="33"/>
  <c r="G27" i="33" s="1"/>
  <c r="T42" i="33"/>
  <c r="BZ42" i="33" s="1"/>
  <c r="BZ41" i="33" s="1"/>
  <c r="Z41" i="33"/>
  <c r="T58" i="33"/>
  <c r="T57" i="33" s="1"/>
  <c r="U57" i="33"/>
  <c r="I37" i="33"/>
  <c r="BY32" i="33"/>
  <c r="BY27" i="33" s="1"/>
  <c r="AP32" i="33"/>
  <c r="C27" i="33"/>
  <c r="C37" i="33"/>
  <c r="Q9" i="33"/>
  <c r="BF8" i="33" s="1"/>
  <c r="X47" i="33"/>
  <c r="X46" i="33" s="1"/>
  <c r="X18" i="33" s="1"/>
  <c r="X9" i="33" s="1"/>
  <c r="BM7" i="33" s="1"/>
  <c r="X7" i="33" s="1"/>
  <c r="BM5" i="33" s="1"/>
  <c r="C47" i="33"/>
  <c r="AP47" i="33"/>
  <c r="I47" i="33"/>
  <c r="AB47" i="33"/>
  <c r="AB46" i="33" s="1"/>
  <c r="AB18" i="33" s="1"/>
  <c r="AB9" i="33" s="1"/>
  <c r="BQ7" i="33" s="1"/>
  <c r="AB7" i="33" s="1"/>
  <c r="BQ5" i="33" s="1"/>
  <c r="BY47" i="33"/>
  <c r="BY46" i="33" s="1"/>
  <c r="U47" i="33"/>
  <c r="Y47" i="33"/>
  <c r="Y46" i="33" s="1"/>
  <c r="Y18" i="33" s="1"/>
  <c r="Y9" i="33" s="1"/>
  <c r="BN7" i="33" s="1"/>
  <c r="Y7" i="33" s="1"/>
  <c r="BN5" i="33" s="1"/>
  <c r="W47" i="33"/>
  <c r="W46" i="33" s="1"/>
  <c r="W18" i="33" s="1"/>
  <c r="W9" i="33" s="1"/>
  <c r="BL7" i="33" s="1"/>
  <c r="W7" i="33" s="1"/>
  <c r="BL5" i="33" s="1"/>
  <c r="E47" i="33"/>
  <c r="E46" i="33" s="1"/>
  <c r="E18" i="33" s="1"/>
  <c r="E9" i="33" s="1"/>
  <c r="AT7" i="33" s="1"/>
  <c r="E7" i="33" s="1"/>
  <c r="AT5" i="33" s="1"/>
  <c r="V47" i="33"/>
  <c r="V46" i="33" s="1"/>
  <c r="V18" i="33" s="1"/>
  <c r="V9" i="33" s="1"/>
  <c r="BK7" i="33" s="1"/>
  <c r="V7" i="33" s="1"/>
  <c r="BK5" i="33" s="1"/>
  <c r="AP86" i="33"/>
  <c r="BY86" i="33"/>
  <c r="BY84" i="33" s="1"/>
  <c r="BY68" i="33" s="1"/>
  <c r="AJ84" i="33"/>
  <c r="AO112" i="33"/>
  <c r="BW89" i="33"/>
  <c r="AO89" i="33" s="1"/>
  <c r="AO84" i="33"/>
  <c r="BW68" i="33"/>
  <c r="AO68" i="33" s="1"/>
  <c r="BY113" i="33"/>
  <c r="BY112" i="33" s="1"/>
  <c r="BY89" i="33" s="1"/>
  <c r="AI113" i="33"/>
  <c r="AJ112" i="33"/>
  <c r="AP112" i="33" s="1"/>
  <c r="BP7" i="51"/>
  <c r="AA7" i="51" s="1"/>
  <c r="BP5" i="51" s="1"/>
  <c r="AA128" i="51"/>
  <c r="S18" i="51"/>
  <c r="S9" i="51" s="1"/>
  <c r="M29" i="51"/>
  <c r="M27" i="51" s="1"/>
  <c r="M18" i="51" s="1"/>
  <c r="M9" i="51" s="1"/>
  <c r="M69" i="51" s="1"/>
  <c r="M68" i="51" s="1"/>
  <c r="M66" i="51" s="1"/>
  <c r="AP29" i="51"/>
  <c r="K29" i="51"/>
  <c r="K27" i="51" s="1"/>
  <c r="K18" i="51" s="1"/>
  <c r="K9" i="51" s="1"/>
  <c r="BY29" i="51"/>
  <c r="I37" i="51"/>
  <c r="AC18" i="51"/>
  <c r="AC9" i="51" s="1"/>
  <c r="AB29" i="51"/>
  <c r="AB27" i="51" s="1"/>
  <c r="W29" i="51"/>
  <c r="W27" i="51" s="1"/>
  <c r="V29" i="51"/>
  <c r="V27" i="51" s="1"/>
  <c r="J29" i="51"/>
  <c r="J27" i="51" s="1"/>
  <c r="J18" i="51" s="1"/>
  <c r="J9" i="51" s="1"/>
  <c r="E29" i="51"/>
  <c r="E27" i="51" s="1"/>
  <c r="I29" i="51"/>
  <c r="X29" i="51"/>
  <c r="X27" i="51" s="1"/>
  <c r="G37" i="51"/>
  <c r="C37" i="51"/>
  <c r="U27" i="51"/>
  <c r="C27" i="51"/>
  <c r="Q9" i="51"/>
  <c r="Q128" i="51" s="1"/>
  <c r="N19" i="51"/>
  <c r="AJ24" i="51"/>
  <c r="T42" i="51"/>
  <c r="BZ42" i="51" s="1"/>
  <c r="BZ41" i="51" s="1"/>
  <c r="Z41" i="51"/>
  <c r="BY32" i="51"/>
  <c r="AP32" i="51"/>
  <c r="N27" i="51"/>
  <c r="T39" i="51"/>
  <c r="BZ39" i="51" s="1"/>
  <c r="BZ37" i="51" s="1"/>
  <c r="T35" i="51"/>
  <c r="AB20" i="51"/>
  <c r="AB19" i="51" s="1"/>
  <c r="U20" i="51"/>
  <c r="E20" i="51"/>
  <c r="E19" i="51" s="1"/>
  <c r="BY20" i="51"/>
  <c r="C20" i="51"/>
  <c r="X20" i="51"/>
  <c r="X19" i="51" s="1"/>
  <c r="V20" i="51"/>
  <c r="V19" i="51" s="1"/>
  <c r="W20" i="51"/>
  <c r="W19" i="51" s="1"/>
  <c r="I20" i="51"/>
  <c r="Y20" i="51"/>
  <c r="Y19" i="51" s="1"/>
  <c r="AP20" i="51"/>
  <c r="F41" i="51"/>
  <c r="F18" i="51" s="1"/>
  <c r="F9" i="51" s="1"/>
  <c r="BZ28" i="51"/>
  <c r="AI117" i="51"/>
  <c r="AJ89" i="51"/>
  <c r="C67" i="47" s="1"/>
  <c r="BY117" i="51"/>
  <c r="BY89" i="51" s="1"/>
  <c r="C68" i="47" s="1"/>
  <c r="AP117" i="51"/>
  <c r="C61" i="47"/>
  <c r="AJ84" i="51"/>
  <c r="C53" i="47" s="1"/>
  <c r="BY85" i="51"/>
  <c r="BY84" i="51" s="1"/>
  <c r="BY68" i="51" s="1"/>
  <c r="B16" i="32"/>
  <c r="AO89" i="51"/>
  <c r="AP85" i="51"/>
  <c r="I57" i="51"/>
  <c r="G58" i="51"/>
  <c r="G57" i="51" s="1"/>
  <c r="AW10" i="51"/>
  <c r="H69" i="51"/>
  <c r="H68" i="51" s="1"/>
  <c r="H66" i="51" s="1"/>
  <c r="C57" i="51"/>
  <c r="N57" i="51"/>
  <c r="R128" i="51"/>
  <c r="BG8" i="51"/>
  <c r="T58" i="51"/>
  <c r="T57" i="51" s="1"/>
  <c r="U57" i="51"/>
  <c r="I47" i="51"/>
  <c r="BY47" i="51"/>
  <c r="BY46" i="51" s="1"/>
  <c r="C47" i="51"/>
  <c r="AP47" i="51"/>
  <c r="E47" i="51"/>
  <c r="E46" i="51" s="1"/>
  <c r="Y47" i="51"/>
  <c r="Y46" i="51" s="1"/>
  <c r="X47" i="51"/>
  <c r="X46" i="51" s="1"/>
  <c r="AB47" i="51"/>
  <c r="AB46" i="51" s="1"/>
  <c r="U47" i="51"/>
  <c r="V47" i="51"/>
  <c r="V46" i="51" s="1"/>
  <c r="W47" i="51"/>
  <c r="W46" i="51" s="1"/>
  <c r="AO46" i="51"/>
  <c r="BR18" i="51"/>
  <c r="C59" i="47"/>
  <c r="C57" i="47"/>
  <c r="BZ39" i="33" l="1"/>
  <c r="BZ37" i="33" s="1"/>
  <c r="N9" i="33"/>
  <c r="BZ28" i="33"/>
  <c r="BZ27" i="33" s="1"/>
  <c r="BC8" i="33"/>
  <c r="AO8" i="33" s="1"/>
  <c r="AJ27" i="33"/>
  <c r="AP27" i="33" s="1"/>
  <c r="J69" i="33"/>
  <c r="J68" i="33" s="1"/>
  <c r="J66" i="33" s="1"/>
  <c r="AY9" i="33" s="1"/>
  <c r="BZ58" i="33"/>
  <c r="BZ57" i="33" s="1"/>
  <c r="AJ37" i="33"/>
  <c r="AP37" i="33" s="1"/>
  <c r="G47" i="33"/>
  <c r="G46" i="33" s="1"/>
  <c r="G18" i="33" s="1"/>
  <c r="G9" i="33" s="1"/>
  <c r="I46" i="33"/>
  <c r="I18" i="33" s="1"/>
  <c r="I9" i="33" s="1"/>
  <c r="T47" i="33"/>
  <c r="T46" i="33" s="1"/>
  <c r="U46" i="33"/>
  <c r="U18" i="33" s="1"/>
  <c r="U9" i="33" s="1"/>
  <c r="BJ7" i="33" s="1"/>
  <c r="AJ57" i="33"/>
  <c r="AP57" i="33" s="1"/>
  <c r="H68" i="33"/>
  <c r="H66" i="33" s="1"/>
  <c r="C46" i="33"/>
  <c r="T41" i="33"/>
  <c r="AJ41" i="33" s="1"/>
  <c r="AP41" i="33" s="1"/>
  <c r="Z18" i="33"/>
  <c r="Z9" i="33" s="1"/>
  <c r="BO7" i="33" s="1"/>
  <c r="Z7" i="33" s="1"/>
  <c r="BO5" i="33" s="1"/>
  <c r="BB66" i="33"/>
  <c r="BB9" i="33"/>
  <c r="AZ66" i="33"/>
  <c r="AZ9" i="33"/>
  <c r="X18" i="51"/>
  <c r="X9" i="51" s="1"/>
  <c r="BM7" i="51" s="1"/>
  <c r="X7" i="51" s="1"/>
  <c r="BM5" i="51" s="1"/>
  <c r="W18" i="51"/>
  <c r="W9" i="51" s="1"/>
  <c r="W128" i="51" s="1"/>
  <c r="BY27" i="51"/>
  <c r="AI112" i="33"/>
  <c r="AJ89" i="33"/>
  <c r="T37" i="51"/>
  <c r="AJ37" i="51" s="1"/>
  <c r="AP37" i="51" s="1"/>
  <c r="S128" i="51"/>
  <c r="BH8" i="51"/>
  <c r="BB9" i="51"/>
  <c r="BB66" i="51"/>
  <c r="BB10" i="51"/>
  <c r="J69" i="51"/>
  <c r="J68" i="51" s="1"/>
  <c r="J66" i="51" s="1"/>
  <c r="AY66" i="51" s="1"/>
  <c r="AY10" i="51"/>
  <c r="AZ10" i="51"/>
  <c r="K69" i="51"/>
  <c r="K68" i="51" s="1"/>
  <c r="G29" i="51"/>
  <c r="G27" i="51" s="1"/>
  <c r="AB18" i="51"/>
  <c r="AB9" i="51" s="1"/>
  <c r="BQ7" i="51" s="1"/>
  <c r="AB7" i="51" s="1"/>
  <c r="BQ5" i="51" s="1"/>
  <c r="I27" i="51"/>
  <c r="T29" i="51"/>
  <c r="T27" i="51" s="1"/>
  <c r="F128" i="51"/>
  <c r="AU7" i="51"/>
  <c r="F7" i="51" s="1"/>
  <c r="AU5" i="51" s="1"/>
  <c r="V18" i="51"/>
  <c r="V9" i="51" s="1"/>
  <c r="V128" i="51" s="1"/>
  <c r="I19" i="51"/>
  <c r="G20" i="51"/>
  <c r="G19" i="51" s="1"/>
  <c r="C19" i="51"/>
  <c r="BY24" i="51"/>
  <c r="BY19" i="51" s="1"/>
  <c r="AP24" i="51"/>
  <c r="BZ35" i="51"/>
  <c r="M128" i="51"/>
  <c r="AJ57" i="51"/>
  <c r="AP57" i="51" s="1"/>
  <c r="U19" i="51"/>
  <c r="T20" i="51"/>
  <c r="T19" i="51" s="1"/>
  <c r="Y18" i="51"/>
  <c r="Y9" i="51" s="1"/>
  <c r="BN7" i="51" s="1"/>
  <c r="Y7" i="51" s="1"/>
  <c r="BN5" i="51" s="1"/>
  <c r="BF8" i="51"/>
  <c r="E18" i="51"/>
  <c r="E9" i="51" s="1"/>
  <c r="E128" i="51" s="1"/>
  <c r="Z18" i="51"/>
  <c r="Z9" i="51" s="1"/>
  <c r="T41" i="51"/>
  <c r="AJ41" i="51" s="1"/>
  <c r="AP41" i="51" s="1"/>
  <c r="N18" i="51"/>
  <c r="N9" i="51" s="1"/>
  <c r="C24" i="47" s="1"/>
  <c r="AP89" i="51"/>
  <c r="AI89" i="51"/>
  <c r="BZ58" i="51"/>
  <c r="BZ57" i="51" s="1"/>
  <c r="H128" i="51"/>
  <c r="AW66" i="51"/>
  <c r="AW9" i="51"/>
  <c r="C46" i="51"/>
  <c r="AO18" i="51"/>
  <c r="AC69" i="51"/>
  <c r="BR10" i="51"/>
  <c r="T47" i="51"/>
  <c r="T46" i="51" s="1"/>
  <c r="U46" i="51"/>
  <c r="I46" i="51"/>
  <c r="G47" i="51"/>
  <c r="G46" i="51" s="1"/>
  <c r="T16" i="32"/>
  <c r="C66" i="47"/>
  <c r="C14" i="47"/>
  <c r="B117" i="37"/>
  <c r="B117" i="36"/>
  <c r="B117" i="35"/>
  <c r="B117" i="34"/>
  <c r="X128" i="51" l="1"/>
  <c r="BZ47" i="33"/>
  <c r="BZ46" i="33" s="1"/>
  <c r="BZ18" i="33" s="1"/>
  <c r="AY66" i="33"/>
  <c r="AX10" i="33"/>
  <c r="AV10" i="33" s="1"/>
  <c r="I69" i="33"/>
  <c r="AY9" i="51"/>
  <c r="AW66" i="33"/>
  <c r="AW9" i="33"/>
  <c r="U7" i="33"/>
  <c r="BI7" i="33"/>
  <c r="T18" i="33"/>
  <c r="T9" i="33" s="1"/>
  <c r="BL7" i="51"/>
  <c r="W7" i="51" s="1"/>
  <c r="BL5" i="51" s="1"/>
  <c r="C18" i="33"/>
  <c r="C9" i="33" s="1"/>
  <c r="AR7" i="33" s="1"/>
  <c r="C7" i="33" s="1"/>
  <c r="AR5" i="33" s="1"/>
  <c r="AJ46" i="33"/>
  <c r="AP46" i="33" s="1"/>
  <c r="AJ27" i="51"/>
  <c r="AP27" i="51" s="1"/>
  <c r="BY18" i="51"/>
  <c r="BY9" i="51" s="1"/>
  <c r="C64" i="47" s="1"/>
  <c r="AT7" i="51"/>
  <c r="E7" i="51" s="1"/>
  <c r="AT5" i="51" s="1"/>
  <c r="AP89" i="33"/>
  <c r="AI89" i="33"/>
  <c r="BC8" i="51"/>
  <c r="AO8" i="51" s="1"/>
  <c r="C6" i="47" s="1"/>
  <c r="I18" i="51"/>
  <c r="I9" i="51" s="1"/>
  <c r="I69" i="51" s="1"/>
  <c r="Y128" i="51"/>
  <c r="J128" i="51"/>
  <c r="K66" i="51"/>
  <c r="K128" i="51"/>
  <c r="AB128" i="51"/>
  <c r="BZ29" i="51"/>
  <c r="BZ27" i="51" s="1"/>
  <c r="BZ20" i="51"/>
  <c r="BZ19" i="51" s="1"/>
  <c r="T18" i="51"/>
  <c r="T9" i="51" s="1"/>
  <c r="BK7" i="51"/>
  <c r="V7" i="51" s="1"/>
  <c r="BK5" i="51" s="1"/>
  <c r="BO7" i="51"/>
  <c r="Z7" i="51" s="1"/>
  <c r="BO5" i="51" s="1"/>
  <c r="Z128" i="51"/>
  <c r="BZ47" i="51"/>
  <c r="BZ46" i="51" s="1"/>
  <c r="G18" i="51"/>
  <c r="G9" i="51" s="1"/>
  <c r="U18" i="51"/>
  <c r="U9" i="51" s="1"/>
  <c r="BJ7" i="51" s="1"/>
  <c r="AJ19" i="51"/>
  <c r="AP19" i="51" s="1"/>
  <c r="AC128" i="51"/>
  <c r="BZ10" i="51"/>
  <c r="BR9" i="51"/>
  <c r="AC66" i="51" s="1"/>
  <c r="BZ69" i="51"/>
  <c r="BZ68" i="51" s="1"/>
  <c r="C74" i="47" s="1"/>
  <c r="AC129" i="51"/>
  <c r="AC68" i="51"/>
  <c r="BR66" i="51" s="1"/>
  <c r="C18" i="51"/>
  <c r="C9" i="51" s="1"/>
  <c r="AJ46" i="51"/>
  <c r="C47" i="47"/>
  <c r="C41" i="47"/>
  <c r="T14" i="45"/>
  <c r="V281" i="32" s="1"/>
  <c r="E33" i="47"/>
  <c r="C13" i="47" l="1"/>
  <c r="C39" i="47"/>
  <c r="T7" i="32"/>
  <c r="J3" i="43" s="1"/>
  <c r="I68" i="33"/>
  <c r="I66" i="33" s="1"/>
  <c r="G69" i="33"/>
  <c r="BJ5" i="33"/>
  <c r="BI5" i="33" s="1"/>
  <c r="AO5" i="33" s="1"/>
  <c r="T7" i="33"/>
  <c r="AJ7" i="33" s="1"/>
  <c r="AO7" i="33"/>
  <c r="J3" i="55"/>
  <c r="AN13" i="65"/>
  <c r="AN13" i="66"/>
  <c r="AN13" i="64"/>
  <c r="AN13" i="62"/>
  <c r="AN13" i="61"/>
  <c r="AN13" i="60"/>
  <c r="AN13" i="59"/>
  <c r="AN13" i="51"/>
  <c r="AN13" i="33"/>
  <c r="C37" i="47"/>
  <c r="AX10" i="51"/>
  <c r="AV10" i="51" s="1"/>
  <c r="B7" i="32"/>
  <c r="BZ18" i="51"/>
  <c r="BZ9" i="51" s="1"/>
  <c r="B2" i="32" s="1"/>
  <c r="C5" i="32" s="1"/>
  <c r="AZ9" i="51"/>
  <c r="AZ66" i="51"/>
  <c r="U128" i="51"/>
  <c r="AP46" i="51"/>
  <c r="AJ18" i="51"/>
  <c r="C35" i="47" s="1"/>
  <c r="I68" i="51"/>
  <c r="G69" i="51"/>
  <c r="K2" i="55" s="1"/>
  <c r="B11" i="32"/>
  <c r="C128" i="51"/>
  <c r="AR7" i="51"/>
  <c r="C7" i="51" s="1"/>
  <c r="AR5" i="51" s="1"/>
  <c r="AJ9" i="51"/>
  <c r="C7" i="47" s="1"/>
  <c r="BI7" i="51"/>
  <c r="U7" i="51"/>
  <c r="B10" i="32"/>
  <c r="V11" i="32"/>
  <c r="AN13" i="58"/>
  <c r="V10" i="32"/>
  <c r="V7" i="32"/>
  <c r="C45" i="47"/>
  <c r="E31" i="47"/>
  <c r="AP7" i="33" l="1"/>
  <c r="AX66" i="33"/>
  <c r="AV66" i="33" s="1"/>
  <c r="AX9" i="33"/>
  <c r="AV9" i="33" s="1"/>
  <c r="G66" i="33"/>
  <c r="J2" i="55"/>
  <c r="G68" i="33"/>
  <c r="AO10" i="51"/>
  <c r="K3" i="55"/>
  <c r="AN11" i="66"/>
  <c r="AN11" i="65"/>
  <c r="AN11" i="62"/>
  <c r="AN11" i="61"/>
  <c r="AN11" i="64"/>
  <c r="AN11" i="59"/>
  <c r="AN11" i="60"/>
  <c r="AN11" i="51"/>
  <c r="AN11" i="33"/>
  <c r="C8" i="32"/>
  <c r="C7" i="32"/>
  <c r="B14" i="32"/>
  <c r="B15" i="32" s="1"/>
  <c r="C10" i="32"/>
  <c r="BJ5" i="51"/>
  <c r="BI5" i="51" s="1"/>
  <c r="AO5" i="51" s="1"/>
  <c r="T7" i="51"/>
  <c r="AJ7" i="51" s="1"/>
  <c r="C11" i="32"/>
  <c r="AO7" i="51"/>
  <c r="C5" i="47" s="1"/>
  <c r="AJ69" i="51"/>
  <c r="AP69" i="51" s="1"/>
  <c r="G68" i="51"/>
  <c r="AJ68" i="51" s="1"/>
  <c r="AP68" i="51" s="1"/>
  <c r="I66" i="51"/>
  <c r="I128" i="51"/>
  <c r="AN11" i="58"/>
  <c r="V14" i="32"/>
  <c r="T3" i="41"/>
  <c r="B8" i="22"/>
  <c r="V2" i="32"/>
  <c r="L1" i="43" s="1"/>
  <c r="T3" i="45"/>
  <c r="L3" i="43"/>
  <c r="E59" i="47"/>
  <c r="T1" i="45" l="1"/>
  <c r="T1" i="40"/>
  <c r="T1" i="41"/>
  <c r="T1" i="44"/>
  <c r="N1" i="39"/>
  <c r="W10" i="32"/>
  <c r="T4" i="45" s="1"/>
  <c r="V3" i="32"/>
  <c r="AN112" i="66"/>
  <c r="AN112" i="65"/>
  <c r="AN112" i="64"/>
  <c r="AN112" i="61"/>
  <c r="AN112" i="62"/>
  <c r="AN112" i="59"/>
  <c r="AN112" i="60"/>
  <c r="AN112" i="51"/>
  <c r="AN112" i="33"/>
  <c r="C28" i="47"/>
  <c r="AX66" i="51"/>
  <c r="AV66" i="51" s="1"/>
  <c r="AO66" i="51" s="1"/>
  <c r="AX9" i="51"/>
  <c r="AV9" i="51" s="1"/>
  <c r="AO9" i="51" s="1"/>
  <c r="AP9" i="51" s="1"/>
  <c r="G66" i="51"/>
  <c r="AJ66" i="51" s="1"/>
  <c r="C22" i="32"/>
  <c r="C19" i="32"/>
  <c r="C18" i="32"/>
  <c r="C24" i="32"/>
  <c r="C23" i="32"/>
  <c r="C25" i="32"/>
  <c r="C20" i="32"/>
  <c r="C26" i="32"/>
  <c r="B12" i="32" s="1"/>
  <c r="C12" i="32" s="1"/>
  <c r="C21" i="32"/>
  <c r="AP7" i="51"/>
  <c r="W26" i="32"/>
  <c r="V12" i="32" s="1"/>
  <c r="W12" i="32" s="1"/>
  <c r="T4" i="40" s="1"/>
  <c r="V15" i="32"/>
  <c r="W20" i="32" s="1"/>
  <c r="AN112" i="58"/>
  <c r="W8" i="32"/>
  <c r="T4" i="44" s="1"/>
  <c r="W5" i="32"/>
  <c r="N4" i="39" s="1"/>
  <c r="W11" i="32"/>
  <c r="T4" i="41" s="1"/>
  <c r="W7" i="32"/>
  <c r="L4" i="43" s="1"/>
  <c r="C20" i="47"/>
  <c r="E49" i="47"/>
  <c r="AN70" i="65" l="1"/>
  <c r="AN70" i="66"/>
  <c r="AN70" i="61"/>
  <c r="AN70" i="64"/>
  <c r="AN70" i="62"/>
  <c r="AN70" i="60"/>
  <c r="AN70" i="59"/>
  <c r="AN70" i="51"/>
  <c r="AN70" i="33"/>
  <c r="C18" i="47"/>
  <c r="B9" i="32"/>
  <c r="C9" i="32" s="1"/>
  <c r="BY66" i="51"/>
  <c r="AP66" i="51"/>
  <c r="B6" i="32"/>
  <c r="C6" i="32" s="1"/>
  <c r="C19" i="47"/>
  <c r="T3" i="40"/>
  <c r="C69" i="47"/>
  <c r="AN70" i="58"/>
  <c r="W19" i="32"/>
  <c r="W22" i="32"/>
  <c r="W25" i="32"/>
  <c r="W23" i="32"/>
  <c r="W18" i="32"/>
  <c r="W24" i="32"/>
  <c r="W21" i="32"/>
  <c r="C65" i="47"/>
  <c r="C12" i="47"/>
  <c r="E57" i="47"/>
  <c r="AN101" i="65" l="1"/>
  <c r="AN101" i="66"/>
  <c r="AN101" i="64"/>
  <c r="AN101" i="62"/>
  <c r="AN101" i="61"/>
  <c r="AN101" i="59"/>
  <c r="AN101" i="60"/>
  <c r="AN101" i="51"/>
  <c r="AN101" i="33"/>
  <c r="V9" i="32"/>
  <c r="W9" i="32" s="1"/>
  <c r="T6" i="44" s="1"/>
  <c r="V6" i="32"/>
  <c r="AN101" i="58"/>
  <c r="E55" i="47"/>
  <c r="AN90" i="66" l="1"/>
  <c r="AN90" i="65"/>
  <c r="AN90" i="64"/>
  <c r="AN90" i="62"/>
  <c r="AN90" i="61"/>
  <c r="AN90" i="59"/>
  <c r="AN90" i="60"/>
  <c r="AN90" i="51"/>
  <c r="AN90" i="33"/>
  <c r="T5" i="44"/>
  <c r="AN90" i="58"/>
  <c r="W6" i="32"/>
  <c r="N6" i="39" s="1"/>
  <c r="N5" i="39"/>
  <c r="E53" i="47" l="1"/>
  <c r="AN84" i="66" l="1"/>
  <c r="AN84" i="65"/>
  <c r="AN84" i="61"/>
  <c r="AN84" i="64"/>
  <c r="AN84" i="62"/>
  <c r="AN84" i="60"/>
  <c r="AN84" i="59"/>
  <c r="AN84" i="51"/>
  <c r="AN84" i="33"/>
  <c r="AN84" i="58"/>
  <c r="E20" i="47"/>
  <c r="E19" i="47"/>
  <c r="E29" i="47" l="1"/>
  <c r="E11" i="47"/>
  <c r="E25" i="47"/>
  <c r="E9" i="47" l="1"/>
  <c r="E45" i="47" l="1"/>
  <c r="AN46" i="66" l="1"/>
  <c r="AN46" i="65"/>
  <c r="AN46" i="64"/>
  <c r="AN46" i="62"/>
  <c r="AN46" i="61"/>
  <c r="AN46" i="59"/>
  <c r="AN46" i="60"/>
  <c r="AN46" i="51"/>
  <c r="AN46" i="33"/>
  <c r="AN46" i="58"/>
  <c r="E51" i="47"/>
  <c r="E61" i="47"/>
  <c r="AN117" i="65" l="1"/>
  <c r="AN117" i="66"/>
  <c r="AN117" i="64"/>
  <c r="AN117" i="61"/>
  <c r="AN117" i="62"/>
  <c r="AN117" i="60"/>
  <c r="AN117" i="59"/>
  <c r="AN80" i="66"/>
  <c r="AN80" i="65"/>
  <c r="AN80" i="61"/>
  <c r="AN80" i="62"/>
  <c r="AN80" i="64"/>
  <c r="AN80" i="60"/>
  <c r="AN80" i="59"/>
  <c r="AN117" i="51"/>
  <c r="AN117" i="33"/>
  <c r="AN80" i="51"/>
  <c r="AN80" i="33"/>
  <c r="AN117" i="58"/>
  <c r="AN80" i="58"/>
  <c r="E66" i="47"/>
  <c r="E14" i="47"/>
  <c r="E68" i="47"/>
  <c r="E67" i="47"/>
  <c r="E43" i="47" l="1"/>
  <c r="AN41" i="65" l="1"/>
  <c r="AN41" i="66"/>
  <c r="AN41" i="64"/>
  <c r="AN41" i="62"/>
  <c r="AN41" i="61"/>
  <c r="AN41" i="59"/>
  <c r="AN41" i="60"/>
  <c r="AN41" i="51"/>
  <c r="AN41" i="33"/>
  <c r="AN41" i="58"/>
  <c r="E39" i="47"/>
  <c r="E41" i="47"/>
  <c r="AN37" i="66" l="1"/>
  <c r="AN37" i="65"/>
  <c r="AN37" i="61"/>
  <c r="AN37" i="62"/>
  <c r="AN37" i="64"/>
  <c r="AN37" i="59"/>
  <c r="AN37" i="60"/>
  <c r="AN27" i="65"/>
  <c r="AN27" i="66"/>
  <c r="AN27" i="64"/>
  <c r="AN27" i="61"/>
  <c r="AN27" i="62"/>
  <c r="AN27" i="60"/>
  <c r="AN27" i="59"/>
  <c r="AN27" i="51"/>
  <c r="AN27" i="33"/>
  <c r="AN37" i="51"/>
  <c r="AN37" i="33"/>
  <c r="AN37" i="58"/>
  <c r="AN27" i="58"/>
  <c r="E35" i="47"/>
  <c r="AN18" i="66" l="1"/>
  <c r="AN18" i="65"/>
  <c r="AN18" i="62"/>
  <c r="AN18" i="64"/>
  <c r="AN18" i="61"/>
  <c r="AN18" i="59"/>
  <c r="AN18" i="60"/>
  <c r="AN18" i="51"/>
  <c r="AN18" i="33"/>
  <c r="AN18" i="58"/>
  <c r="E37" i="47"/>
  <c r="AN19" i="66" l="1"/>
  <c r="AN19" i="65"/>
  <c r="AN19" i="62"/>
  <c r="AN19" i="64"/>
  <c r="AN19" i="61"/>
  <c r="AN19" i="60"/>
  <c r="AN19" i="59"/>
  <c r="AN19" i="51"/>
  <c r="AN19" i="33"/>
  <c r="AN19" i="58"/>
  <c r="E13" i="47"/>
  <c r="E64" i="47"/>
  <c r="E74" i="47" l="1"/>
  <c r="E47" i="47"/>
  <c r="AN57" i="66" l="1"/>
  <c r="AN57" i="65"/>
  <c r="AN57" i="62"/>
  <c r="AN57" i="61"/>
  <c r="AN57" i="64"/>
  <c r="AN57" i="59"/>
  <c r="AN57" i="60"/>
  <c r="BZ4" i="65"/>
  <c r="BZ4" i="66"/>
  <c r="BZ4" i="64"/>
  <c r="BZ4" i="62"/>
  <c r="BZ4" i="61"/>
  <c r="BZ4" i="60"/>
  <c r="BZ4" i="59"/>
  <c r="BZ4" i="51"/>
  <c r="BZ4" i="33"/>
  <c r="AN57" i="51"/>
  <c r="AN57" i="33"/>
  <c r="BZ4" i="58"/>
  <c r="AN57" i="58"/>
  <c r="E6" i="47"/>
  <c r="E24" i="47"/>
  <c r="E28" i="47"/>
  <c r="E7" i="47"/>
  <c r="E18" i="47" l="1"/>
  <c r="E5" i="47" l="1"/>
  <c r="E69" i="47"/>
  <c r="AN5" i="66" l="1"/>
  <c r="AN5" i="65"/>
  <c r="AN7" i="66"/>
  <c r="AN7" i="65"/>
  <c r="AN5" i="64"/>
  <c r="AN7" i="61"/>
  <c r="AN7" i="64"/>
  <c r="AN7" i="62"/>
  <c r="AN5" i="62"/>
  <c r="AN5" i="61"/>
  <c r="AN5" i="60"/>
  <c r="AN7" i="59"/>
  <c r="AN5" i="59"/>
  <c r="AN7" i="60"/>
  <c r="AN7" i="33"/>
  <c r="AN5" i="33"/>
  <c r="AN5" i="51"/>
  <c r="AN7" i="51"/>
  <c r="AN7" i="58"/>
  <c r="AN5" i="58"/>
  <c r="E12" i="47"/>
  <c r="E65" i="47" l="1"/>
  <c r="AN68" i="65" l="1"/>
  <c r="AN68" i="66"/>
  <c r="AN68" i="62"/>
  <c r="AN68" i="61"/>
  <c r="AN68" i="64"/>
  <c r="AN68" i="59"/>
  <c r="AN68" i="60"/>
  <c r="AN68" i="51"/>
  <c r="AN68" i="33"/>
  <c r="AN68" i="58"/>
  <c r="B7" i="22" l="1"/>
  <c r="C71" i="47"/>
  <c r="E71" i="47" s="1"/>
  <c r="C10" i="47"/>
  <c r="E10" i="47" s="1"/>
  <c r="C63" i="47"/>
  <c r="E63" i="47" s="1"/>
  <c r="C8" i="47"/>
  <c r="E8" i="47" s="1"/>
  <c r="AN9" i="66" l="1"/>
  <c r="AN9" i="65"/>
  <c r="AN9" i="62"/>
  <c r="AN9" i="61"/>
  <c r="AN9" i="64"/>
  <c r="AN9" i="60"/>
  <c r="AN9" i="59"/>
  <c r="AN9" i="51"/>
  <c r="AN9" i="33"/>
  <c r="AN9" i="58"/>
  <c r="C72" i="47"/>
  <c r="E72" i="47" s="1"/>
  <c r="C15" i="47"/>
  <c r="E15" i="47" s="1"/>
  <c r="P16" i="45"/>
  <c r="U465" i="32"/>
  <c r="AC24" i="33"/>
  <c r="AJ24" i="33" s="1"/>
  <c r="BY24" i="33" l="1"/>
  <c r="BY19" i="33" s="1"/>
  <c r="BY18" i="33" s="1"/>
  <c r="BY9" i="33" s="1"/>
  <c r="AP24" i="33"/>
  <c r="AC19" i="33"/>
  <c r="AJ19" i="33" l="1"/>
  <c r="AC18" i="33"/>
  <c r="AC9" i="33" s="1"/>
  <c r="AC69" i="33" l="1"/>
  <c r="AJ9" i="33"/>
  <c r="BR10" i="33"/>
  <c r="AP19" i="33"/>
  <c r="T11" i="32"/>
  <c r="AJ18" i="33"/>
  <c r="BR9" i="33" l="1"/>
  <c r="AO10" i="33"/>
  <c r="R14" i="45"/>
  <c r="T281" i="32" s="1"/>
  <c r="BZ10" i="33"/>
  <c r="R3" i="41"/>
  <c r="AJ69" i="33"/>
  <c r="AP69" i="33" s="1"/>
  <c r="AC68" i="33"/>
  <c r="BZ69" i="33"/>
  <c r="BZ68" i="33" s="1"/>
  <c r="BZ9" i="33" l="1"/>
  <c r="T2" i="32" s="1"/>
  <c r="L4" i="39" s="1"/>
  <c r="T10" i="32"/>
  <c r="AJ68" i="33"/>
  <c r="AP68" i="33" s="1"/>
  <c r="BR66" i="33"/>
  <c r="AO66" i="33" s="1"/>
  <c r="AC66" i="33"/>
  <c r="AJ66" i="33" s="1"/>
  <c r="AO9" i="33"/>
  <c r="AP9" i="33" s="1"/>
  <c r="R3" i="45" l="1"/>
  <c r="U10" i="32"/>
  <c r="R4" i="45" s="1"/>
  <c r="T14" i="32"/>
  <c r="AP66" i="33"/>
  <c r="BY66" i="33"/>
  <c r="R1" i="44"/>
  <c r="J1" i="43"/>
  <c r="R1" i="41"/>
  <c r="U8" i="32"/>
  <c r="R4" i="44" s="1"/>
  <c r="U7" i="32"/>
  <c r="J4" i="43" s="1"/>
  <c r="L1" i="39"/>
  <c r="U5" i="32"/>
  <c r="R1" i="45"/>
  <c r="R1" i="40"/>
  <c r="U11" i="32"/>
  <c r="R4" i="41" s="1"/>
  <c r="U26" i="32" l="1"/>
  <c r="T12" i="32" s="1"/>
  <c r="T15" i="32"/>
  <c r="U19" i="32" l="1"/>
  <c r="U24" i="32"/>
  <c r="U20" i="32"/>
  <c r="U25" i="32"/>
  <c r="U18" i="32"/>
  <c r="U23" i="32"/>
  <c r="U22" i="32"/>
  <c r="U12" i="32"/>
  <c r="R4" i="40" s="1"/>
  <c r="R3" i="40"/>
  <c r="U21" i="32"/>
  <c r="T9" i="32" l="1"/>
  <c r="U9" i="32" s="1"/>
  <c r="R6" i="44" s="1"/>
  <c r="T6" i="32"/>
  <c r="R5" i="44" l="1"/>
  <c r="L5" i="39"/>
  <c r="U6" i="32"/>
  <c r="L6" i="39" s="1"/>
  <c r="K56" i="48"/>
  <c r="K9" i="48" s="1"/>
  <c r="J55" i="48"/>
  <c r="J6" i="48" s="1"/>
  <c r="K69" i="48"/>
  <c r="J69" i="48"/>
  <c r="K53" i="48"/>
  <c r="K3" i="48" s="1"/>
  <c r="J56" i="48"/>
  <c r="J9" i="48" s="1"/>
  <c r="K55" i="48"/>
  <c r="K6" i="48" s="1"/>
  <c r="J54" i="48"/>
  <c r="J4" i="48" s="1"/>
  <c r="J58" i="48"/>
  <c r="J11" i="48" s="1"/>
  <c r="K54" i="48"/>
  <c r="K4" i="48" s="1"/>
  <c r="K57" i="48"/>
  <c r="K10" i="48" s="1"/>
  <c r="J57" i="48"/>
  <c r="J10" i="48" s="1"/>
  <c r="K58" i="48"/>
  <c r="K11" i="48" s="1"/>
  <c r="J53" i="48"/>
  <c r="J3" i="48" s="1"/>
  <c r="K12" i="48" l="1"/>
  <c r="J12" i="4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Flemming</author>
  </authors>
  <commentList>
    <comment ref="P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Tallene i denne søjle beregnes på basis af Energistyrelsens basisfremskrivning. Værdierne er årlige ændringer frem til 2030</t>
        </r>
      </text>
    </comment>
    <comment ref="L9" authorId="0" shapeId="0" xr:uid="{00000000-0006-0000-0D00-000002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Kan overskrives, hvis man hellere vil bruge absolutte tal end %-ændringer
Det samme gælder nedenstående 5 celler</t>
        </r>
      </text>
    </comment>
    <comment ref="M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N9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ændres, hvis man hellere vil indsætte absolutte værdier end %-vise ændringer. Det samme gælder nedenstående 5 celler</t>
        </r>
      </text>
    </comment>
    <comment ref="O9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
</t>
        </r>
      </text>
    </comment>
    <comment ref="L28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
</t>
        </r>
      </text>
    </comment>
    <comment ref="M28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N28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
</t>
        </r>
      </text>
    </comment>
    <comment ref="O28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L46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</t>
        </r>
      </text>
    </comment>
    <comment ref="M46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N46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</t>
        </r>
      </text>
    </comment>
    <comment ref="O46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L64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</t>
        </r>
      </text>
    </comment>
    <comment ref="M64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N64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</t>
        </r>
      </text>
    </comment>
    <comment ref="O6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L82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</t>
        </r>
      </text>
    </comment>
    <comment ref="M82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  <comment ref="N82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overskrives, hvis man hellere vil bruge absolutte tal end %-ændringer
Det samme gælder nedenstående 5 celler</t>
        </r>
      </text>
    </comment>
    <comment ref="O82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Værdien bliver som udgangspunkt sat lig med ovenstående værdi, men den kan ændres.
Det samme gælder de 3 nedenstående celler vedr. elforbrug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Michael Odgaard</author>
  </authors>
  <commentList>
    <comment ref="I2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Michael Odgaard</author>
  </authors>
  <commentList>
    <comment ref="I25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Michael Odgaard</author>
  </authors>
  <commentList>
    <comment ref="I2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Michael Odgaard</author>
  </authors>
  <commentList>
    <comment ref="I25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Michael Odgaard</author>
  </authors>
  <commentList>
    <comment ref="I2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Michael Odgaard</author>
  </authors>
  <commentList>
    <comment ref="I25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Flemming</author>
  </authors>
  <commentList>
    <comment ref="V7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Tallene i denne søjle beregnes på basis af Energistyrelsens basisfremskrivning. Værdierne er årlige ændringer frem til 2030
</t>
        </r>
      </text>
    </comment>
    <comment ref="S9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Sættes automatisk til værdien i "Elapparater". Kan ændres af brugeren. Det samme gælder nedenstående to celler for elforbrug</t>
        </r>
      </text>
    </comment>
    <comment ref="U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Sættes automatisk til værdien i "Elapparater". Kan ændres af brugeren. Det samme gælder nedenstående to celler for elforbrug</t>
        </r>
      </text>
    </comment>
    <comment ref="S33" authorId="0" shapeId="0" xr:uid="{00000000-0006-0000-0E00-000004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Sættes automatisk til værdien i "Elapparater". Kan ændres af brugeren. Det samme gælder nedenstående to celler for elforbrug</t>
        </r>
      </text>
    </comment>
    <comment ref="U33" authorId="0" shapeId="0" xr:uid="{00000000-0006-0000-0E00-000005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Sættes automatisk til værdien i "Elapparater". Kan ændres af brugeren. Det samme gælder nedenstående to celler for elforbrug</t>
        </r>
      </text>
    </comment>
    <comment ref="S51" authorId="0" shapeId="0" xr:uid="{00000000-0006-0000-0E00-000006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Sættes automatisk til værdien i "Elapparater". Kan ændres af brugeren. Det samme gælder nedenstående to celler for elforbrug</t>
        </r>
      </text>
    </comment>
    <comment ref="U51" authorId="0" shapeId="0" xr:uid="{00000000-0006-0000-0E00-000007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Sættes automatisk til værdien i "Elapparater". Kan ændres af brugeren. Det samme gælder nedenstående to celler for elforbrug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Flemming</author>
  </authors>
  <commentList>
    <comment ref="V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Tallene i denne søjle beregnes på basis af Energistyrelsens basisfremskrivning. Værdierne er årlige ændringer frem til 2030</t>
        </r>
      </text>
    </comment>
    <comment ref="R6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6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R8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8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R10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10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R12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12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R14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14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R16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16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R18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18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R20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  <comment ref="T20" authorId="0" shapeId="0" xr:uid="{00000000-0006-0000-0F00-000011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det, end bruge %-vise årlige ændringer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Flemming</author>
  </authors>
  <commentList>
    <comment ref="V7" authorId="0" shapeId="0" xr:uid="{00000000-0006-0000-1100-000001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Tallene i denne søjle beregnes på basis af Energistyrelsens basisfremskrivning. Værdierne er årlige ændringer frem til 2030</t>
        </r>
      </text>
    </comment>
    <comment ref="R8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 hvis brugeren hellere vil det, end bruge %-vise årlige ændringer</t>
        </r>
      </text>
    </comment>
    <comment ref="T8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 hvis brugeren hellere vil det, end bruge %-vise årlige ændringer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Flemming</author>
  </authors>
  <commentList>
    <comment ref="V1" authorId="0" shapeId="0" xr:uid="{00000000-0006-0000-1000-000001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Tallene i denne søjle beregnes på basis af Energistyrelsens basisfremskrivning. Værdierne er årlige ændringer frem til 2030</t>
        </r>
      </text>
    </comment>
    <comment ref="R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
</t>
        </r>
      </text>
    </comment>
    <comment ref="T8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R9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T9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R10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T10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R11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T1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R12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T12" authorId="0" shapeId="0" xr:uid="{00000000-0006-0000-1000-00000B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R13" authorId="0" shapeId="0" xr:uid="{00000000-0006-0000-1000-00000C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  <comment ref="T13" authorId="0" shapeId="0" xr:uid="{00000000-0006-0000-1000-00000D000000}">
      <text>
        <r>
          <rPr>
            <b/>
            <sz val="9"/>
            <color indexed="81"/>
            <rFont val="Tahoma"/>
            <family val="2"/>
          </rPr>
          <t>Flemming:</t>
        </r>
        <r>
          <rPr>
            <sz val="9"/>
            <color indexed="81"/>
            <rFont val="Tahoma"/>
            <family val="2"/>
          </rPr>
          <t xml:space="preserve">
Kan indsættes som absolut værdi, hvis brugeren hellere vil det end angive %-vise årlige ændringer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Flemming</author>
  </authors>
  <commentList>
    <comment ref="J14" authorId="0" shapeId="0" xr:uid="{00000000-0006-0000-1300-000001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L14" authorId="0" shapeId="0" xr:uid="{00000000-0006-0000-1300-000002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J22" authorId="0" shapeId="0" xr:uid="{00000000-0006-0000-1300-000003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L22" authorId="0" shapeId="0" xr:uid="{00000000-0006-0000-1300-000004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J27" authorId="0" shapeId="0" xr:uid="{00000000-0006-0000-1300-000005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L27" authorId="0" shapeId="0" xr:uid="{00000000-0006-0000-1300-000006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J37" authorId="0" shapeId="0" xr:uid="{00000000-0006-0000-1300-000007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L37" authorId="0" shapeId="0" xr:uid="{00000000-0006-0000-1300-000008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J41" authorId="0" shapeId="0" xr:uid="{00000000-0006-0000-1300-000009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L41" authorId="0" shapeId="0" xr:uid="{00000000-0006-0000-1300-00000A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J49" authorId="0" shapeId="0" xr:uid="{00000000-0006-0000-1300-00000B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  <comment ref="L49" authorId="0" shapeId="0" xr:uid="{00000000-0006-0000-1300-00000C000000}">
      <text>
        <r>
          <rPr>
            <b/>
            <sz val="9"/>
            <color indexed="81"/>
            <rFont val="Tahoma"/>
            <charset val="1"/>
          </rPr>
          <t>Flemming:</t>
        </r>
        <r>
          <rPr>
            <sz val="9"/>
            <color indexed="81"/>
            <rFont val="Tahoma"/>
            <charset val="1"/>
          </rPr>
          <t xml:space="preserve">
Indgår ikke i Plan Energis regneark. Bruges fremadrettet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tc={60FEE827-08D3-4A2A-B63E-2202E59DB74A}</author>
    <author>tc={19F79FE0-6FC2-4FB4-A2D1-6F70E436D7A0}</author>
    <author>Anders Michael Odgaard</author>
  </authors>
  <commentList>
    <comment ref="E23" authorId="0" shapeId="0" xr:uid="{00000000-0006-0000-1700-000001000000}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Korrigeret fra 32,79</t>
        </r>
      </text>
    </comment>
    <comment ref="D25" authorId="1" shapeId="0" xr:uid="{00000000-0006-0000-1700-000002000000}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Korrigeret fra 982,94</t>
        </r>
      </text>
    </comment>
    <comment ref="I2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tc={60FEE827-08D3-4A2A-B63E-2202E59DB74A}</author>
    <author>tc={19F79FE0-6FC2-4FB4-A2D1-6F70E436D7A0}</author>
    <author>Anders Michael Odgaard</author>
  </authors>
  <commentList>
    <comment ref="E23" authorId="0" shapeId="0" xr:uid="{EA4236A2-B57F-4D46-B444-ED239A6B563B}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Korrigeret fra 32,79</t>
        </r>
      </text>
    </comment>
    <comment ref="D25" authorId="1" shapeId="0" xr:uid="{18A9ACE5-6FB0-4A5C-85C8-A27B2F79B37F}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Korrigeret fra 982,94</t>
        </r>
      </text>
    </comment>
    <comment ref="I25" authorId="2" shapeId="0" xr:uid="{05A75053-BE07-4AE6-9463-FB957363EC8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tc={60FEE827-08D3-4A2A-B63E-2202E59DB74A}</author>
    <author>tc={19F79FE0-6FC2-4FB4-A2D1-6F70E436D7A0}</author>
    <author>Anders Michael Odgaard</author>
  </authors>
  <commentList>
    <comment ref="E23" authorId="0" shapeId="0" xr:uid="{00000000-0006-0000-1900-000001000000}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Korrigeret fra 32,79</t>
        </r>
      </text>
    </comment>
    <comment ref="D25" authorId="1" shapeId="0" xr:uid="{00000000-0006-0000-1900-000002000000}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Korrigeret fra 982,94</t>
        </r>
      </text>
    </comment>
    <comment ref="I2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 xml:space="preserve">Hele brændselsforbruget hidrører Fredericia Kommune, da overskudsvarme til TVIS anses som brændselsfrit.
</t>
        </r>
      </text>
    </comment>
  </commentList>
</comments>
</file>

<file path=xl/sharedStrings.xml><?xml version="1.0" encoding="utf-8"?>
<sst xmlns="http://schemas.openxmlformats.org/spreadsheetml/2006/main" count="9165" uniqueCount="828">
  <si>
    <t>Forbrug</t>
  </si>
  <si>
    <t>Kul</t>
  </si>
  <si>
    <t>Råolie</t>
  </si>
  <si>
    <t>Naturgas</t>
  </si>
  <si>
    <t>Affald (ikke-bionedbrydeligt)</t>
  </si>
  <si>
    <t>Olieprodukter</t>
  </si>
  <si>
    <t>LPG og Petroleum</t>
  </si>
  <si>
    <t>Fuelolie</t>
  </si>
  <si>
    <t>Brændselsolie</t>
  </si>
  <si>
    <t>Dieselolie</t>
  </si>
  <si>
    <t>JP1</t>
  </si>
  <si>
    <t>Benzin</t>
  </si>
  <si>
    <t>Lokal VE</t>
  </si>
  <si>
    <t>Vind</t>
  </si>
  <si>
    <t>Vand</t>
  </si>
  <si>
    <t>Sol</t>
  </si>
  <si>
    <t>Geotermisk</t>
  </si>
  <si>
    <t>Varmekilder til varmepumpe</t>
  </si>
  <si>
    <t>Biobrændsler</t>
  </si>
  <si>
    <t>Husdyrgødning</t>
  </si>
  <si>
    <t>Biobrændstof og Energiafgrøder</t>
  </si>
  <si>
    <t>Halm</t>
  </si>
  <si>
    <t>Brænde og Træflis</t>
  </si>
  <si>
    <t>Træpiller og træaffald</t>
  </si>
  <si>
    <t>Organisk affald, Industri</t>
  </si>
  <si>
    <t>Organisk affald, Husholdninger</t>
  </si>
  <si>
    <t>Deponi, slam, renseanlæg</t>
  </si>
  <si>
    <t>El</t>
  </si>
  <si>
    <t>Fjernvarme</t>
  </si>
  <si>
    <t>Proces</t>
  </si>
  <si>
    <t>Varme</t>
  </si>
  <si>
    <t>Energitjeneste</t>
  </si>
  <si>
    <t>Energiforbrug</t>
  </si>
  <si>
    <t>Brutto brændsel</t>
  </si>
  <si>
    <t>Brutto produktion</t>
  </si>
  <si>
    <t>Virkningsgrad</t>
  </si>
  <si>
    <t>Tab</t>
  </si>
  <si>
    <t>CO2-udledning</t>
  </si>
  <si>
    <t>ID</t>
  </si>
  <si>
    <t xml:space="preserve">F </t>
  </si>
  <si>
    <t>FK</t>
  </si>
  <si>
    <t>FLR</t>
  </si>
  <si>
    <t>FN</t>
  </si>
  <si>
    <t>FMA</t>
  </si>
  <si>
    <t>FO</t>
  </si>
  <si>
    <t>FO2</t>
  </si>
  <si>
    <t>FO8</t>
  </si>
  <si>
    <t>FO5</t>
  </si>
  <si>
    <t>FO7</t>
  </si>
  <si>
    <t>FO6</t>
  </si>
  <si>
    <t>FO4</t>
  </si>
  <si>
    <t>FLVE</t>
  </si>
  <si>
    <t>FLVE2</t>
  </si>
  <si>
    <t>FLVE3</t>
  </si>
  <si>
    <t>FLVE1</t>
  </si>
  <si>
    <t>FLVE4</t>
  </si>
  <si>
    <t>FLVE5</t>
  </si>
  <si>
    <t>FVB</t>
  </si>
  <si>
    <t>FB6</t>
  </si>
  <si>
    <t>FB2</t>
  </si>
  <si>
    <t>FB1</t>
  </si>
  <si>
    <t>FB3</t>
  </si>
  <si>
    <t>FB4</t>
  </si>
  <si>
    <t>FB8</t>
  </si>
  <si>
    <t>FB5</t>
  </si>
  <si>
    <t>FB7</t>
  </si>
  <si>
    <t>FE</t>
  </si>
  <si>
    <t>FF</t>
  </si>
  <si>
    <t>FP</t>
  </si>
  <si>
    <t>FOV</t>
  </si>
  <si>
    <t>FWEN</t>
  </si>
  <si>
    <t>FTOTAL</t>
  </si>
  <si>
    <t>fbrbr</t>
  </si>
  <si>
    <t>ID Parent</t>
  </si>
  <si>
    <t>pbrpr</t>
  </si>
  <si>
    <t>pvrkg</t>
  </si>
  <si>
    <t>P</t>
  </si>
  <si>
    <t>PK</t>
  </si>
  <si>
    <t>PLR</t>
  </si>
  <si>
    <t>PN</t>
  </si>
  <si>
    <t>PMA</t>
  </si>
  <si>
    <t>PO</t>
  </si>
  <si>
    <t>PO2</t>
  </si>
  <si>
    <t>PO8</t>
  </si>
  <si>
    <t>PO5</t>
  </si>
  <si>
    <t>PO7</t>
  </si>
  <si>
    <t>PO6</t>
  </si>
  <si>
    <t>PO4</t>
  </si>
  <si>
    <t>PLVE</t>
  </si>
  <si>
    <t>PLVE2</t>
  </si>
  <si>
    <t>PLVE3</t>
  </si>
  <si>
    <t>PLVE1</t>
  </si>
  <si>
    <t>PLVE4</t>
  </si>
  <si>
    <t>PLVE5</t>
  </si>
  <si>
    <t>PVB</t>
  </si>
  <si>
    <t>PB6</t>
  </si>
  <si>
    <t>PB2</t>
  </si>
  <si>
    <t>PB1</t>
  </si>
  <si>
    <t>PB3</t>
  </si>
  <si>
    <t>PB4</t>
  </si>
  <si>
    <t>PB8</t>
  </si>
  <si>
    <t>PB5</t>
  </si>
  <si>
    <t>PB7</t>
  </si>
  <si>
    <t>PE</t>
  </si>
  <si>
    <t>PF</t>
  </si>
  <si>
    <t>PP</t>
  </si>
  <si>
    <t>POV</t>
  </si>
  <si>
    <t>PWEN</t>
  </si>
  <si>
    <t>PTOTAL</t>
  </si>
  <si>
    <t>PTAB</t>
  </si>
  <si>
    <t>PCO2</t>
  </si>
  <si>
    <t>F</t>
  </si>
  <si>
    <t xml:space="preserve">FO </t>
  </si>
  <si>
    <t xml:space="preserve">FLVE </t>
  </si>
  <si>
    <t>Structures</t>
  </si>
  <si>
    <t xml:space="preserve">P </t>
  </si>
  <si>
    <t xml:space="preserve">PLVE </t>
  </si>
  <si>
    <t>Tilgang af brændsler</t>
  </si>
  <si>
    <t>TP</t>
  </si>
  <si>
    <t>Opgradering af biogas</t>
  </si>
  <si>
    <t>TPOGD</t>
  </si>
  <si>
    <t>Transport af brændsler</t>
  </si>
  <si>
    <t>TRAP</t>
  </si>
  <si>
    <t>Tilgang af On-grid VE</t>
  </si>
  <si>
    <t>TLP1</t>
  </si>
  <si>
    <t>Tilgang af Off-grid VE</t>
  </si>
  <si>
    <t>TLP2</t>
  </si>
  <si>
    <t>Tilgang af el, fjernvarme og olieprodukter</t>
  </si>
  <si>
    <t>TS</t>
  </si>
  <si>
    <t>Import af el og olieprodukter</t>
  </si>
  <si>
    <t>IMP</t>
  </si>
  <si>
    <t xml:space="preserve">Solcelleanlæg </t>
  </si>
  <si>
    <t>SOLC</t>
  </si>
  <si>
    <t>Vindkraftanlæg</t>
  </si>
  <si>
    <t>VIND</t>
  </si>
  <si>
    <t>Vindkraftanlæg, land</t>
  </si>
  <si>
    <t>LAND</t>
  </si>
  <si>
    <t>Vindkraftanlæg, kystnære (50 %)</t>
  </si>
  <si>
    <t>HAV</t>
  </si>
  <si>
    <t>Vandkraftanlæg</t>
  </si>
  <si>
    <t>VAND</t>
  </si>
  <si>
    <t>Bølgekraftanlæg</t>
  </si>
  <si>
    <t>BØLGE</t>
  </si>
  <si>
    <t>Centrale kraftværker</t>
  </si>
  <si>
    <t>CKV</t>
  </si>
  <si>
    <t>Centrale kraftværker, dampturbine</t>
  </si>
  <si>
    <t>DT</t>
  </si>
  <si>
    <t>Centrale kraftværker, forbrændingsmotor</t>
  </si>
  <si>
    <t>MOTOR</t>
  </si>
  <si>
    <t>Centrale kraftværker, gasturbine</t>
  </si>
  <si>
    <t>GT</t>
  </si>
  <si>
    <t>Centrale kraftværker, kedel</t>
  </si>
  <si>
    <t>K</t>
  </si>
  <si>
    <t>Centrale kraftværker, varmepumpe</t>
  </si>
  <si>
    <t>VARMPU</t>
  </si>
  <si>
    <t>Centrale kraftværker, elpatron</t>
  </si>
  <si>
    <t>ELPATR</t>
  </si>
  <si>
    <t>Centrale kraftværker, fjernvarmeproduktion</t>
  </si>
  <si>
    <t>FJP</t>
  </si>
  <si>
    <t>Import fjernvarme</t>
  </si>
  <si>
    <t>IMPORT</t>
  </si>
  <si>
    <t>Affaldsforbrændingsanlæg</t>
  </si>
  <si>
    <t>AFFALD</t>
  </si>
  <si>
    <t>Affaldsforbrændingsanlæg, dampturbine</t>
  </si>
  <si>
    <t>ADT</t>
  </si>
  <si>
    <t>Affaldsforbrændingsanlæg, kedel</t>
  </si>
  <si>
    <t>AK</t>
  </si>
  <si>
    <t>Affaldsforbrændingsanlæg, kombianlæg</t>
  </si>
  <si>
    <t>AKOMBI</t>
  </si>
  <si>
    <t>Affaldsforbrændingsanlæg, fjernvarmeproduktion</t>
  </si>
  <si>
    <t>AFJVP</t>
  </si>
  <si>
    <t>Decentrale KV-værker</t>
  </si>
  <si>
    <t>DKV</t>
  </si>
  <si>
    <t>Decentrale KV-værker, dampturbine</t>
  </si>
  <si>
    <t>DKVDT</t>
  </si>
  <si>
    <t>Decentrale KV-værker, forbrændingsmotor</t>
  </si>
  <si>
    <t>DKVM</t>
  </si>
  <si>
    <t>Decentrale KV-værker, gasturbine</t>
  </si>
  <si>
    <t>DKVGT</t>
  </si>
  <si>
    <t>Decentrale KV-værker, kedel</t>
  </si>
  <si>
    <t>DKVK</t>
  </si>
  <si>
    <t>Decentrale KV-værker, varmepumpe</t>
  </si>
  <si>
    <t>DKVVP</t>
  </si>
  <si>
    <t>Decentrale KV-værker, elpatron</t>
  </si>
  <si>
    <t>DKVEP</t>
  </si>
  <si>
    <t>Decentrale KV-værker, solvarme</t>
  </si>
  <si>
    <t>DKVSV</t>
  </si>
  <si>
    <t>Decentrale KV-værker, kombianlæg</t>
  </si>
  <si>
    <t>DKVKOM</t>
  </si>
  <si>
    <t>Decentrale KV-værker, fjernvarmeproduktion</t>
  </si>
  <si>
    <t>DKVVVARMP</t>
  </si>
  <si>
    <t>Lokale KV-værker</t>
  </si>
  <si>
    <t>LOKKV</t>
  </si>
  <si>
    <t>Lokale KV-værker, motor</t>
  </si>
  <si>
    <t>LOKKVM</t>
  </si>
  <si>
    <t>Lokale KV-værker, kedel</t>
  </si>
  <si>
    <t>LOKKVK</t>
  </si>
  <si>
    <t>Lokale KV-værker, fjernvarmeproduktion</t>
  </si>
  <si>
    <t>LOKKVFP</t>
  </si>
  <si>
    <t>Fjernvarmeværker</t>
  </si>
  <si>
    <t>FJV</t>
  </si>
  <si>
    <t>Fjernvarmeværker, kedel</t>
  </si>
  <si>
    <t>FJVK</t>
  </si>
  <si>
    <t>Fjernvarmeværker, varmepumpe</t>
  </si>
  <si>
    <t>FJVVP</t>
  </si>
  <si>
    <t>Fjernvarmeværker, elpatron</t>
  </si>
  <si>
    <t>FJVEP</t>
  </si>
  <si>
    <t>Fjernvarmeværker, geotermi</t>
  </si>
  <si>
    <t>FJVGEO</t>
  </si>
  <si>
    <t>Fjernvarmeværker, solvarme</t>
  </si>
  <si>
    <t>FJVSOV</t>
  </si>
  <si>
    <t>Fjernvarmeværker, fjernvarmeproduktion</t>
  </si>
  <si>
    <t>FJVFJVP</t>
  </si>
  <si>
    <t>Industrielle KV-værker</t>
  </si>
  <si>
    <t>IND</t>
  </si>
  <si>
    <t>Industrielle KV-værker, dampturbine</t>
  </si>
  <si>
    <t>INDDT</t>
  </si>
  <si>
    <t>Industrielle KV-værker, forbrændingsmotor</t>
  </si>
  <si>
    <t>INDM</t>
  </si>
  <si>
    <t>Industrielle KV-værker, gasturbine</t>
  </si>
  <si>
    <t>INDGT</t>
  </si>
  <si>
    <t>Industrielle KV-værker, kedel</t>
  </si>
  <si>
    <t>INDK</t>
  </si>
  <si>
    <t>Industrielle KV-værker, kombianlæg</t>
  </si>
  <si>
    <t>INDKOMB</t>
  </si>
  <si>
    <t>Industrielle KV-værker, overskudsvarme</t>
  </si>
  <si>
    <t>INDOVS</t>
  </si>
  <si>
    <t>Industrielle KV-værker, forbrug, eget forbrug, el</t>
  </si>
  <si>
    <t>INDEGETEL</t>
  </si>
  <si>
    <t>Industrielle KV-værker, forbrug, eget forbrug, varme</t>
  </si>
  <si>
    <t>INDEGETV</t>
  </si>
  <si>
    <t>Industrielle KV-værker, fjernvarmeproduktion</t>
  </si>
  <si>
    <t>INDFJVP</t>
  </si>
  <si>
    <t>Transport af el, fjernvarme og olieprodukter</t>
  </si>
  <si>
    <t>TRAS</t>
  </si>
  <si>
    <t>Afgang fra energisystemet</t>
  </si>
  <si>
    <t>A</t>
  </si>
  <si>
    <t>AEXPS</t>
  </si>
  <si>
    <t xml:space="preserve">A </t>
  </si>
  <si>
    <t>Transport</t>
  </si>
  <si>
    <t>AT</t>
  </si>
  <si>
    <t>Benzinbiler</t>
  </si>
  <si>
    <t>ATBZ</t>
  </si>
  <si>
    <t>Dieselbiler</t>
  </si>
  <si>
    <t>Varebiler</t>
  </si>
  <si>
    <t>ATVB</t>
  </si>
  <si>
    <t>Busser</t>
  </si>
  <si>
    <t>ATBU</t>
  </si>
  <si>
    <t>Lastbiler m.m.</t>
  </si>
  <si>
    <t>ATLB</t>
  </si>
  <si>
    <t>Tog</t>
  </si>
  <si>
    <t>ATTOG</t>
  </si>
  <si>
    <t>Fly</t>
  </si>
  <si>
    <t>ATFLY</t>
  </si>
  <si>
    <t>Skibe</t>
  </si>
  <si>
    <t>ATSKIB</t>
  </si>
  <si>
    <t>Boliger og fritidshuse</t>
  </si>
  <si>
    <t>ABF</t>
  </si>
  <si>
    <t>Handel og service</t>
  </si>
  <si>
    <t>AHS</t>
  </si>
  <si>
    <t>Offentlig service</t>
  </si>
  <si>
    <t>AHSOS</t>
  </si>
  <si>
    <t>Privat service</t>
  </si>
  <si>
    <t>AHSPS</t>
  </si>
  <si>
    <t>Detail- og engroshandel</t>
  </si>
  <si>
    <t>AHSDE</t>
  </si>
  <si>
    <t>Bygge og anlægsvirksomhed</t>
  </si>
  <si>
    <t>ABA</t>
  </si>
  <si>
    <t>Fremstillingsvirksomhed</t>
  </si>
  <si>
    <t>AFV</t>
  </si>
  <si>
    <t>Gartneri</t>
  </si>
  <si>
    <t>AGA</t>
  </si>
  <si>
    <t>Landbrug</t>
  </si>
  <si>
    <t>ALB</t>
  </si>
  <si>
    <t>Energitjenester</t>
  </si>
  <si>
    <t>EN</t>
  </si>
  <si>
    <t>ENT</t>
  </si>
  <si>
    <t>BBIL</t>
  </si>
  <si>
    <t>DBIL</t>
  </si>
  <si>
    <t>VBIL</t>
  </si>
  <si>
    <t>BUS</t>
  </si>
  <si>
    <t>LAST</t>
  </si>
  <si>
    <t>TOGE</t>
  </si>
  <si>
    <t>FLYV</t>
  </si>
  <si>
    <t>SKIBE</t>
  </si>
  <si>
    <t>Traktorer</t>
  </si>
  <si>
    <t>TRAKTOR</t>
  </si>
  <si>
    <t>ENP</t>
  </si>
  <si>
    <t>Elkompressor</t>
  </si>
  <si>
    <t>ELKOM</t>
  </si>
  <si>
    <t>Elmotorer m.m.</t>
  </si>
  <si>
    <t>ELMOT</t>
  </si>
  <si>
    <t xml:space="preserve">Gasoliekedel, erhverv </t>
  </si>
  <si>
    <t>GASOK</t>
  </si>
  <si>
    <t xml:space="preserve">Naturgaskedel, erhverv </t>
  </si>
  <si>
    <t>NATK</t>
  </si>
  <si>
    <t xml:space="preserve">Industrikedel, erhverv </t>
  </si>
  <si>
    <t>INDUK</t>
  </si>
  <si>
    <t>LPG til gaskomfur</t>
  </si>
  <si>
    <t>LPGK</t>
  </si>
  <si>
    <t>LPGP</t>
  </si>
  <si>
    <t>ENPINDUE</t>
  </si>
  <si>
    <t>ENPINDUV</t>
  </si>
  <si>
    <t>El-apparater</t>
  </si>
  <si>
    <t>ENE</t>
  </si>
  <si>
    <t>Belysning</t>
  </si>
  <si>
    <t>BELY</t>
  </si>
  <si>
    <t>Elkomfur</t>
  </si>
  <si>
    <t>ELKOMF</t>
  </si>
  <si>
    <t>Elkompressorer</t>
  </si>
  <si>
    <t>ELKOMP</t>
  </si>
  <si>
    <t>ELMOTMM</t>
  </si>
  <si>
    <t>Rumvarme</t>
  </si>
  <si>
    <t>ENR</t>
  </si>
  <si>
    <t>Elvandvarmer</t>
  </si>
  <si>
    <t>ELVAND</t>
  </si>
  <si>
    <t>Elradiator</t>
  </si>
  <si>
    <t>ELRAD</t>
  </si>
  <si>
    <t>Varmepumpe</t>
  </si>
  <si>
    <t>VARMP</t>
  </si>
  <si>
    <t>Gasolie kedel individuelt</t>
  </si>
  <si>
    <t>GOK</t>
  </si>
  <si>
    <t>Naturgaskedel individuelt</t>
  </si>
  <si>
    <t>NGK</t>
  </si>
  <si>
    <t>Træpillekedel individuelt</t>
  </si>
  <si>
    <t>TRÆP</t>
  </si>
  <si>
    <t>Brændekedel -ovn individuelt</t>
  </si>
  <si>
    <t>BRÆND</t>
  </si>
  <si>
    <t>Halmfyr individuelt</t>
  </si>
  <si>
    <t>HALMF</t>
  </si>
  <si>
    <t>FLVV</t>
  </si>
  <si>
    <t>Solvarmeanlæg</t>
  </si>
  <si>
    <t>SOLVAR</t>
  </si>
  <si>
    <t>Navn</t>
  </si>
  <si>
    <t>Type</t>
  </si>
  <si>
    <t>Års</t>
  </si>
  <si>
    <t>Energi Enhed</t>
  </si>
  <si>
    <t>TJ</t>
  </si>
  <si>
    <t>CO2 Enhed</t>
  </si>
  <si>
    <t>kTon</t>
  </si>
  <si>
    <t>Tab Sum</t>
  </si>
  <si>
    <t>CO2 Sum</t>
  </si>
  <si>
    <t>Slutforbrug af energitjenester</t>
  </si>
  <si>
    <t>Bolig og fritidshuse</t>
  </si>
  <si>
    <t>Varmepumper, individuel</t>
  </si>
  <si>
    <t>Gaskomfur, proces, m.m.</t>
  </si>
  <si>
    <t>Gasoliekedel, individuel</t>
  </si>
  <si>
    <t>Naturgaskedel, individuel</t>
  </si>
  <si>
    <t>Træpillekedel, individuel</t>
  </si>
  <si>
    <t>Brændekedel og -ovn, individuel</t>
  </si>
  <si>
    <t>Halmfyr, individuel</t>
  </si>
  <si>
    <t>Central fjernvarme</t>
  </si>
  <si>
    <t>Affald fjernvarme</t>
  </si>
  <si>
    <t>Decentral fjernvarme</t>
  </si>
  <si>
    <t>Lokal fjernvarme</t>
  </si>
  <si>
    <t>Industrikedel, erhverv</t>
  </si>
  <si>
    <t>Industri</t>
  </si>
  <si>
    <t>Varmeproduktionsfordeling på centrale kraftværker</t>
  </si>
  <si>
    <t>Varmeproduktionsfordeling på affaldsanlæg</t>
  </si>
  <si>
    <t>Varmeproduktionsfordeling på decentrale kraftvarmeværker</t>
  </si>
  <si>
    <t>Varmeproduktionsfordeling på lokale værker</t>
  </si>
  <si>
    <t>Varmeproduktionsfordeling på fjernvarmeværker</t>
  </si>
  <si>
    <t>Fjernvarmeværker, sol</t>
  </si>
  <si>
    <t>Varmeproduktionsfordeling på industrielle anlæg</t>
  </si>
  <si>
    <t>El og varme virkningsgrader på centrale kraftværker</t>
  </si>
  <si>
    <t>El og varmevirkningsgrader på affaldsanlæg</t>
  </si>
  <si>
    <t>El og varmevirkningsgrader på decentrale kraftvarmeværker</t>
  </si>
  <si>
    <t>El for varmevirkningsgrader på lokale værker</t>
  </si>
  <si>
    <t>El og varmevirkningsgrader på fjernvarmeværker</t>
  </si>
  <si>
    <t>El og varmevirkningsgrader på industrielle anlæg</t>
  </si>
  <si>
    <t>Øvrige virkningsgrader</t>
  </si>
  <si>
    <t>Brændselsfordeling på centrale kraftværker, dampturbine</t>
  </si>
  <si>
    <t>Varmekilder til varmepumper</t>
  </si>
  <si>
    <t>Husdyrsgødning</t>
  </si>
  <si>
    <t>Biobrændstof og energiafgrøder</t>
  </si>
  <si>
    <t>Brænde og træflis</t>
  </si>
  <si>
    <t>Brændselsfordeling på centrale kraftværker, forbrændingsmotor</t>
  </si>
  <si>
    <t>Brændselsfordeling på centrale kraftværker, kedel</t>
  </si>
  <si>
    <t xml:space="preserve">  Elimport</t>
  </si>
  <si>
    <t xml:space="preserve">  LPG og petroleum</t>
  </si>
  <si>
    <t xml:space="preserve">  Kul</t>
  </si>
  <si>
    <t xml:space="preserve">  Fuelolie</t>
  </si>
  <si>
    <t>Brændselsfordeling på centrale kraftværker, varmepumpe</t>
  </si>
  <si>
    <t xml:space="preserve">  Brændselsolie</t>
  </si>
  <si>
    <t xml:space="preserve">  Dieselolie</t>
  </si>
  <si>
    <t xml:space="preserve">  JP1</t>
  </si>
  <si>
    <t>Brændselsfordeling på affaldsforbrændingsanlæg, dampturbine</t>
  </si>
  <si>
    <t xml:space="preserve">  Benzin</t>
  </si>
  <si>
    <t>Organisk affald, industri</t>
  </si>
  <si>
    <t>Organisk affald, husholdninger</t>
  </si>
  <si>
    <t xml:space="preserve">  Vindenergi</t>
  </si>
  <si>
    <t>Brændselsfordeling på affaldsforbrændingsanlæg, kedel</t>
  </si>
  <si>
    <t xml:space="preserve">  Vandenergi</t>
  </si>
  <si>
    <t xml:space="preserve">  Solenergi</t>
  </si>
  <si>
    <t xml:space="preserve">  Geotermi</t>
  </si>
  <si>
    <t>Brændselsfordeling på affaldsforbrændingsanlæg, kombianlæg</t>
  </si>
  <si>
    <t xml:space="preserve">  Varmekilder til varmepumper</t>
  </si>
  <si>
    <t xml:space="preserve">  Husdyrsgødning</t>
  </si>
  <si>
    <t xml:space="preserve">  Biobrændstof og energiafgrøder</t>
  </si>
  <si>
    <t>Brændselsfordeling på decentrale KV-værker, dampturbine</t>
  </si>
  <si>
    <t xml:space="preserve">  Halm</t>
  </si>
  <si>
    <t xml:space="preserve">  Brænde og træflis</t>
  </si>
  <si>
    <t xml:space="preserve">  Træpiller og træaffald</t>
  </si>
  <si>
    <t xml:space="preserve">  Organisk affald, industri</t>
  </si>
  <si>
    <t xml:space="preserve">  Organisk affald, husholdninger</t>
  </si>
  <si>
    <t xml:space="preserve">  Deponi, slam, renseanlæg</t>
  </si>
  <si>
    <t xml:space="preserve">  Affald, ikke bionedbrydeligt</t>
  </si>
  <si>
    <t>Brændselsfordeling på decentrale KV-værker, forbrændingsmotor</t>
  </si>
  <si>
    <t>Brændselsfordeling på decentrale KV-værker, gasturbine</t>
  </si>
  <si>
    <t>Brændselsfordeling på decentrale KV-værker, kedel</t>
  </si>
  <si>
    <t>Brændselsfordeling på decentrale KV-værker, varmepumpe</t>
  </si>
  <si>
    <t>Brændselsfordeling på decentrale KV-værker, elpatron</t>
  </si>
  <si>
    <t>Brændselsfordeling på decentrale KV-værker, solvarme</t>
  </si>
  <si>
    <t>Solenergi</t>
  </si>
  <si>
    <t>Brændselsfordeling på decentrale KV-værker, kombianlæg</t>
  </si>
  <si>
    <t>Brændselsfordeling på lokale KV-værker, motor</t>
  </si>
  <si>
    <t>Brændselsfordeling på lokale KV-værker, kedel</t>
  </si>
  <si>
    <t>Brændselsfordeling på fjernvarmeværker, kedel</t>
  </si>
  <si>
    <t>Brændselsfordeling på fjernvarmeværker, varmepumpe</t>
  </si>
  <si>
    <t>Brændselsfordeling på fjernvarmeværker, elpatron</t>
  </si>
  <si>
    <t>Brændselsfordeling på fjernvarmeværker, geotermi</t>
  </si>
  <si>
    <t>Geotermi</t>
  </si>
  <si>
    <t>Brændselsfordeling på fjernvarmeværker, sol</t>
  </si>
  <si>
    <t>Brændselsfordeling på import fjernvarme</t>
  </si>
  <si>
    <t>LPG og petroleum</t>
  </si>
  <si>
    <t>Affald, ikke bionedbrydeligt</t>
  </si>
  <si>
    <t>Brændselsforbrug til industrielle KV-værker, dampturbine</t>
  </si>
  <si>
    <t>Brændselsforbrug til industrielle KV-værker, forbrændingsmotor</t>
  </si>
  <si>
    <t>Brændselsforbrug til industrielle KV-værker, gasturbine</t>
  </si>
  <si>
    <t>Brændselsforbrug til industrielle KV-værker, kedel</t>
  </si>
  <si>
    <t>Brændselsforbrug til industrielle KV-værker, kombianlæg</t>
  </si>
  <si>
    <t>Brændselsforbrug til industrielle KV-værker, overskudsvarme</t>
  </si>
  <si>
    <t>Overskudsvarme</t>
  </si>
  <si>
    <t>Antal indbyggere:</t>
  </si>
  <si>
    <t xml:space="preserve">Geografisk energibalance for </t>
  </si>
  <si>
    <t>Elnetvirkningsgrad:</t>
  </si>
  <si>
    <t>%</t>
  </si>
  <si>
    <t>Enheder:</t>
  </si>
  <si>
    <t>TJ, tons</t>
  </si>
  <si>
    <t>Brændsel</t>
  </si>
  <si>
    <t>Anlægstype</t>
  </si>
  <si>
    <t>Elnet</t>
  </si>
  <si>
    <t>Fjernvarmenet</t>
  </si>
  <si>
    <t>Slutforbrug</t>
  </si>
  <si>
    <t xml:space="preserve">  Faktisk energiforbrug</t>
  </si>
  <si>
    <t xml:space="preserve">  El</t>
  </si>
  <si>
    <t xml:space="preserve">  Proces</t>
  </si>
  <si>
    <t xml:space="preserve">  Varme</t>
  </si>
  <si>
    <t xml:space="preserve">  Fjernvarmenet</t>
  </si>
  <si>
    <t xml:space="preserve">  Ab værk</t>
  </si>
  <si>
    <t xml:space="preserve">  An forbruger</t>
  </si>
  <si>
    <t xml:space="preserve">  Samlet</t>
  </si>
  <si>
    <t xml:space="preserve">  Boliger og fritidshuse</t>
  </si>
  <si>
    <t xml:space="preserve">  Offentlig service</t>
  </si>
  <si>
    <t xml:space="preserve">  Privat service</t>
  </si>
  <si>
    <t xml:space="preserve">  Detail- og engroshandel</t>
  </si>
  <si>
    <t xml:space="preserve">  Bygge- og anlægsvirksomhed</t>
  </si>
  <si>
    <t xml:space="preserve">  Fremstillingsvirksomhed</t>
  </si>
  <si>
    <t xml:space="preserve">  Gartneri</t>
  </si>
  <si>
    <t xml:space="preserve">  Landbrug</t>
  </si>
  <si>
    <t xml:space="preserve">  Transport</t>
  </si>
  <si>
    <t>Elimport</t>
  </si>
  <si>
    <t>Biogasanlæg, opgradering</t>
  </si>
  <si>
    <t>Biogasanlæg, motor</t>
  </si>
  <si>
    <t>Samlet</t>
  </si>
  <si>
    <t>tons/indbygger</t>
  </si>
  <si>
    <t>Lokalt biomassepotentiale</t>
  </si>
  <si>
    <t>Udnyttelsesprocent af lokalt biomassepotentiale</t>
  </si>
  <si>
    <t>%)</t>
  </si>
  <si>
    <t xml:space="preserve">  Elimport   (heraf VE-andel:</t>
  </si>
  <si>
    <t>CO2-emission (tons/TJ)</t>
  </si>
  <si>
    <t>Affald ikke bionedbrydelig</t>
  </si>
  <si>
    <t>LPG</t>
  </si>
  <si>
    <t>Dielseolie</t>
  </si>
  <si>
    <t>Fordeling af affald</t>
  </si>
  <si>
    <t>Elbiler</t>
  </si>
  <si>
    <t>Brændselsfordeling benzinbiler (Energitjenesteniveau)</t>
  </si>
  <si>
    <t>Brændselsfordeling dieselbiler (Energitjenesteniveau)</t>
  </si>
  <si>
    <t>Brændselsfordeling varebiler (Energitjenesteniveau)</t>
  </si>
  <si>
    <t>Brændselsfordeling busser (Energitjenesteniveau)</t>
  </si>
  <si>
    <t>Brændselsfordeling lastbiler m.m. (Energitjenesteniveau)</t>
  </si>
  <si>
    <t>Brændselsfordeling traktorer (Energitjenesteniveau)</t>
  </si>
  <si>
    <t>Brændselsfordeling tog (Energitjenesteniveau)</t>
  </si>
  <si>
    <t>Brændselsfordeling fly (Energitjenesteniveau)</t>
  </si>
  <si>
    <t>Brændselsfordeling skibe (Energitjenesteniveau)</t>
  </si>
  <si>
    <t>Elapparater</t>
  </si>
  <si>
    <t>Rumvarme og varmt brugsvand</t>
  </si>
  <si>
    <t xml:space="preserve">Individuelt i % af total </t>
  </si>
  <si>
    <t>Fjernvarme i % af total</t>
  </si>
  <si>
    <t>Fordeling mellem fjernvarmetyper</t>
  </si>
  <si>
    <t>Fordeling mellem individuelle anlægstyper</t>
  </si>
  <si>
    <t>Årlig stigning</t>
  </si>
  <si>
    <t>Oversigt over sektorer</t>
  </si>
  <si>
    <t>Industrielle K/V anlæg</t>
  </si>
  <si>
    <t>ELMOTOR</t>
  </si>
  <si>
    <t>Gasbiler</t>
  </si>
  <si>
    <t>GASMOTOR</t>
  </si>
  <si>
    <t xml:space="preserve">LPG til proces </t>
  </si>
  <si>
    <t>ATGAS</t>
  </si>
  <si>
    <t>Transport på LPG og petroleum</t>
  </si>
  <si>
    <t>Hjælpe-data vedr. totale produktioner</t>
  </si>
  <si>
    <t>Elvarme</t>
  </si>
  <si>
    <t>Tab ved transport af el</t>
  </si>
  <si>
    <t>Tab ved transport af fjernvarme</t>
  </si>
  <si>
    <t>Tab ved transport af central fjernvarme</t>
  </si>
  <si>
    <t>Tab ved transport af affald fjernvarme</t>
  </si>
  <si>
    <t>Tab ved transport af decentral fjernvarme</t>
  </si>
  <si>
    <t>Tab ved transport af lokal fjernvarme</t>
  </si>
  <si>
    <t>Tab ved transport af industrielt fjernvarme</t>
  </si>
  <si>
    <t>Kondensproduktioner</t>
  </si>
  <si>
    <t>Lokal kraftvarme motor</t>
  </si>
  <si>
    <t>Bølgekraft</t>
  </si>
  <si>
    <t>Vindkraft land</t>
  </si>
  <si>
    <t>Vindkraft off-shore</t>
  </si>
  <si>
    <t>Solceller</t>
  </si>
  <si>
    <t>Vandkraft</t>
  </si>
  <si>
    <t>Virkningsgrad af varmepumpe</t>
  </si>
  <si>
    <t>Brændselsfordeling på industrikedel erhverv</t>
  </si>
  <si>
    <t>Træpiller/træaffald</t>
  </si>
  <si>
    <t>Affald ikke bionedbrydeligt</t>
  </si>
  <si>
    <t>Transport med LPG og petroleum</t>
  </si>
  <si>
    <r>
      <t>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-emissioner (1.000 tons)</t>
    </r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</si>
  <si>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-emission (tons/TJ)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</si>
  <si>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</t>
    </r>
  </si>
  <si>
    <t>Aktuel</t>
  </si>
  <si>
    <t>Industrielle KV-værker, egetforbrug af varme</t>
  </si>
  <si>
    <t>Individuel varme</t>
  </si>
  <si>
    <t>Fordeling</t>
  </si>
  <si>
    <t>Samlet fordeling mellem fjernvarmetyper</t>
  </si>
  <si>
    <t>Produktion</t>
  </si>
  <si>
    <t>Fordeling mellem typer</t>
  </si>
  <si>
    <t>Import</t>
  </si>
  <si>
    <t>Import el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</si>
  <si>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fjernvarme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</si>
  <si>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-Udledning fra el  </t>
    </r>
  </si>
  <si>
    <t>Udledning</t>
  </si>
  <si>
    <t>Andele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</si>
  <si>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</si>
  <si>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fjernvarme</t>
    </r>
  </si>
  <si>
    <r>
      <t>Andel af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</si>
  <si>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elproduktion og import</t>
    </r>
  </si>
  <si>
    <r>
      <t>Beregnet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for el</t>
    </r>
  </si>
  <si>
    <r>
      <t>Beregnet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for fjernvarme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</si>
  <si>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Bolig, Service, Handel og Byg (uden el og fjernvarme)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</si>
  <si>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industri, gartneri og landbrug (uden el og fjernvarme)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</si>
  <si>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-Udledning fra transport 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</si>
  <si>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industri, gartneri og landbrug (med el og fjernvarme)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</si>
  <si>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Bolig, Service, Handel og Byg (med el og fjernvarme)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</si>
  <si>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-emissionsfaktor </t>
    </r>
    <r>
      <rPr>
        <sz val="11"/>
        <color theme="1"/>
        <rFont val="Calibri"/>
        <family val="2"/>
        <scheme val="minor"/>
      </rPr>
      <t>ved import af el</t>
    </r>
  </si>
  <si>
    <t xml:space="preserve">  Naturgas</t>
  </si>
  <si>
    <t>% VE (Global)</t>
  </si>
  <si>
    <t>CO2-emissioner (1.000 tons)</t>
  </si>
  <si>
    <r>
      <t>Andel af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(uden el og fjernvarme)</t>
    </r>
  </si>
  <si>
    <r>
      <t>Andel af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(med el og fjernvarme)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</si>
  <si>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-emissionsfaktor for import</t>
    </r>
  </si>
  <si>
    <t>VE-anlæg</t>
  </si>
  <si>
    <t>Kraftværker</t>
  </si>
  <si>
    <t>Biogasmotor</t>
  </si>
  <si>
    <t>TSVE</t>
  </si>
  <si>
    <t>TSKRAFT</t>
  </si>
  <si>
    <t>Transport på gas</t>
  </si>
  <si>
    <t>Transport på el</t>
  </si>
  <si>
    <t>BIOMOTOR</t>
  </si>
  <si>
    <t>Niveau 1</t>
  </si>
  <si>
    <t>Størrelse</t>
  </si>
  <si>
    <t>Energi</t>
  </si>
  <si>
    <t>Under kasser</t>
  </si>
  <si>
    <t>Energi/%</t>
  </si>
  <si>
    <t>Udgang transport af brændsel</t>
  </si>
  <si>
    <t>Indgang On-Grid VE</t>
  </si>
  <si>
    <t>Indgang el, fjernvarme og olieprodukter</t>
  </si>
  <si>
    <t>Udgang el, fjernvarme og olieprodukter</t>
  </si>
  <si>
    <t>Under el, fjernvarme og olieprodukter</t>
  </si>
  <si>
    <t>Indgang transport af el, fjernvarme og olieprodukter</t>
  </si>
  <si>
    <t>Indgang Off-Grid VE</t>
  </si>
  <si>
    <t>Exit Energy</t>
  </si>
  <si>
    <t>Tab konvertering</t>
  </si>
  <si>
    <t>Tab slutforbrug</t>
  </si>
  <si>
    <t>Tab transport af el mv.</t>
  </si>
  <si>
    <t>Udgang On-Grid VE</t>
  </si>
  <si>
    <t>Udgang Off-Grid VE</t>
  </si>
  <si>
    <t>Indgang brændsler</t>
  </si>
  <si>
    <t>Under konvertering</t>
  </si>
  <si>
    <t>Decentrale kraftværker</t>
  </si>
  <si>
    <t>Lokale kraftværker</t>
  </si>
  <si>
    <t>Affaldsforbrænding</t>
  </si>
  <si>
    <t>Industrielle kraftværker</t>
  </si>
  <si>
    <t>Handel og Service</t>
  </si>
  <si>
    <t>Transport energitjenester</t>
  </si>
  <si>
    <t>Proces energitjenester</t>
  </si>
  <si>
    <t>Elapparater energitjenester</t>
  </si>
  <si>
    <t>Indgang el, varme  og olieprodukter</t>
  </si>
  <si>
    <t>Tab indgang el, varme og olieprodukter</t>
  </si>
  <si>
    <t>Udgang energi</t>
  </si>
  <si>
    <t>Tab udgang</t>
  </si>
  <si>
    <t>Tab energitjenester</t>
  </si>
  <si>
    <t>Transport brændsler</t>
  </si>
  <si>
    <t>Tab transport af brændsler</t>
  </si>
  <si>
    <t>Transport af el, varme og olieprodukter</t>
  </si>
  <si>
    <t>Tab transport af el, varme og olieprodukter</t>
  </si>
  <si>
    <t>Faktor</t>
  </si>
  <si>
    <t>factor</t>
  </si>
  <si>
    <t>Culture</t>
  </si>
  <si>
    <t>da-DK</t>
  </si>
  <si>
    <t>INDU</t>
  </si>
  <si>
    <t>CO2</t>
  </si>
  <si>
    <t>Biogas opgradering</t>
  </si>
  <si>
    <t>Brændselsfordeling på biogasopgradering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</si>
  <si>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fjernvarmeproduktion</t>
    </r>
  </si>
  <si>
    <t>Persontransport</t>
  </si>
  <si>
    <t>Godstransport</t>
  </si>
  <si>
    <t>%- af energiforbrug</t>
  </si>
  <si>
    <t>Antal passagerer</t>
  </si>
  <si>
    <t>kkm/GJ</t>
  </si>
  <si>
    <t>SUM</t>
  </si>
  <si>
    <t>% person-km</t>
  </si>
  <si>
    <t xml:space="preserve">SUM </t>
  </si>
  <si>
    <t>Antal ton/kkm</t>
  </si>
  <si>
    <t>% ton-km</t>
  </si>
  <si>
    <t>Antal  mio person-km</t>
  </si>
  <si>
    <t>Antal mio. ton-km</t>
  </si>
  <si>
    <t>Personbiler</t>
  </si>
  <si>
    <t>Brændselsfordeling personbiler (Energitjenesteniveau)</t>
  </si>
  <si>
    <t>COP af varmepumpe</t>
  </si>
  <si>
    <t>Brændselsfordeling på naturgas erhverv</t>
  </si>
  <si>
    <t>Brændselsfordeling naturgaskedler erhverv</t>
  </si>
  <si>
    <t>Brændselsfordeling gasolie erhverv</t>
  </si>
  <si>
    <t>Brændselsfordeling på gasolie erhverv</t>
  </si>
  <si>
    <t>Syntetiske brændsler</t>
  </si>
  <si>
    <t>FSYN</t>
  </si>
  <si>
    <t>PSYN</t>
  </si>
  <si>
    <t>Raffinaderi</t>
  </si>
  <si>
    <t>RAFFIN</t>
  </si>
  <si>
    <t>Olieprodukter (TJ)</t>
  </si>
  <si>
    <t>LPG og Petroleum (%)</t>
  </si>
  <si>
    <t>Fuelolie (%)</t>
  </si>
  <si>
    <t xml:space="preserve">Brændselsolie (%) </t>
  </si>
  <si>
    <t xml:space="preserve">Dieselolie (%) </t>
  </si>
  <si>
    <t>JP1 (%)</t>
  </si>
  <si>
    <t>Benzin (%)</t>
  </si>
  <si>
    <t>Virkningsgrad af prod. af olieprodukter</t>
  </si>
  <si>
    <t>Forbrug af biomasse (%)</t>
  </si>
  <si>
    <t>Forbrug af el (%)</t>
  </si>
  <si>
    <t>Virkningsgrad af prod. af syntetiske brændsler</t>
  </si>
  <si>
    <t>Beregnet import/eksport af olieprodukter</t>
  </si>
  <si>
    <t>Beregnet import/eksport af syntetiske brændsler</t>
  </si>
  <si>
    <t>Produktion af syntetiske brændsler (TJ)</t>
  </si>
  <si>
    <t>Husdyrgødning (% af biomasse)</t>
  </si>
  <si>
    <t>Biobrændstof og Energiafgrøder (% af biomasse)</t>
  </si>
  <si>
    <t>Halm (% af biomasse)</t>
  </si>
  <si>
    <t>Brænde og Træflis (% af biomasse)</t>
  </si>
  <si>
    <t>Træpiller og træaffald (% af biomasse)</t>
  </si>
  <si>
    <t>Organisk affald, Industri (% af biomasse)</t>
  </si>
  <si>
    <t>Organisk affald, Husholdninger (% af biomasse)</t>
  </si>
  <si>
    <t>Deponi, slam, renseanlæg (% af biomasse)</t>
  </si>
  <si>
    <t xml:space="preserve">Eksport 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</si>
  <si>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-rensning på affaldsanlæg 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</si>
  <si>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-rensning på decentrale kraftvarmeanlæg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</si>
  <si>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-rensning på lokale værker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</si>
  <si>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-rensning på fjernvarmeværker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</si>
  <si>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-rensning på industrielle anlæg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</si>
  <si>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-rensning på centrale kraftværker</t>
    </r>
  </si>
  <si>
    <r>
      <t>Biomasse (CO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-rensning)</t>
    </r>
  </si>
  <si>
    <t>Syntetiske brændsler (import/eksport)</t>
  </si>
  <si>
    <t>Emissionsfaktor for import/eksport af syntetiske brændsler</t>
  </si>
  <si>
    <t>tton/TJ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</si>
  <si>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-rensning på affaldsanlæg</t>
    </r>
  </si>
  <si>
    <t>Eksport</t>
  </si>
  <si>
    <t>Beregnet eksport af olieprodukter</t>
  </si>
  <si>
    <t>Beregnet import af olieprodukter</t>
  </si>
  <si>
    <t>Beregnet eksport af syntetiske brændsler</t>
  </si>
  <si>
    <t>Beregnet Import af syntetiske brændsler</t>
  </si>
  <si>
    <r>
      <t>Forventet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-reduktion pga. import/eksport af syntetiske brændsler</t>
    </r>
  </si>
  <si>
    <r>
      <t>Differens i CO</t>
    </r>
    <r>
      <rPr>
        <vertAlign val="subscript"/>
        <sz val="11"/>
        <color theme="1"/>
        <rFont val="Calibri"/>
        <family val="2"/>
        <scheme val="minor"/>
      </rPr>
      <t>2</t>
    </r>
  </si>
  <si>
    <t>Samlet CO2-udledning</t>
  </si>
  <si>
    <t>Basisfremskrivning:</t>
  </si>
  <si>
    <t>Mål:</t>
  </si>
  <si>
    <t>Samlet fremskivning af transportsektorens energiforbrug</t>
  </si>
  <si>
    <t>Vejtransport</t>
  </si>
  <si>
    <t>PJ</t>
  </si>
  <si>
    <t>Diesel</t>
  </si>
  <si>
    <t>Brint</t>
  </si>
  <si>
    <t>Biobrændstoffer</t>
  </si>
  <si>
    <t>Biogas</t>
  </si>
  <si>
    <t>Lastbiler</t>
  </si>
  <si>
    <t>Biobrændstoffer (iblandet)</t>
  </si>
  <si>
    <t>Ren biodiesel</t>
  </si>
  <si>
    <t>Motorcykler mv.</t>
  </si>
  <si>
    <t>Banetransport</t>
  </si>
  <si>
    <t>Indenrigsluftfart</t>
  </si>
  <si>
    <t>Benzin og LVN</t>
  </si>
  <si>
    <t>JP1 og JP4</t>
  </si>
  <si>
    <t>Flyvebenzin</t>
  </si>
  <si>
    <t>Udenrigsluftfart</t>
  </si>
  <si>
    <t>Søfart</t>
  </si>
  <si>
    <t>Fuelolie og Spildolie</t>
  </si>
  <si>
    <t>Husholdninger</t>
  </si>
  <si>
    <t>TWh</t>
  </si>
  <si>
    <t>Olie</t>
  </si>
  <si>
    <t>Øvrig VE</t>
  </si>
  <si>
    <t>Biomasse</t>
  </si>
  <si>
    <t>Endeligt energiforbrug</t>
  </si>
  <si>
    <t>Jernbane</t>
  </si>
  <si>
    <t>Forsvaret</t>
  </si>
  <si>
    <t>Gas</t>
  </si>
  <si>
    <t>Træpiller</t>
  </si>
  <si>
    <t>Omgivelsesvarme</t>
  </si>
  <si>
    <t>Figur 9: Husholdningernes endelige energiforbrug til opvarmning 2017-2030 [PJ]. Gas omfatter ledningsgas, dvs. naturgas, bygas og bionaturgas. Øvrig VE omfatter især brænde, men også solvarme og halm.</t>
  </si>
  <si>
    <t>Antal apparater (indeks 2017=100)</t>
  </si>
  <si>
    <t>Elektronik</t>
  </si>
  <si>
    <t>Husholdningsapparater</t>
  </si>
  <si>
    <t>Figur 11: Antal elektriske apparater [Indeks] og elforbrugets udvikling for anvendelserne elektronik, husholdningsapparater og belysning 2017-2030 [TWh].</t>
  </si>
  <si>
    <t>Individuel</t>
  </si>
  <si>
    <t>Fordeling individuel</t>
  </si>
  <si>
    <t>- olie</t>
  </si>
  <si>
    <t>- gas</t>
  </si>
  <si>
    <t>- el</t>
  </si>
  <si>
    <t>- træpiller</t>
  </si>
  <si>
    <t>- omgivelsesvarme</t>
  </si>
  <si>
    <t>- øvrig VE (brænde, sol mv.)</t>
  </si>
  <si>
    <t>Ændring i %</t>
  </si>
  <si>
    <t>Datacentre</t>
  </si>
  <si>
    <t>Elektriske køretøjer</t>
  </si>
  <si>
    <t>Jernbane (og Søfart)</t>
  </si>
  <si>
    <t>Øvrige erhverv samt husholdningsapparater</t>
  </si>
  <si>
    <t>Procesvarme (erhverv)</t>
  </si>
  <si>
    <t>Varmepumper, elkedler, elvarme</t>
  </si>
  <si>
    <t>Figur 6: Elforbruget (ekskl. nettab) og dets fordeling på anvendelser 2017-2030 [PJ].</t>
  </si>
  <si>
    <t>Figur 7: Elforbruget (ekskl. nettab) og dets fordeling på anvendelser i 2030 [pct.].</t>
  </si>
  <si>
    <t>Basisfremskrivningen</t>
  </si>
  <si>
    <t>Brændsel total</t>
  </si>
  <si>
    <t>Elektricitet</t>
  </si>
  <si>
    <t>Bygas</t>
  </si>
  <si>
    <t>Hovedtotal</t>
  </si>
  <si>
    <t>Kul &amp; Koks</t>
  </si>
  <si>
    <t>Olie &gt;</t>
  </si>
  <si>
    <t>Affald</t>
  </si>
  <si>
    <t>VE &gt;</t>
  </si>
  <si>
    <t>Orimulsion</t>
  </si>
  <si>
    <t>Petrokoks</t>
  </si>
  <si>
    <t>Raffinaderigas</t>
  </si>
  <si>
    <t>Petroleum</t>
  </si>
  <si>
    <t>Gas &amp; Dieselolie</t>
  </si>
  <si>
    <t>Affald (VE)</t>
  </si>
  <si>
    <t>Anden VE</t>
  </si>
  <si>
    <t>Vindenergi</t>
  </si>
  <si>
    <t>Energiafgrøder</t>
  </si>
  <si>
    <t>Træflis</t>
  </si>
  <si>
    <t>Træ Øvrig</t>
  </si>
  <si>
    <t>Bionaturgas</t>
  </si>
  <si>
    <t>Olie &amp; Gas</t>
  </si>
  <si>
    <t xml:space="preserve">Nordsø </t>
  </si>
  <si>
    <t>Forbrug ved indvinding og forgasning</t>
  </si>
  <si>
    <t xml:space="preserve">Raffinaderier </t>
  </si>
  <si>
    <t>Råvareforbrug og produktion</t>
  </si>
  <si>
    <t>Forbrug ved produktion</t>
  </si>
  <si>
    <t>Bygasværker</t>
  </si>
  <si>
    <t>El &amp; Fjernvarme</t>
  </si>
  <si>
    <t>Centrale kondens- og kraftvarmeværker</t>
  </si>
  <si>
    <t>Elhandel</t>
  </si>
  <si>
    <t>Central kraftvarme</t>
  </si>
  <si>
    <t>Decentrale kraftvarmeværker</t>
  </si>
  <si>
    <t>Private producenter</t>
  </si>
  <si>
    <t>Vind- &amp; Solkraft</t>
  </si>
  <si>
    <t>Distributionstab og forbrug ved distribution</t>
  </si>
  <si>
    <t>Ikke energiformål</t>
  </si>
  <si>
    <t>Produktionserhverv</t>
  </si>
  <si>
    <t>Landbrug mv.</t>
  </si>
  <si>
    <t>Bygge- og anlægsvirksomhed</t>
  </si>
  <si>
    <t>Servicevirksomhed</t>
  </si>
  <si>
    <t>Husholdnig</t>
  </si>
  <si>
    <t>Bygge og anlæg</t>
  </si>
  <si>
    <t>Forbrug minus el, fjernvarme, LPG og Petroleum</t>
  </si>
  <si>
    <t>Fremstillings virksomhed</t>
  </si>
  <si>
    <t>Egetforbrug af el</t>
  </si>
  <si>
    <t>Egetforbrug af varme</t>
  </si>
  <si>
    <t>Landbrug transport (ændring)</t>
  </si>
  <si>
    <t>Tab ved distribution af varme</t>
  </si>
  <si>
    <t xml:space="preserve">Tab ved distribution af el </t>
  </si>
  <si>
    <t>Stigning i transport</t>
  </si>
  <si>
    <t>Ændring i vindkraft</t>
  </si>
  <si>
    <t>Ændring i solceller</t>
  </si>
  <si>
    <t>Fredericia Kommune 2006</t>
  </si>
  <si>
    <t/>
  </si>
  <si>
    <t>Fredericia Kommune 2008</t>
  </si>
  <si>
    <t>Fredericia Kommune 2011</t>
  </si>
  <si>
    <t>Fredericia Kommune 2013</t>
  </si>
  <si>
    <t>Fredericia Kommune 2015</t>
  </si>
  <si>
    <t>Traktorer m.m.</t>
  </si>
  <si>
    <t>Fredericia Kommune 2017</t>
  </si>
  <si>
    <t xml:space="preserve">  Naturgas og raffinaderigas</t>
  </si>
  <si>
    <t>Fredericia Kommune 2030 (FB19 minus el og varmeproduktion)</t>
  </si>
  <si>
    <t>Samlet CO2-udledning (1.000 tons)</t>
  </si>
  <si>
    <t>Årstal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</si>
  <si>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(uden el og fjernvarme)(1.000 tons)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</si>
  <si>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(med el og fjernvarme)(1.000 tons)</t>
    </r>
  </si>
  <si>
    <t>Mål 2030:</t>
  </si>
  <si>
    <t>(1.000 ton CO2)</t>
  </si>
  <si>
    <t>(1.000 tons CO2)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</si>
  <si>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(1.000 tons)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</si>
  <si>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(med el og fjernvarme) (1.000 tons)</t>
    </r>
  </si>
  <si>
    <t>Mål (2030):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</si>
  <si>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transport (1.000 tons)</t>
    </r>
  </si>
  <si>
    <t>(1.000 tons)</t>
  </si>
  <si>
    <t>År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</si>
  <si>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-udledning fra kombineret el samt fjernvarmeproduktion (1.000 tons)</t>
    </r>
  </si>
  <si>
    <t>Fredericia</t>
  </si>
  <si>
    <t>BF2019</t>
  </si>
  <si>
    <t>%-ændring per år</t>
  </si>
  <si>
    <t>Personbiler el</t>
  </si>
  <si>
    <t>Personbiler forbrænding</t>
  </si>
  <si>
    <t>Busser el</t>
  </si>
  <si>
    <t>Busser forbrænding</t>
  </si>
  <si>
    <t>Tog el</t>
  </si>
  <si>
    <t>Tog forbrænding</t>
  </si>
  <si>
    <t>Fly el</t>
  </si>
  <si>
    <t>Fly forbrænding</t>
  </si>
  <si>
    <t>Skibe el</t>
  </si>
  <si>
    <t>Skibe forbrænding</t>
  </si>
  <si>
    <t>Varebiler el</t>
  </si>
  <si>
    <t>Varebiler forbrænding</t>
  </si>
  <si>
    <t>Lastbiler el</t>
  </si>
  <si>
    <t>Lastbiler forbrænding</t>
  </si>
  <si>
    <t>Traktorer el</t>
  </si>
  <si>
    <t>traktorer forbrænding</t>
  </si>
  <si>
    <t>Virkningsgrad el</t>
  </si>
  <si>
    <t>Virkningsgrad forbrænding</t>
  </si>
  <si>
    <t>Forbrænding kkm/GJ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</si>
</sst>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 * #,##0.00_ ;_ * \-#,##0.00_ ;_ * &quot;-&quot;??_ ;_ @_ "/>
    <numFmt numFmtId="165" formatCode="###,\ ###,##0;[Red]\-###,##0;&quot;-&quot;"/>
    <numFmt numFmtId="166" formatCode="0.0"/>
    <numFmt numFmtId="167" formatCode="0.000"/>
    <numFmt numFmtId="168" formatCode="#,##0.0"/>
    <numFmt numFmtId="169" formatCode="_(* #,##0.00_);_(* \(#,##0.00\);_(* &quot;-&quot;??_);_(@_)"/>
    <numFmt numFmtId="170" formatCode="0.0%"/>
    <numFmt numFmtId="171" formatCode="0.00000"/>
    <numFmt numFmtId="172" formatCode="_-* #,##0.0_-;\-* #,##0.0_-;_-* &quot;-&quot;??_-;_-@_-"/>
    <numFmt numFmtId="173" formatCode="#,##0.00;[Red]\-#,##0.00;\ &quot; &quot;"/>
    <numFmt numFmtId="174" formatCode="0.0000"/>
  </numFmts>
  <fonts count="3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11"/>
      <color theme="1"/>
      <name val="Calibri"/>
      <family val="2"/>
      <scheme val="minor"/>
    </font>
    <font>
      <b/>
      <sz val="36"/>
      <color rgb="FFFF0000"/>
      <name val="Arial"/>
      <family val="2"/>
    </font>
    <font>
      <b/>
      <sz val="15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Helv"/>
    </font>
    <font>
      <b/>
      <sz val="10"/>
      <color rgb="FF00707D"/>
      <name val="Arial"/>
      <family val="2"/>
    </font>
    <font>
      <sz val="15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C6D"/>
        <bgColor indexed="64"/>
      </patternFill>
    </fill>
    <fill>
      <patternFill patternType="solid">
        <fgColor rgb="FFFFEDB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4CCC4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F"/>
        <bgColor indexed="64"/>
      </patternFill>
    </fill>
    <fill>
      <patternFill patternType="solid">
        <fgColor rgb="FFFFFBEF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34998626667073579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4">
    <xf numFmtId="0" fontId="0" fillId="0" borderId="0"/>
    <xf numFmtId="0" fontId="6" fillId="0" borderId="0"/>
    <xf numFmtId="0" fontId="6" fillId="0" borderId="0"/>
    <xf numFmtId="16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24" fillId="0" borderId="0"/>
    <xf numFmtId="9" fontId="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24" fillId="0" borderId="0"/>
    <xf numFmtId="9" fontId="16" fillId="0" borderId="0" applyFont="0" applyFill="0" applyBorder="0" applyAlignment="0" applyProtection="0"/>
    <xf numFmtId="0" fontId="16" fillId="0" borderId="0"/>
    <xf numFmtId="0" fontId="24" fillId="0" borderId="0"/>
    <xf numFmtId="0" fontId="24" fillId="0" borderId="0"/>
    <xf numFmtId="0" fontId="24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4" fillId="0" borderId="0"/>
    <xf numFmtId="0" fontId="24" fillId="0" borderId="0"/>
    <xf numFmtId="0" fontId="28" fillId="31" borderId="0" applyNumberFormat="0" applyBorder="0" applyAlignment="0" applyProtection="0"/>
    <xf numFmtId="0" fontId="29" fillId="32" borderId="0" applyNumberFormat="0" applyBorder="0" applyAlignment="0" applyProtection="0"/>
  </cellStyleXfs>
  <cellXfs count="822">
    <xf numFmtId="0" fontId="0" fillId="0" borderId="0" xfId="0"/>
    <xf numFmtId="0" fontId="0" fillId="0" borderId="0" xfId="0" applyFill="1"/>
    <xf numFmtId="0" fontId="0" fillId="0" borderId="0" xfId="0" applyBorder="1"/>
    <xf numFmtId="0" fontId="3" fillId="3" borderId="3" xfId="0" quotePrefix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/>
    </xf>
    <xf numFmtId="165" fontId="2" fillId="5" borderId="3" xfId="0" applyNumberFormat="1" applyFont="1" applyFill="1" applyBorder="1" applyAlignment="1">
      <alignment horizontal="center"/>
    </xf>
    <xf numFmtId="0" fontId="2" fillId="5" borderId="3" xfId="0" quotePrefix="1" applyFont="1" applyFill="1" applyBorder="1" applyAlignment="1">
      <alignment horizontal="center" wrapText="1"/>
    </xf>
    <xf numFmtId="0" fontId="2" fillId="6" borderId="3" xfId="0" applyFont="1" applyFill="1" applyBorder="1" applyAlignment="1">
      <alignment horizontal="center" textRotation="90"/>
    </xf>
    <xf numFmtId="165" fontId="2" fillId="6" borderId="3" xfId="0" applyNumberFormat="1" applyFont="1" applyFill="1" applyBorder="1" applyAlignment="1">
      <alignment horizontal="center" textRotation="90"/>
    </xf>
    <xf numFmtId="0" fontId="0" fillId="2" borderId="0" xfId="0" applyFill="1"/>
    <xf numFmtId="0" fontId="2" fillId="7" borderId="3" xfId="0" applyFont="1" applyFill="1" applyBorder="1" applyAlignment="1">
      <alignment horizontal="center" textRotation="90"/>
    </xf>
    <xf numFmtId="166" fontId="1" fillId="4" borderId="3" xfId="0" applyNumberFormat="1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 textRotation="90"/>
    </xf>
    <xf numFmtId="166" fontId="1" fillId="8" borderId="3" xfId="0" applyNumberFormat="1" applyFont="1" applyFill="1" applyBorder="1" applyAlignment="1">
      <alignment horizontal="left"/>
    </xf>
    <xf numFmtId="0" fontId="0" fillId="9" borderId="3" xfId="0" applyFont="1" applyFill="1" applyBorder="1" applyAlignment="1">
      <alignment horizontal="center" textRotation="90"/>
    </xf>
    <xf numFmtId="165" fontId="0" fillId="9" borderId="3" xfId="0" applyNumberFormat="1" applyFont="1" applyFill="1" applyBorder="1" applyAlignment="1">
      <alignment horizontal="center" textRotation="90"/>
    </xf>
    <xf numFmtId="0" fontId="2" fillId="10" borderId="3" xfId="0" applyFont="1" applyFill="1" applyBorder="1" applyAlignment="1">
      <alignment horizontal="center" textRotation="90"/>
    </xf>
    <xf numFmtId="0" fontId="0" fillId="5" borderId="3" xfId="0" quotePrefix="1" applyFont="1" applyFill="1" applyBorder="1" applyAlignment="1"/>
    <xf numFmtId="0" fontId="1" fillId="4" borderId="3" xfId="0" applyFont="1" applyFill="1" applyBorder="1" applyAlignment="1"/>
    <xf numFmtId="0" fontId="0" fillId="0" borderId="0" xfId="0" applyFill="1" applyBorder="1"/>
    <xf numFmtId="166" fontId="0" fillId="7" borderId="3" xfId="0" applyNumberFormat="1" applyFont="1" applyFill="1" applyBorder="1" applyAlignment="1">
      <alignment horizontal="center"/>
    </xf>
    <xf numFmtId="0" fontId="0" fillId="7" borderId="3" xfId="0" applyFill="1" applyBorder="1"/>
    <xf numFmtId="0" fontId="0" fillId="0" borderId="0" xfId="0" applyFont="1" applyAlignment="1">
      <alignment horizontal="right"/>
    </xf>
    <xf numFmtId="166" fontId="0" fillId="9" borderId="3" xfId="0" applyNumberFormat="1" applyFont="1" applyFill="1" applyBorder="1" applyAlignment="1">
      <alignment horizontal="center"/>
    </xf>
    <xf numFmtId="166" fontId="4" fillId="7" borderId="3" xfId="0" applyNumberFormat="1" applyFont="1" applyFill="1" applyBorder="1" applyAlignment="1">
      <alignment horizontal="center"/>
    </xf>
    <xf numFmtId="0" fontId="0" fillId="5" borderId="3" xfId="0" quotePrefix="1" applyFont="1" applyFill="1" applyBorder="1"/>
    <xf numFmtId="3" fontId="4" fillId="5" borderId="3" xfId="1" quotePrefix="1" applyNumberFormat="1" applyFont="1" applyFill="1" applyBorder="1" applyAlignment="1">
      <alignment horizontal="left"/>
    </xf>
    <xf numFmtId="0" fontId="2" fillId="5" borderId="3" xfId="0" quotePrefix="1" applyFont="1" applyFill="1" applyBorder="1"/>
    <xf numFmtId="0" fontId="0" fillId="5" borderId="3" xfId="0" applyFill="1" applyBorder="1"/>
    <xf numFmtId="0" fontId="1" fillId="4" borderId="3" xfId="0" applyFont="1" applyFill="1" applyBorder="1"/>
    <xf numFmtId="166" fontId="7" fillId="4" borderId="3" xfId="0" applyNumberFormat="1" applyFont="1" applyFill="1" applyBorder="1" applyAlignment="1">
      <alignment horizontal="right"/>
    </xf>
    <xf numFmtId="0" fontId="0" fillId="11" borderId="3" xfId="0" applyFill="1" applyBorder="1"/>
    <xf numFmtId="0" fontId="0" fillId="9" borderId="3" xfId="0" applyFill="1" applyBorder="1"/>
    <xf numFmtId="166" fontId="1" fillId="4" borderId="3" xfId="0" applyNumberFormat="1" applyFont="1" applyFill="1" applyBorder="1" applyAlignment="1">
      <alignment horizontal="left"/>
    </xf>
    <xf numFmtId="0" fontId="2" fillId="13" borderId="3" xfId="0" applyFont="1" applyFill="1" applyBorder="1" applyAlignment="1">
      <alignment horizontal="center" textRotation="90"/>
    </xf>
    <xf numFmtId="0" fontId="2" fillId="12" borderId="3" xfId="0" applyFont="1" applyFill="1" applyBorder="1" applyAlignment="1">
      <alignment horizontal="center"/>
    </xf>
    <xf numFmtId="166" fontId="1" fillId="9" borderId="3" xfId="0" applyNumberFormat="1" applyFont="1" applyFill="1" applyBorder="1" applyAlignment="1">
      <alignment horizontal="center"/>
    </xf>
    <xf numFmtId="0" fontId="1" fillId="12" borderId="3" xfId="0" quotePrefix="1" applyFont="1" applyFill="1" applyBorder="1"/>
    <xf numFmtId="166" fontId="1" fillId="12" borderId="3" xfId="0" quotePrefix="1" applyNumberFormat="1" applyFont="1" applyFill="1" applyBorder="1"/>
    <xf numFmtId="0" fontId="0" fillId="5" borderId="3" xfId="0" applyFill="1" applyBorder="1" applyAlignment="1">
      <alignment horizontal="center"/>
    </xf>
    <xf numFmtId="166" fontId="0" fillId="0" borderId="0" xfId="0" applyNumberFormat="1"/>
    <xf numFmtId="0" fontId="2" fillId="7" borderId="3" xfId="0" quotePrefix="1" applyFont="1" applyFill="1" applyBorder="1"/>
    <xf numFmtId="3" fontId="5" fillId="7" borderId="3" xfId="1" quotePrefix="1" applyNumberFormat="1" applyFont="1" applyFill="1" applyBorder="1" applyAlignment="1">
      <alignment horizontal="left"/>
    </xf>
    <xf numFmtId="0" fontId="1" fillId="4" borderId="3" xfId="0" quotePrefix="1" applyFont="1" applyFill="1" applyBorder="1" applyAlignment="1"/>
    <xf numFmtId="0" fontId="2" fillId="9" borderId="3" xfId="0" quotePrefix="1" applyFont="1" applyFill="1" applyBorder="1"/>
    <xf numFmtId="0" fontId="2" fillId="9" borderId="3" xfId="0" quotePrefix="1" applyFont="1" applyFill="1" applyBorder="1" applyAlignment="1"/>
    <xf numFmtId="0" fontId="2" fillId="7" borderId="3" xfId="0" quotePrefix="1" applyFont="1" applyFill="1" applyBorder="1" applyAlignment="1"/>
    <xf numFmtId="3" fontId="5" fillId="7" borderId="3" xfId="1" applyNumberFormat="1" applyFont="1" applyFill="1" applyBorder="1" applyAlignment="1">
      <alignment horizontal="left"/>
    </xf>
    <xf numFmtId="3" fontId="5" fillId="9" borderId="3" xfId="1" applyNumberFormat="1" applyFont="1" applyFill="1" applyBorder="1" applyAlignment="1">
      <alignment horizontal="left"/>
    </xf>
    <xf numFmtId="0" fontId="0" fillId="11" borderId="4" xfId="0" applyFill="1" applyBorder="1"/>
    <xf numFmtId="1" fontId="6" fillId="14" borderId="18" xfId="1" applyNumberFormat="1" applyFont="1" applyFill="1" applyBorder="1"/>
    <xf numFmtId="1" fontId="9" fillId="14" borderId="0" xfId="1" applyNumberFormat="1" applyFont="1" applyFill="1" applyAlignment="1">
      <alignment vertical="center"/>
    </xf>
    <xf numFmtId="0" fontId="6" fillId="14" borderId="0" xfId="1" applyFill="1"/>
    <xf numFmtId="1" fontId="6" fillId="14" borderId="19" xfId="1" applyNumberFormat="1" applyFont="1" applyFill="1" applyBorder="1"/>
    <xf numFmtId="1" fontId="6" fillId="14" borderId="21" xfId="1" applyNumberFormat="1" applyFont="1" applyFill="1" applyBorder="1"/>
    <xf numFmtId="1" fontId="6" fillId="14" borderId="0" xfId="1" applyNumberFormat="1" applyFont="1" applyFill="1" applyBorder="1"/>
    <xf numFmtId="1" fontId="6" fillId="14" borderId="22" xfId="1" applyNumberFormat="1" applyFont="1" applyFill="1" applyBorder="1"/>
    <xf numFmtId="1" fontId="6" fillId="14" borderId="13" xfId="1" applyNumberFormat="1" applyFont="1" applyFill="1" applyBorder="1"/>
    <xf numFmtId="1" fontId="12" fillId="14" borderId="5" xfId="1" applyNumberFormat="1" applyFont="1" applyFill="1" applyBorder="1" applyAlignment="1"/>
    <xf numFmtId="49" fontId="6" fillId="14" borderId="28" xfId="1" applyNumberFormat="1" applyFont="1" applyFill="1" applyBorder="1" applyAlignment="1">
      <alignment horizontal="center" textRotation="90" wrapText="1"/>
    </xf>
    <xf numFmtId="49" fontId="6" fillId="14" borderId="29" xfId="1" applyNumberFormat="1" applyFont="1" applyFill="1" applyBorder="1" applyAlignment="1">
      <alignment horizontal="center" textRotation="90" wrapText="1"/>
    </xf>
    <xf numFmtId="49" fontId="6" fillId="14" borderId="27" xfId="1" applyNumberFormat="1" applyFont="1" applyFill="1" applyBorder="1" applyAlignment="1">
      <alignment horizontal="center" textRotation="90" wrapText="1" readingOrder="1"/>
    </xf>
    <xf numFmtId="49" fontId="6" fillId="14" borderId="27" xfId="1" applyNumberFormat="1" applyFont="1" applyFill="1" applyBorder="1" applyAlignment="1">
      <alignment horizontal="center" textRotation="90" wrapText="1"/>
    </xf>
    <xf numFmtId="49" fontId="8" fillId="14" borderId="30" xfId="1" applyNumberFormat="1" applyFont="1" applyFill="1" applyBorder="1" applyAlignment="1">
      <alignment horizontal="center" textRotation="90" wrapText="1"/>
    </xf>
    <xf numFmtId="49" fontId="6" fillId="14" borderId="31" xfId="1" applyNumberFormat="1" applyFont="1" applyFill="1" applyBorder="1" applyAlignment="1">
      <alignment horizontal="center" textRotation="90" wrapText="1"/>
    </xf>
    <xf numFmtId="49" fontId="6" fillId="14" borderId="32" xfId="1" applyNumberFormat="1" applyFont="1" applyFill="1" applyBorder="1" applyAlignment="1">
      <alignment horizontal="center" textRotation="90" wrapText="1"/>
    </xf>
    <xf numFmtId="0" fontId="6" fillId="14" borderId="0" xfId="1" applyFill="1" applyAlignment="1">
      <alignment textRotation="90" wrapText="1"/>
    </xf>
    <xf numFmtId="3" fontId="8" fillId="14" borderId="23" xfId="1" applyNumberFormat="1" applyFont="1" applyFill="1" applyBorder="1"/>
    <xf numFmtId="166" fontId="6" fillId="14" borderId="0" xfId="1" applyNumberFormat="1" applyFill="1"/>
    <xf numFmtId="3" fontId="6" fillId="0" borderId="3" xfId="1" applyNumberFormat="1" applyFont="1" applyFill="1" applyBorder="1"/>
    <xf numFmtId="3" fontId="6" fillId="14" borderId="15" xfId="1" applyNumberFormat="1" applyFont="1" applyFill="1" applyBorder="1"/>
    <xf numFmtId="3" fontId="8" fillId="14" borderId="25" xfId="1" applyNumberFormat="1" applyFont="1" applyFill="1" applyBorder="1"/>
    <xf numFmtId="3" fontId="8" fillId="14" borderId="50" xfId="1" applyNumberFormat="1" applyFont="1" applyFill="1" applyBorder="1"/>
    <xf numFmtId="3" fontId="8" fillId="14" borderId="53" xfId="1" applyNumberFormat="1" applyFont="1" applyFill="1" applyBorder="1"/>
    <xf numFmtId="3" fontId="6" fillId="14" borderId="8" xfId="0" applyNumberFormat="1" applyFont="1" applyFill="1" applyBorder="1"/>
    <xf numFmtId="1" fontId="6" fillId="14" borderId="58" xfId="1" applyNumberFormat="1" applyFont="1" applyFill="1" applyBorder="1" applyAlignment="1">
      <alignment horizontal="left" vertical="center"/>
    </xf>
    <xf numFmtId="165" fontId="0" fillId="7" borderId="3" xfId="0" applyNumberFormat="1" applyFont="1" applyFill="1" applyBorder="1" applyAlignment="1">
      <alignment horizontal="center" textRotation="90"/>
    </xf>
    <xf numFmtId="0" fontId="0" fillId="8" borderId="3" xfId="0" applyFill="1" applyBorder="1"/>
    <xf numFmtId="3" fontId="0" fillId="9" borderId="3" xfId="0" applyNumberFormat="1" applyFill="1" applyBorder="1"/>
    <xf numFmtId="3" fontId="0" fillId="7" borderId="3" xfId="0" applyNumberFormat="1" applyFill="1" applyBorder="1"/>
    <xf numFmtId="0" fontId="7" fillId="8" borderId="3" xfId="0" applyFont="1" applyFill="1" applyBorder="1"/>
    <xf numFmtId="166" fontId="7" fillId="8" borderId="3" xfId="0" applyNumberFormat="1" applyFont="1" applyFill="1" applyBorder="1" applyAlignment="1">
      <alignment horizontal="center"/>
    </xf>
    <xf numFmtId="3" fontId="7" fillId="8" borderId="3" xfId="0" applyNumberFormat="1" applyFont="1" applyFill="1" applyBorder="1"/>
    <xf numFmtId="0" fontId="0" fillId="7" borderId="3" xfId="0" applyFill="1" applyBorder="1" applyAlignment="1">
      <alignment horizontal="center"/>
    </xf>
    <xf numFmtId="166" fontId="1" fillId="7" borderId="3" xfId="0" applyNumberFormat="1" applyFont="1" applyFill="1" applyBorder="1" applyAlignment="1">
      <alignment horizontal="center"/>
    </xf>
    <xf numFmtId="3" fontId="0" fillId="7" borderId="3" xfId="0" applyNumberFormat="1" applyFill="1" applyBorder="1" applyAlignment="1">
      <alignment horizontal="center"/>
    </xf>
    <xf numFmtId="166" fontId="0" fillId="7" borderId="3" xfId="0" applyNumberFormat="1" applyFill="1" applyBorder="1" applyAlignment="1">
      <alignment horizontal="center"/>
    </xf>
    <xf numFmtId="0" fontId="0" fillId="7" borderId="3" xfId="0" applyFont="1" applyFill="1" applyBorder="1" applyAlignment="1">
      <alignment horizontal="right"/>
    </xf>
    <xf numFmtId="0" fontId="1" fillId="8" borderId="3" xfId="0" applyFont="1" applyFill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166" fontId="4" fillId="9" borderId="3" xfId="0" applyNumberFormat="1" applyFont="1" applyFill="1" applyBorder="1" applyAlignment="1">
      <alignment horizontal="right"/>
    </xf>
    <xf numFmtId="166" fontId="4" fillId="9" borderId="3" xfId="0" applyNumberFormat="1" applyFont="1" applyFill="1" applyBorder="1" applyAlignment="1">
      <alignment horizontal="center"/>
    </xf>
    <xf numFmtId="166" fontId="0" fillId="9" borderId="3" xfId="0" applyNumberFormat="1" applyFont="1" applyFill="1" applyBorder="1" applyAlignment="1">
      <alignment horizontal="right"/>
    </xf>
    <xf numFmtId="166" fontId="0" fillId="9" borderId="3" xfId="0" applyNumberFormat="1" applyFill="1" applyBorder="1" applyAlignment="1">
      <alignment horizontal="center"/>
    </xf>
    <xf numFmtId="0" fontId="0" fillId="9" borderId="3" xfId="0" applyFont="1" applyFill="1" applyBorder="1" applyAlignment="1">
      <alignment horizontal="right"/>
    </xf>
    <xf numFmtId="166" fontId="1" fillId="8" borderId="3" xfId="0" applyNumberFormat="1" applyFont="1" applyFill="1" applyBorder="1" applyAlignment="1">
      <alignment horizontal="center"/>
    </xf>
    <xf numFmtId="0" fontId="0" fillId="7" borderId="3" xfId="0" applyFont="1" applyFill="1" applyBorder="1" applyAlignment="1">
      <alignment horizontal="left"/>
    </xf>
    <xf numFmtId="0" fontId="0" fillId="9" borderId="3" xfId="0" applyFont="1" applyFill="1" applyBorder="1" applyAlignment="1">
      <alignment horizontal="left"/>
    </xf>
    <xf numFmtId="0" fontId="0" fillId="5" borderId="3" xfId="0" applyFont="1" applyFill="1" applyBorder="1" applyAlignment="1"/>
    <xf numFmtId="0" fontId="0" fillId="8" borderId="3" xfId="0" applyFill="1" applyBorder="1" applyAlignment="1">
      <alignment horizontal="center"/>
    </xf>
    <xf numFmtId="0" fontId="1" fillId="8" borderId="3" xfId="0" quotePrefix="1" applyFont="1" applyFill="1" applyBorder="1"/>
    <xf numFmtId="3" fontId="4" fillId="9" borderId="3" xfId="1" applyNumberFormat="1" applyFont="1" applyFill="1" applyBorder="1" applyAlignment="1">
      <alignment horizontal="left"/>
    </xf>
    <xf numFmtId="0" fontId="0" fillId="12" borderId="0" xfId="0" applyFill="1"/>
    <xf numFmtId="0" fontId="0" fillId="9" borderId="3" xfId="0" applyFont="1" applyFill="1" applyBorder="1"/>
    <xf numFmtId="0" fontId="0" fillId="5" borderId="4" xfId="0" applyFill="1" applyBorder="1"/>
    <xf numFmtId="166" fontId="1" fillId="12" borderId="3" xfId="0" applyNumberFormat="1" applyFont="1" applyFill="1" applyBorder="1" applyAlignment="1">
      <alignment horizontal="center"/>
    </xf>
    <xf numFmtId="0" fontId="0" fillId="5" borderId="3" xfId="0" applyFont="1" applyFill="1" applyBorder="1"/>
    <xf numFmtId="0" fontId="4" fillId="9" borderId="3" xfId="0" applyFont="1" applyFill="1" applyBorder="1"/>
    <xf numFmtId="3" fontId="0" fillId="7" borderId="6" xfId="0" applyNumberFormat="1" applyFill="1" applyBorder="1"/>
    <xf numFmtId="0" fontId="7" fillId="8" borderId="9" xfId="0" applyFont="1" applyFill="1" applyBorder="1"/>
    <xf numFmtId="0" fontId="7" fillId="8" borderId="9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5" xfId="0" applyFill="1" applyBorder="1"/>
    <xf numFmtId="0" fontId="0" fillId="0" borderId="5" xfId="0" applyFont="1" applyFill="1" applyBorder="1" applyAlignment="1">
      <alignment horizontal="right"/>
    </xf>
    <xf numFmtId="0" fontId="0" fillId="0" borderId="5" xfId="0" applyBorder="1"/>
    <xf numFmtId="0" fontId="0" fillId="8" borderId="9" xfId="0" applyFill="1" applyBorder="1"/>
    <xf numFmtId="0" fontId="0" fillId="0" borderId="17" xfId="0" applyFill="1" applyBorder="1"/>
    <xf numFmtId="0" fontId="0" fillId="0" borderId="17" xfId="0" applyBorder="1"/>
    <xf numFmtId="0" fontId="0" fillId="0" borderId="14" xfId="0" applyBorder="1"/>
    <xf numFmtId="3" fontId="0" fillId="9" borderId="6" xfId="0" applyNumberFormat="1" applyFill="1" applyBorder="1"/>
    <xf numFmtId="0" fontId="0" fillId="0" borderId="14" xfId="0" applyFill="1" applyBorder="1"/>
    <xf numFmtId="0" fontId="0" fillId="0" borderId="40" xfId="0" applyFill="1" applyBorder="1"/>
    <xf numFmtId="0" fontId="4" fillId="12" borderId="12" xfId="0" applyFont="1" applyFill="1" applyBorder="1"/>
    <xf numFmtId="166" fontId="1" fillId="13" borderId="3" xfId="0" applyNumberFormat="1" applyFont="1" applyFill="1" applyBorder="1" applyAlignment="1">
      <alignment horizontal="center"/>
    </xf>
    <xf numFmtId="0" fontId="7" fillId="13" borderId="3" xfId="0" quotePrefix="1" applyFont="1" applyFill="1" applyBorder="1" applyAlignment="1">
      <alignment horizontal="center"/>
    </xf>
    <xf numFmtId="0" fontId="7" fillId="13" borderId="3" xfId="0" applyFont="1" applyFill="1" applyBorder="1"/>
    <xf numFmtId="166" fontId="7" fillId="13" borderId="3" xfId="0" applyNumberFormat="1" applyFont="1" applyFill="1" applyBorder="1" applyAlignment="1">
      <alignment horizontal="center"/>
    </xf>
    <xf numFmtId="0" fontId="7" fillId="13" borderId="3" xfId="0" applyFont="1" applyFill="1" applyBorder="1" applyAlignment="1">
      <alignment horizontal="center"/>
    </xf>
    <xf numFmtId="3" fontId="7" fillId="13" borderId="3" xfId="0" applyNumberFormat="1" applyFont="1" applyFill="1" applyBorder="1"/>
    <xf numFmtId="3" fontId="7" fillId="13" borderId="6" xfId="0" applyNumberFormat="1" applyFont="1" applyFill="1" applyBorder="1"/>
    <xf numFmtId="0" fontId="3" fillId="7" borderId="3" xfId="0" quotePrefix="1" applyFont="1" applyFill="1" applyBorder="1" applyAlignment="1">
      <alignment horizontal="center" vertical="center"/>
    </xf>
    <xf numFmtId="0" fontId="13" fillId="3" borderId="0" xfId="0" quotePrefix="1" applyFont="1" applyFill="1" applyBorder="1" applyAlignment="1">
      <alignment horizontal="center" vertical="center" wrapText="1"/>
    </xf>
    <xf numFmtId="0" fontId="2" fillId="12" borderId="6" xfId="0" applyFont="1" applyFill="1" applyBorder="1" applyAlignment="1">
      <alignment horizontal="center"/>
    </xf>
    <xf numFmtId="0" fontId="1" fillId="7" borderId="3" xfId="0" quotePrefix="1" applyFont="1" applyFill="1" applyBorder="1"/>
    <xf numFmtId="166" fontId="1" fillId="5" borderId="3" xfId="0" applyNumberFormat="1" applyFont="1" applyFill="1" applyBorder="1" applyAlignment="1">
      <alignment horizontal="left"/>
    </xf>
    <xf numFmtId="0" fontId="6" fillId="14" borderId="0" xfId="1" applyFont="1" applyFill="1" applyBorder="1"/>
    <xf numFmtId="1" fontId="6" fillId="14" borderId="0" xfId="1" applyNumberFormat="1" applyFont="1" applyFill="1"/>
    <xf numFmtId="0" fontId="6" fillId="14" borderId="0" xfId="1" applyFont="1" applyFill="1"/>
    <xf numFmtId="3" fontId="6" fillId="0" borderId="3" xfId="0" applyNumberFormat="1" applyFont="1" applyFill="1" applyBorder="1"/>
    <xf numFmtId="1" fontId="6" fillId="14" borderId="56" xfId="4" applyNumberFormat="1" applyFont="1" applyFill="1" applyBorder="1" applyAlignment="1">
      <alignment horizontal="center" textRotation="90"/>
    </xf>
    <xf numFmtId="0" fontId="6" fillId="14" borderId="0" xfId="1" applyFont="1" applyFill="1" applyAlignment="1">
      <alignment vertical="center"/>
    </xf>
    <xf numFmtId="0" fontId="14" fillId="14" borderId="0" xfId="1" applyFont="1" applyFill="1"/>
    <xf numFmtId="166" fontId="6" fillId="14" borderId="0" xfId="1" applyNumberFormat="1" applyFont="1" applyFill="1" applyBorder="1"/>
    <xf numFmtId="3" fontId="0" fillId="0" borderId="0" xfId="0" applyNumberFormat="1"/>
    <xf numFmtId="166" fontId="0" fillId="8" borderId="9" xfId="0" applyNumberFormat="1" applyFill="1" applyBorder="1"/>
    <xf numFmtId="2" fontId="0" fillId="0" borderId="0" xfId="0" applyNumberFormat="1" applyFill="1" applyBorder="1"/>
    <xf numFmtId="2" fontId="1" fillId="12" borderId="3" xfId="0" quotePrefix="1" applyNumberFormat="1" applyFont="1" applyFill="1" applyBorder="1"/>
    <xf numFmtId="0" fontId="7" fillId="13" borderId="6" xfId="0" applyFont="1" applyFill="1" applyBorder="1" applyAlignment="1">
      <alignment horizontal="center"/>
    </xf>
    <xf numFmtId="0" fontId="0" fillId="0" borderId="0" xfId="0"/>
    <xf numFmtId="0" fontId="0" fillId="9" borderId="0" xfId="0" applyFill="1"/>
    <xf numFmtId="0" fontId="0" fillId="5" borderId="3" xfId="0" applyFill="1" applyBorder="1" applyAlignment="1">
      <alignment horizontal="left"/>
    </xf>
    <xf numFmtId="3" fontId="4" fillId="0" borderId="0" xfId="1" applyNumberFormat="1" applyFont="1" applyFill="1" applyBorder="1" applyAlignment="1">
      <alignment horizontal="left"/>
    </xf>
    <xf numFmtId="3" fontId="7" fillId="7" borderId="6" xfId="0" applyNumberFormat="1" applyFont="1" applyFill="1" applyBorder="1"/>
    <xf numFmtId="0" fontId="0" fillId="0" borderId="0" xfId="0"/>
    <xf numFmtId="1" fontId="0" fillId="0" borderId="0" xfId="0" applyNumberFormat="1"/>
    <xf numFmtId="1" fontId="1" fillId="12" borderId="3" xfId="0" applyNumberFormat="1" applyFont="1" applyFill="1" applyBorder="1" applyAlignment="1">
      <alignment horizontal="center"/>
    </xf>
    <xf numFmtId="1" fontId="7" fillId="12" borderId="6" xfId="0" applyNumberFormat="1" applyFont="1" applyFill="1" applyBorder="1" applyAlignment="1">
      <alignment horizontal="center"/>
    </xf>
    <xf numFmtId="1" fontId="1" fillId="12" borderId="6" xfId="0" applyNumberFormat="1" applyFont="1" applyFill="1" applyBorder="1" applyAlignment="1">
      <alignment horizontal="center"/>
    </xf>
    <xf numFmtId="0" fontId="0" fillId="0" borderId="0" xfId="0"/>
    <xf numFmtId="0" fontId="0" fillId="14" borderId="0" xfId="0" applyFill="1"/>
    <xf numFmtId="1" fontId="6" fillId="14" borderId="1" xfId="1" applyNumberFormat="1" applyFill="1" applyBorder="1"/>
    <xf numFmtId="1" fontId="6" fillId="14" borderId="0" xfId="1" applyNumberFormat="1" applyFill="1" applyBorder="1"/>
    <xf numFmtId="1" fontId="6" fillId="0" borderId="0" xfId="1" applyNumberFormat="1" applyFill="1" applyBorder="1" applyAlignment="1">
      <alignment horizontal="right"/>
    </xf>
    <xf numFmtId="1" fontId="6" fillId="14" borderId="13" xfId="1" applyNumberFormat="1" applyFill="1" applyBorder="1"/>
    <xf numFmtId="1" fontId="6" fillId="14" borderId="20" xfId="1" applyNumberFormat="1" applyFill="1" applyBorder="1"/>
    <xf numFmtId="0" fontId="6" fillId="14" borderId="0" xfId="1" applyFill="1" applyBorder="1"/>
    <xf numFmtId="1" fontId="6" fillId="14" borderId="0" xfId="1" applyNumberFormat="1" applyFill="1"/>
    <xf numFmtId="49" fontId="6" fillId="14" borderId="27" xfId="1" applyNumberFormat="1" applyFill="1" applyBorder="1" applyAlignment="1">
      <alignment horizontal="center" textRotation="90" wrapText="1"/>
    </xf>
    <xf numFmtId="49" fontId="6" fillId="14" borderId="28" xfId="1" applyNumberFormat="1" applyFill="1" applyBorder="1" applyAlignment="1">
      <alignment horizontal="center" textRotation="90" wrapText="1"/>
    </xf>
    <xf numFmtId="3" fontId="6" fillId="14" borderId="33" xfId="1" applyNumberFormat="1" applyFill="1" applyBorder="1"/>
    <xf numFmtId="3" fontId="6" fillId="14" borderId="3" xfId="1" applyNumberFormat="1" applyFill="1" applyBorder="1"/>
    <xf numFmtId="3" fontId="6" fillId="14" borderId="34" xfId="1" applyNumberFormat="1" applyFill="1" applyBorder="1"/>
    <xf numFmtId="3" fontId="0" fillId="14" borderId="3" xfId="0" applyNumberFormat="1" applyFill="1" applyBorder="1"/>
    <xf numFmtId="3" fontId="0" fillId="14" borderId="34" xfId="0" applyNumberFormat="1" applyFill="1" applyBorder="1"/>
    <xf numFmtId="3" fontId="0" fillId="0" borderId="6" xfId="0" applyNumberFormat="1" applyFill="1" applyBorder="1"/>
    <xf numFmtId="3" fontId="0" fillId="0" borderId="3" xfId="0" applyNumberFormat="1" applyFill="1" applyBorder="1"/>
    <xf numFmtId="3" fontId="0" fillId="0" borderId="34" xfId="0" applyNumberFormat="1" applyFill="1" applyBorder="1"/>
    <xf numFmtId="3" fontId="6" fillId="0" borderId="3" xfId="1" applyNumberFormat="1" applyFill="1" applyBorder="1"/>
    <xf numFmtId="3" fontId="6" fillId="0" borderId="6" xfId="1" applyNumberFormat="1" applyFill="1" applyBorder="1"/>
    <xf numFmtId="3" fontId="6" fillId="14" borderId="36" xfId="1" applyNumberFormat="1" applyFill="1" applyBorder="1"/>
    <xf numFmtId="3" fontId="6" fillId="14" borderId="37" xfId="1" applyNumberFormat="1" applyFill="1" applyBorder="1"/>
    <xf numFmtId="3" fontId="6" fillId="0" borderId="37" xfId="1" applyNumberFormat="1" applyFill="1" applyBorder="1"/>
    <xf numFmtId="3" fontId="6" fillId="14" borderId="39" xfId="1" applyNumberFormat="1" applyFill="1" applyBorder="1"/>
    <xf numFmtId="3" fontId="0" fillId="0" borderId="40" xfId="0" applyNumberFormat="1" applyFill="1" applyBorder="1"/>
    <xf numFmtId="3" fontId="0" fillId="0" borderId="37" xfId="0" applyNumberFormat="1" applyFill="1" applyBorder="1"/>
    <xf numFmtId="3" fontId="0" fillId="0" borderId="39" xfId="0" applyNumberFormat="1" applyFill="1" applyBorder="1"/>
    <xf numFmtId="3" fontId="6" fillId="14" borderId="6" xfId="1" applyNumberFormat="1" applyFill="1" applyBorder="1"/>
    <xf numFmtId="3" fontId="6" fillId="0" borderId="33" xfId="1" applyNumberFormat="1" applyFill="1" applyBorder="1"/>
    <xf numFmtId="3" fontId="6" fillId="0" borderId="34" xfId="1" applyNumberFormat="1" applyFill="1" applyBorder="1"/>
    <xf numFmtId="3" fontId="0" fillId="14" borderId="6" xfId="0" applyNumberFormat="1" applyFill="1" applyBorder="1"/>
    <xf numFmtId="3" fontId="0" fillId="0" borderId="33" xfId="0" applyNumberFormat="1" applyFill="1" applyBorder="1"/>
    <xf numFmtId="3" fontId="0" fillId="14" borderId="33" xfId="0" applyNumberFormat="1" applyFill="1" applyBorder="1"/>
    <xf numFmtId="3" fontId="8" fillId="14" borderId="23" xfId="0" applyNumberFormat="1" applyFont="1" applyFill="1" applyBorder="1"/>
    <xf numFmtId="1" fontId="0" fillId="0" borderId="0" xfId="0" applyNumberFormat="1" applyFill="1"/>
    <xf numFmtId="168" fontId="6" fillId="0" borderId="34" xfId="1" applyNumberFormat="1" applyFill="1" applyBorder="1"/>
    <xf numFmtId="168" fontId="6" fillId="0" borderId="33" xfId="1" applyNumberFormat="1" applyFill="1" applyBorder="1"/>
    <xf numFmtId="3" fontId="0" fillId="14" borderId="0" xfId="0" applyNumberFormat="1" applyFill="1"/>
    <xf numFmtId="3" fontId="6" fillId="14" borderId="43" xfId="1" applyNumberFormat="1" applyFill="1" applyBorder="1"/>
    <xf numFmtId="3" fontId="6" fillId="14" borderId="9" xfId="1" applyNumberFormat="1" applyFill="1" applyBorder="1"/>
    <xf numFmtId="3" fontId="6" fillId="0" borderId="9" xfId="1" applyNumberFormat="1" applyFill="1" applyBorder="1"/>
    <xf numFmtId="3" fontId="6" fillId="14" borderId="35" xfId="1" applyNumberFormat="1" applyFill="1" applyBorder="1"/>
    <xf numFmtId="3" fontId="6" fillId="0" borderId="35" xfId="1" applyNumberFormat="1" applyFill="1" applyBorder="1"/>
    <xf numFmtId="3" fontId="6" fillId="14" borderId="15" xfId="1" applyNumberFormat="1" applyFill="1" applyBorder="1"/>
    <xf numFmtId="3" fontId="6" fillId="14" borderId="44" xfId="1" applyNumberFormat="1" applyFill="1" applyBorder="1"/>
    <xf numFmtId="3" fontId="6" fillId="14" borderId="45" xfId="1" applyNumberFormat="1" applyFill="1" applyBorder="1"/>
    <xf numFmtId="3" fontId="6" fillId="14" borderId="46" xfId="1" applyNumberFormat="1" applyFill="1" applyBorder="1"/>
    <xf numFmtId="3" fontId="6" fillId="14" borderId="16" xfId="1" applyNumberFormat="1" applyFill="1" applyBorder="1"/>
    <xf numFmtId="3" fontId="6" fillId="14" borderId="47" xfId="1" applyNumberFormat="1" applyFill="1" applyBorder="1"/>
    <xf numFmtId="3" fontId="6" fillId="14" borderId="48" xfId="1" applyNumberFormat="1" applyFill="1" applyBorder="1"/>
    <xf numFmtId="3" fontId="6" fillId="14" borderId="49" xfId="1" applyNumberFormat="1" applyFill="1" applyBorder="1"/>
    <xf numFmtId="3" fontId="6" fillId="14" borderId="51" xfId="1" applyNumberFormat="1" applyFill="1" applyBorder="1"/>
    <xf numFmtId="3" fontId="6" fillId="14" borderId="52" xfId="1" applyNumberFormat="1" applyFill="1" applyBorder="1"/>
    <xf numFmtId="168" fontId="6" fillId="14" borderId="54" xfId="1" applyNumberFormat="1" applyFill="1" applyBorder="1"/>
    <xf numFmtId="3" fontId="6" fillId="14" borderId="54" xfId="1" applyNumberFormat="1" applyFill="1" applyBorder="1"/>
    <xf numFmtId="3" fontId="6" fillId="14" borderId="2" xfId="1" applyNumberFormat="1" applyFill="1" applyBorder="1"/>
    <xf numFmtId="3" fontId="6" fillId="14" borderId="0" xfId="1" applyNumberFormat="1" applyFill="1" applyBorder="1"/>
    <xf numFmtId="3" fontId="6" fillId="14" borderId="0" xfId="1" applyNumberFormat="1" applyFill="1"/>
    <xf numFmtId="3" fontId="0" fillId="14" borderId="8" xfId="0" applyNumberFormat="1" applyFill="1" applyBorder="1"/>
    <xf numFmtId="3" fontId="0" fillId="14" borderId="7" xfId="0" applyNumberFormat="1" applyFill="1" applyBorder="1"/>
    <xf numFmtId="3" fontId="0" fillId="14" borderId="11" xfId="0" applyNumberFormat="1" applyFill="1" applyBorder="1"/>
    <xf numFmtId="3" fontId="0" fillId="14" borderId="55" xfId="0" applyNumberFormat="1" applyFill="1" applyBorder="1"/>
    <xf numFmtId="1" fontId="6" fillId="14" borderId="27" xfId="1" applyNumberFormat="1" applyFill="1" applyBorder="1" applyAlignment="1">
      <alignment horizontal="center" textRotation="90"/>
    </xf>
    <xf numFmtId="1" fontId="6" fillId="0" borderId="48" xfId="1" applyNumberFormat="1" applyFill="1" applyBorder="1" applyAlignment="1">
      <alignment vertical="center"/>
    </xf>
    <xf numFmtId="1" fontId="6" fillId="14" borderId="48" xfId="1" applyNumberFormat="1" applyFill="1" applyBorder="1" applyAlignment="1">
      <alignment vertical="center"/>
    </xf>
    <xf numFmtId="1" fontId="6" fillId="14" borderId="63" xfId="1" applyNumberFormat="1" applyFill="1" applyBorder="1" applyAlignment="1">
      <alignment vertical="center"/>
    </xf>
    <xf numFmtId="1" fontId="6" fillId="0" borderId="63" xfId="1" applyNumberFormat="1" applyFill="1" applyBorder="1" applyAlignment="1">
      <alignment vertical="center"/>
    </xf>
    <xf numFmtId="1" fontId="6" fillId="14" borderId="59" xfId="1" applyNumberFormat="1" applyFill="1" applyBorder="1" applyAlignment="1">
      <alignment horizontal="left" vertical="center"/>
    </xf>
    <xf numFmtId="1" fontId="6" fillId="14" borderId="0" xfId="1" applyNumberFormat="1" applyFill="1" applyAlignment="1">
      <alignment vertical="center"/>
    </xf>
    <xf numFmtId="1" fontId="6" fillId="14" borderId="47" xfId="1" applyNumberFormat="1" applyFill="1" applyBorder="1" applyAlignment="1">
      <alignment vertical="center"/>
    </xf>
    <xf numFmtId="0" fontId="6" fillId="14" borderId="0" xfId="1" applyFill="1" applyAlignment="1">
      <alignment vertical="center"/>
    </xf>
    <xf numFmtId="3" fontId="7" fillId="13" borderId="3" xfId="0" applyNumberFormat="1" applyFont="1" applyFill="1" applyBorder="1" applyAlignment="1">
      <alignment horizontal="center"/>
    </xf>
    <xf numFmtId="0" fontId="0" fillId="0" borderId="0" xfId="0"/>
    <xf numFmtId="9" fontId="0" fillId="0" borderId="0" xfId="0" applyNumberFormat="1"/>
    <xf numFmtId="49" fontId="21" fillId="0" borderId="30" xfId="1" applyNumberFormat="1" applyFont="1" applyFill="1" applyBorder="1" applyAlignment="1">
      <alignment horizontal="center" wrapText="1"/>
    </xf>
    <xf numFmtId="3" fontId="6" fillId="19" borderId="23" xfId="1" applyNumberFormat="1" applyFill="1" applyBorder="1" applyAlignment="1">
      <alignment horizontal="left" indent="1"/>
    </xf>
    <xf numFmtId="3" fontId="6" fillId="19" borderId="23" xfId="1" applyNumberFormat="1" applyFont="1" applyFill="1" applyBorder="1" applyAlignment="1">
      <alignment horizontal="left" indent="1"/>
    </xf>
    <xf numFmtId="3" fontId="6" fillId="0" borderId="3" xfId="5" applyNumberFormat="1" applyFont="1" applyFill="1" applyBorder="1"/>
    <xf numFmtId="3" fontId="6" fillId="19" borderId="38" xfId="1" applyNumberFormat="1" applyFont="1" applyFill="1" applyBorder="1" applyAlignment="1">
      <alignment horizontal="left" indent="1"/>
    </xf>
    <xf numFmtId="3" fontId="6" fillId="0" borderId="3" xfId="3" applyNumberFormat="1" applyFont="1" applyFill="1" applyBorder="1"/>
    <xf numFmtId="3" fontId="6" fillId="19" borderId="23" xfId="0" applyNumberFormat="1" applyFont="1" applyFill="1" applyBorder="1" applyAlignment="1">
      <alignment horizontal="left" indent="1"/>
    </xf>
    <xf numFmtId="1" fontId="0" fillId="14" borderId="3" xfId="0" applyNumberFormat="1" applyFill="1" applyBorder="1"/>
    <xf numFmtId="1" fontId="0" fillId="0" borderId="3" xfId="0" applyNumberFormat="1" applyFill="1" applyBorder="1"/>
    <xf numFmtId="3" fontId="6" fillId="19" borderId="7" xfId="1" applyNumberFormat="1" applyFill="1" applyBorder="1" applyAlignment="1">
      <alignment horizontal="left" indent="1"/>
    </xf>
    <xf numFmtId="1" fontId="6" fillId="14" borderId="3" xfId="1" applyNumberFormat="1" applyFill="1" applyBorder="1"/>
    <xf numFmtId="1" fontId="6" fillId="0" borderId="3" xfId="1" applyNumberFormat="1" applyFill="1" applyBorder="1"/>
    <xf numFmtId="1" fontId="0" fillId="14" borderId="0" xfId="0" applyNumberFormat="1" applyFill="1"/>
    <xf numFmtId="3" fontId="6" fillId="14" borderId="42" xfId="1" applyNumberFormat="1" applyFill="1" applyBorder="1"/>
    <xf numFmtId="3" fontId="6" fillId="0" borderId="3" xfId="1" applyNumberFormat="1" applyFill="1" applyBorder="1" applyAlignment="1">
      <alignment horizontal="right"/>
    </xf>
    <xf numFmtId="3" fontId="6" fillId="19" borderId="24" xfId="1" applyNumberFormat="1" applyFill="1" applyBorder="1" applyAlignment="1">
      <alignment horizontal="left" indent="1"/>
    </xf>
    <xf numFmtId="3" fontId="6" fillId="0" borderId="3" xfId="5" applyNumberFormat="1" applyFont="1" applyFill="1" applyBorder="1" applyAlignment="1">
      <alignment horizontal="right"/>
    </xf>
    <xf numFmtId="3" fontId="6" fillId="19" borderId="25" xfId="1" applyNumberFormat="1" applyFill="1" applyBorder="1" applyAlignment="1">
      <alignment horizontal="left" indent="1"/>
    </xf>
    <xf numFmtId="168" fontId="6" fillId="14" borderId="10" xfId="1" applyNumberFormat="1" applyFill="1" applyBorder="1"/>
    <xf numFmtId="168" fontId="0" fillId="14" borderId="64" xfId="0" applyNumberFormat="1" applyFill="1" applyBorder="1"/>
    <xf numFmtId="3" fontId="6" fillId="14" borderId="11" xfId="0" applyNumberFormat="1" applyFont="1" applyFill="1" applyBorder="1"/>
    <xf numFmtId="1" fontId="6" fillId="0" borderId="3" xfId="0" applyNumberFormat="1" applyFont="1" applyFill="1" applyBorder="1"/>
    <xf numFmtId="166" fontId="0" fillId="14" borderId="0" xfId="0" applyNumberFormat="1" applyFill="1"/>
    <xf numFmtId="0" fontId="14" fillId="14" borderId="0" xfId="0" applyFont="1" applyFill="1"/>
    <xf numFmtId="3" fontId="6" fillId="19" borderId="24" xfId="1" applyNumberFormat="1" applyFont="1" applyFill="1" applyBorder="1" applyAlignment="1">
      <alignment horizontal="left" indent="1"/>
    </xf>
    <xf numFmtId="3" fontId="6" fillId="19" borderId="25" xfId="1" applyNumberFormat="1" applyFont="1" applyFill="1" applyBorder="1" applyAlignment="1">
      <alignment horizontal="left" indent="1"/>
    </xf>
    <xf numFmtId="0" fontId="0" fillId="0" borderId="0" xfId="0" applyAlignment="1">
      <alignment horizontal="center"/>
    </xf>
    <xf numFmtId="3" fontId="5" fillId="17" borderId="3" xfId="1" applyNumberFormat="1" applyFont="1" applyFill="1" applyBorder="1" applyAlignment="1">
      <alignment horizontal="left"/>
    </xf>
    <xf numFmtId="3" fontId="5" fillId="20" borderId="3" xfId="1" applyNumberFormat="1" applyFont="1" applyFill="1" applyBorder="1" applyAlignment="1">
      <alignment horizontal="left"/>
    </xf>
    <xf numFmtId="0" fontId="0" fillId="5" borderId="0" xfId="0" applyFill="1" applyBorder="1"/>
    <xf numFmtId="166" fontId="0" fillId="13" borderId="3" xfId="0" applyNumberFormat="1" applyFont="1" applyFill="1" applyBorder="1" applyAlignment="1">
      <alignment horizontal="center"/>
    </xf>
    <xf numFmtId="0" fontId="1" fillId="12" borderId="4" xfId="0" quotePrefix="1" applyFont="1" applyFill="1" applyBorder="1"/>
    <xf numFmtId="166" fontId="1" fillId="12" borderId="4" xfId="0" quotePrefix="1" applyNumberFormat="1" applyFont="1" applyFill="1" applyBorder="1"/>
    <xf numFmtId="166" fontId="5" fillId="7" borderId="3" xfId="0" applyNumberFormat="1" applyFont="1" applyFill="1" applyBorder="1" applyAlignment="1">
      <alignment horizontal="center"/>
    </xf>
    <xf numFmtId="166" fontId="7" fillId="8" borderId="3" xfId="0" applyNumberFormat="1" applyFont="1" applyFill="1" applyBorder="1"/>
    <xf numFmtId="166" fontId="7" fillId="13" borderId="3" xfId="0" applyNumberFormat="1" applyFont="1" applyFill="1" applyBorder="1"/>
    <xf numFmtId="166" fontId="0" fillId="9" borderId="3" xfId="0" applyNumberFormat="1" applyFill="1" applyBorder="1"/>
    <xf numFmtId="0" fontId="0" fillId="0" borderId="0" xfId="0" applyAlignment="1">
      <alignment horizontal="center"/>
    </xf>
    <xf numFmtId="3" fontId="6" fillId="19" borderId="10" xfId="1" applyNumberFormat="1" applyFont="1" applyFill="1" applyBorder="1" applyAlignment="1">
      <alignment horizontal="left" indent="1"/>
    </xf>
    <xf numFmtId="3" fontId="6" fillId="19" borderId="65" xfId="1" applyNumberFormat="1" applyFont="1" applyFill="1" applyBorder="1" applyAlignment="1">
      <alignment horizontal="left" indent="1"/>
    </xf>
    <xf numFmtId="3" fontId="6" fillId="19" borderId="64" xfId="1" applyNumberFormat="1" applyFont="1" applyFill="1" applyBorder="1" applyAlignment="1">
      <alignment horizontal="left" indent="1"/>
    </xf>
    <xf numFmtId="3" fontId="6" fillId="0" borderId="0" xfId="1" applyNumberFormat="1" applyFill="1" applyBorder="1"/>
    <xf numFmtId="3" fontId="6" fillId="19" borderId="0" xfId="1" applyNumberFormat="1" applyFont="1" applyFill="1" applyBorder="1" applyAlignment="1">
      <alignment horizontal="left" indent="1"/>
    </xf>
    <xf numFmtId="3" fontId="6" fillId="0" borderId="0" xfId="1" applyNumberFormat="1" applyFont="1" applyFill="1" applyBorder="1" applyAlignment="1">
      <alignment horizontal="left" indent="1"/>
    </xf>
    <xf numFmtId="3" fontId="6" fillId="19" borderId="66" xfId="1" applyNumberFormat="1" applyFont="1" applyFill="1" applyBorder="1" applyAlignment="1">
      <alignment horizontal="left" indent="1"/>
    </xf>
    <xf numFmtId="166" fontId="0" fillId="17" borderId="3" xfId="0" applyNumberFormat="1" applyFont="1" applyFill="1" applyBorder="1" applyAlignment="1">
      <alignment horizontal="center"/>
    </xf>
    <xf numFmtId="166" fontId="1" fillId="17" borderId="3" xfId="0" applyNumberFormat="1" applyFont="1" applyFill="1" applyBorder="1" applyAlignment="1">
      <alignment horizontal="center"/>
    </xf>
    <xf numFmtId="0" fontId="0" fillId="17" borderId="3" xfId="0" applyFill="1" applyBorder="1"/>
    <xf numFmtId="2" fontId="0" fillId="17" borderId="3" xfId="0" applyNumberFormat="1" applyFill="1" applyBorder="1"/>
    <xf numFmtId="166" fontId="2" fillId="17" borderId="3" xfId="0" applyNumberFormat="1" applyFont="1" applyFill="1" applyBorder="1" applyAlignment="1">
      <alignment horizontal="center"/>
    </xf>
    <xf numFmtId="166" fontId="0" fillId="17" borderId="3" xfId="0" applyNumberFormat="1" applyFill="1" applyBorder="1"/>
    <xf numFmtId="3" fontId="0" fillId="9" borderId="3" xfId="0" applyNumberFormat="1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166" fontId="4" fillId="17" borderId="3" xfId="0" applyNumberFormat="1" applyFont="1" applyFill="1" applyBorder="1" applyAlignment="1">
      <alignment horizontal="center"/>
    </xf>
    <xf numFmtId="166" fontId="4" fillId="17" borderId="3" xfId="0" applyNumberFormat="1" applyFont="1" applyFill="1" applyBorder="1" applyAlignment="1">
      <alignment horizontal="right"/>
    </xf>
    <xf numFmtId="3" fontId="0" fillId="17" borderId="3" xfId="0" applyNumberFormat="1" applyFill="1" applyBorder="1" applyAlignment="1">
      <alignment horizontal="center"/>
    </xf>
    <xf numFmtId="166" fontId="0" fillId="17" borderId="3" xfId="0" applyNumberFormat="1" applyFill="1" applyBorder="1" applyAlignment="1">
      <alignment horizontal="center"/>
    </xf>
    <xf numFmtId="166" fontId="0" fillId="17" borderId="3" xfId="0" applyNumberFormat="1" applyFont="1" applyFill="1" applyBorder="1" applyAlignment="1">
      <alignment horizontal="right"/>
    </xf>
    <xf numFmtId="3" fontId="4" fillId="17" borderId="3" xfId="0" applyNumberFormat="1" applyFont="1" applyFill="1" applyBorder="1" applyAlignment="1">
      <alignment horizontal="center"/>
    </xf>
    <xf numFmtId="3" fontId="0" fillId="17" borderId="3" xfId="0" applyNumberFormat="1" applyFill="1" applyBorder="1"/>
    <xf numFmtId="167" fontId="0" fillId="17" borderId="3" xfId="0" applyNumberFormat="1" applyFill="1" applyBorder="1"/>
    <xf numFmtId="0" fontId="0" fillId="17" borderId="3" xfId="0" applyFont="1" applyFill="1" applyBorder="1" applyAlignment="1">
      <alignment horizontal="right"/>
    </xf>
    <xf numFmtId="0" fontId="0" fillId="7" borderId="0" xfId="0" applyFill="1"/>
    <xf numFmtId="0" fontId="0" fillId="0" borderId="0" xfId="0" applyAlignment="1">
      <alignment horizontal="center"/>
    </xf>
    <xf numFmtId="0" fontId="0" fillId="21" borderId="0" xfId="0" applyFill="1"/>
    <xf numFmtId="0" fontId="0" fillId="23" borderId="0" xfId="0" applyFill="1"/>
    <xf numFmtId="167" fontId="0" fillId="23" borderId="0" xfId="0" applyNumberFormat="1" applyFill="1"/>
    <xf numFmtId="171" fontId="1" fillId="13" borderId="3" xfId="0" applyNumberFormat="1" applyFont="1" applyFill="1" applyBorder="1" applyAlignment="1">
      <alignment horizontal="center"/>
    </xf>
    <xf numFmtId="168" fontId="0" fillId="0" borderId="0" xfId="0" applyNumberFormat="1"/>
    <xf numFmtId="167" fontId="0" fillId="0" borderId="0" xfId="0" applyNumberFormat="1"/>
    <xf numFmtId="1" fontId="0" fillId="7" borderId="3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2" fillId="24" borderId="0" xfId="0" applyFont="1" applyFill="1"/>
    <xf numFmtId="0" fontId="13" fillId="25" borderId="67" xfId="0" applyFont="1" applyFill="1" applyBorder="1" applyAlignment="1">
      <alignment horizontal="left"/>
    </xf>
    <xf numFmtId="0" fontId="2" fillId="25" borderId="11" xfId="0" applyFont="1" applyFill="1" applyBorder="1" applyAlignment="1"/>
    <xf numFmtId="0" fontId="2" fillId="25" borderId="16" xfId="0" applyFont="1" applyFill="1" applyBorder="1" applyAlignment="1"/>
    <xf numFmtId="0" fontId="2" fillId="14" borderId="17" xfId="0" applyFont="1" applyFill="1" applyBorder="1" applyAlignment="1">
      <alignment horizontal="left" indent="2"/>
    </xf>
    <xf numFmtId="0" fontId="0" fillId="14" borderId="0" xfId="0" applyFill="1" applyBorder="1"/>
    <xf numFmtId="172" fontId="0" fillId="14" borderId="0" xfId="6" applyNumberFormat="1" applyFont="1" applyFill="1" applyBorder="1"/>
    <xf numFmtId="172" fontId="0" fillId="14" borderId="14" xfId="6" applyNumberFormat="1" applyFont="1" applyFill="1" applyBorder="1"/>
    <xf numFmtId="0" fontId="15" fillId="14" borderId="17" xfId="0" applyFont="1" applyFill="1" applyBorder="1" applyAlignment="1">
      <alignment horizontal="left" indent="4"/>
    </xf>
    <xf numFmtId="0" fontId="15" fillId="14" borderId="68" xfId="0" applyFont="1" applyFill="1" applyBorder="1" applyAlignment="1">
      <alignment horizontal="left" indent="4"/>
    </xf>
    <xf numFmtId="0" fontId="0" fillId="14" borderId="5" xfId="0" applyFill="1" applyBorder="1"/>
    <xf numFmtId="172" fontId="0" fillId="14" borderId="5" xfId="6" applyNumberFormat="1" applyFont="1" applyFill="1" applyBorder="1"/>
    <xf numFmtId="172" fontId="0" fillId="14" borderId="40" xfId="6" applyNumberFormat="1" applyFont="1" applyFill="1" applyBorder="1"/>
    <xf numFmtId="0" fontId="15" fillId="14" borderId="0" xfId="0" applyFont="1" applyFill="1" applyAlignment="1">
      <alignment horizontal="left" indent="4"/>
    </xf>
    <xf numFmtId="0" fontId="2" fillId="25" borderId="11" xfId="0" applyFont="1" applyFill="1" applyBorder="1" applyAlignment="1">
      <alignment horizontal="center"/>
    </xf>
    <xf numFmtId="0" fontId="0" fillId="14" borderId="0" xfId="0" applyFill="1" applyAlignment="1">
      <alignment horizontal="left" indent="2"/>
    </xf>
    <xf numFmtId="0" fontId="0" fillId="0" borderId="0" xfId="0"/>
    <xf numFmtId="0" fontId="23" fillId="0" borderId="3" xfId="0" applyFont="1" applyBorder="1"/>
    <xf numFmtId="166" fontId="23" fillId="0" borderId="3" xfId="0" applyNumberFormat="1" applyFont="1" applyBorder="1"/>
    <xf numFmtId="0" fontId="25" fillId="0" borderId="0" xfId="0" applyFont="1"/>
    <xf numFmtId="0" fontId="0" fillId="0" borderId="0" xfId="0"/>
    <xf numFmtId="0" fontId="23" fillId="0" borderId="3" xfId="0" applyFont="1" applyBorder="1"/>
    <xf numFmtId="166" fontId="23" fillId="0" borderId="3" xfId="0" applyNumberFormat="1" applyFont="1" applyBorder="1"/>
    <xf numFmtId="0" fontId="25" fillId="0" borderId="0" xfId="0" applyFont="1"/>
    <xf numFmtId="0" fontId="0" fillId="0" borderId="0" xfId="0" applyAlignment="1">
      <alignment horizontal="center"/>
    </xf>
    <xf numFmtId="49" fontId="0" fillId="0" borderId="0" xfId="0" applyNumberFormat="1"/>
    <xf numFmtId="10" fontId="0" fillId="0" borderId="0" xfId="0" applyNumberFormat="1"/>
    <xf numFmtId="0" fontId="0" fillId="0" borderId="0" xfId="0"/>
    <xf numFmtId="0" fontId="23" fillId="0" borderId="3" xfId="0" applyFont="1" applyBorder="1"/>
    <xf numFmtId="166" fontId="23" fillId="0" borderId="3" xfId="0" applyNumberFormat="1" applyFont="1" applyBorder="1"/>
    <xf numFmtId="0" fontId="25" fillId="0" borderId="0" xfId="0" applyFont="1"/>
    <xf numFmtId="0" fontId="22" fillId="24" borderId="0" xfId="30" applyFont="1" applyFill="1" applyBorder="1" applyAlignment="1">
      <alignment horizontal="left"/>
    </xf>
    <xf numFmtId="0" fontId="26" fillId="24" borderId="0" xfId="30" applyFont="1" applyFill="1" applyBorder="1"/>
    <xf numFmtId="0" fontId="26" fillId="24" borderId="0" xfId="0" applyFont="1" applyFill="1"/>
    <xf numFmtId="0" fontId="5" fillId="0" borderId="0" xfId="30" applyFont="1" applyFill="1" applyBorder="1" applyAlignment="1">
      <alignment horizontal="left"/>
    </xf>
    <xf numFmtId="0" fontId="4" fillId="0" borderId="0" xfId="0" applyFont="1" applyFill="1"/>
    <xf numFmtId="0" fontId="4" fillId="0" borderId="0" xfId="30" applyFont="1" applyFill="1" applyBorder="1"/>
    <xf numFmtId="0" fontId="4" fillId="0" borderId="0" xfId="0" applyFont="1"/>
    <xf numFmtId="0" fontId="5" fillId="26" borderId="70" xfId="31" applyFont="1" applyFill="1" applyBorder="1"/>
    <xf numFmtId="0" fontId="5" fillId="26" borderId="69" xfId="31" applyFont="1" applyFill="1" applyBorder="1"/>
    <xf numFmtId="0" fontId="5" fillId="26" borderId="15" xfId="31" applyFont="1" applyFill="1" applyBorder="1"/>
    <xf numFmtId="0" fontId="4" fillId="26" borderId="71" xfId="0" applyFont="1" applyFill="1" applyBorder="1"/>
    <xf numFmtId="0" fontId="4" fillId="26" borderId="72" xfId="0" applyFont="1" applyFill="1" applyBorder="1"/>
    <xf numFmtId="0" fontId="4" fillId="26" borderId="73" xfId="0" applyFont="1" applyFill="1" applyBorder="1"/>
    <xf numFmtId="0" fontId="5" fillId="26" borderId="17" xfId="31" applyFont="1" applyFill="1" applyBorder="1"/>
    <xf numFmtId="0" fontId="5" fillId="26" borderId="0" xfId="31" applyFont="1" applyFill="1" applyBorder="1"/>
    <xf numFmtId="0" fontId="5" fillId="26" borderId="14" xfId="31" applyFont="1" applyFill="1" applyBorder="1"/>
    <xf numFmtId="0" fontId="4" fillId="26" borderId="74" xfId="0" applyFont="1" applyFill="1" applyBorder="1"/>
    <xf numFmtId="0" fontId="4" fillId="26" borderId="75" xfId="0" applyFont="1" applyFill="1" applyBorder="1"/>
    <xf numFmtId="0" fontId="27" fillId="26" borderId="68" xfId="31" applyFont="1" applyFill="1" applyBorder="1"/>
    <xf numFmtId="0" fontId="27" fillId="26" borderId="5" xfId="31" applyFont="1" applyFill="1" applyBorder="1"/>
    <xf numFmtId="0" fontId="27" fillId="26" borderId="40" xfId="31" applyFont="1" applyFill="1" applyBorder="1"/>
    <xf numFmtId="0" fontId="4" fillId="26" borderId="76" xfId="0" applyFont="1" applyFill="1" applyBorder="1"/>
    <xf numFmtId="173" fontId="4" fillId="0" borderId="71" xfId="0" applyNumberFormat="1" applyFont="1" applyFill="1" applyBorder="1"/>
    <xf numFmtId="173" fontId="4" fillId="0" borderId="76" xfId="0" applyNumberFormat="1" applyFont="1" applyFill="1" applyBorder="1"/>
    <xf numFmtId="173" fontId="4" fillId="0" borderId="73" xfId="0" applyNumberFormat="1" applyFont="1" applyFill="1" applyBorder="1"/>
    <xf numFmtId="0" fontId="4" fillId="26" borderId="41" xfId="0" applyFont="1" applyFill="1" applyBorder="1"/>
    <xf numFmtId="173" fontId="4" fillId="0" borderId="41" xfId="0" applyNumberFormat="1" applyFont="1" applyFill="1" applyBorder="1"/>
    <xf numFmtId="173" fontId="4" fillId="0" borderId="0" xfId="0" applyNumberFormat="1" applyFont="1" applyFill="1"/>
    <xf numFmtId="173" fontId="4" fillId="0" borderId="42" xfId="0" applyNumberFormat="1" applyFont="1" applyFill="1" applyBorder="1"/>
    <xf numFmtId="173" fontId="4" fillId="0" borderId="77" xfId="0" applyNumberFormat="1" applyFont="1" applyFill="1" applyBorder="1"/>
    <xf numFmtId="173" fontId="4" fillId="0" borderId="78" xfId="0" applyNumberFormat="1" applyFont="1" applyFill="1" applyBorder="1"/>
    <xf numFmtId="173" fontId="4" fillId="0" borderId="79" xfId="0" applyNumberFormat="1" applyFont="1" applyFill="1" applyBorder="1"/>
    <xf numFmtId="173" fontId="4" fillId="0" borderId="80" xfId="0" applyNumberFormat="1" applyFont="1" applyFill="1" applyBorder="1"/>
    <xf numFmtId="173" fontId="4" fillId="0" borderId="81" xfId="0" applyNumberFormat="1" applyFont="1" applyFill="1" applyBorder="1"/>
    <xf numFmtId="0" fontId="4" fillId="26" borderId="79" xfId="0" applyFont="1" applyFill="1" applyBorder="1" applyAlignment="1"/>
    <xf numFmtId="0" fontId="4" fillId="26" borderId="81" xfId="0" applyFont="1" applyFill="1" applyBorder="1" applyAlignment="1"/>
    <xf numFmtId="0" fontId="4" fillId="26" borderId="79" xfId="0" applyFont="1" applyFill="1" applyBorder="1"/>
    <xf numFmtId="0" fontId="4" fillId="26" borderId="82" xfId="0" applyFont="1" applyFill="1" applyBorder="1"/>
    <xf numFmtId="173" fontId="4" fillId="0" borderId="83" xfId="0" applyNumberFormat="1" applyFont="1" applyFill="1" applyBorder="1"/>
    <xf numFmtId="0" fontId="4" fillId="26" borderId="0" xfId="0" applyFont="1" applyFill="1" applyBorder="1"/>
    <xf numFmtId="0" fontId="4" fillId="27" borderId="0" xfId="0" applyFont="1" applyFill="1" applyBorder="1"/>
    <xf numFmtId="0" fontId="0" fillId="27" borderId="0" xfId="0" applyFill="1"/>
    <xf numFmtId="0" fontId="15" fillId="27" borderId="3" xfId="0" applyFont="1" applyFill="1" applyBorder="1" applyAlignment="1">
      <alignment horizontal="left" indent="4"/>
    </xf>
    <xf numFmtId="9" fontId="0" fillId="28" borderId="0" xfId="0" applyNumberFormat="1" applyFill="1"/>
    <xf numFmtId="9" fontId="0" fillId="29" borderId="0" xfId="0" applyNumberFormat="1" applyFill="1"/>
    <xf numFmtId="9" fontId="0" fillId="0" borderId="0" xfId="0" applyNumberFormat="1" applyFill="1"/>
    <xf numFmtId="9" fontId="0" fillId="30" borderId="0" xfId="0" applyNumberFormat="1" applyFill="1"/>
    <xf numFmtId="0" fontId="4" fillId="0" borderId="0" xfId="0" applyFont="1" applyFill="1" applyBorder="1"/>
    <xf numFmtId="0" fontId="4" fillId="0" borderId="0" xfId="0" applyFont="1" applyFill="1" applyBorder="1" applyAlignment="1"/>
    <xf numFmtId="1" fontId="12" fillId="14" borderId="5" xfId="1" applyNumberFormat="1" applyFont="1" applyFill="1" applyBorder="1" applyAlignment="1">
      <alignment horizontal="center"/>
    </xf>
    <xf numFmtId="3" fontId="0" fillId="14" borderId="37" xfId="0" applyNumberFormat="1" applyFill="1" applyBorder="1"/>
    <xf numFmtId="1" fontId="6" fillId="0" borderId="0" xfId="1" applyNumberFormat="1" applyFill="1"/>
    <xf numFmtId="1" fontId="6" fillId="0" borderId="41" xfId="1" applyNumberFormat="1" applyFill="1" applyBorder="1"/>
    <xf numFmtId="0" fontId="6" fillId="0" borderId="0" xfId="1" applyFill="1"/>
    <xf numFmtId="0" fontId="0" fillId="0" borderId="3" xfId="0" applyFill="1" applyBorder="1"/>
    <xf numFmtId="3" fontId="0" fillId="14" borderId="36" xfId="0" applyNumberFormat="1" applyFill="1" applyBorder="1"/>
    <xf numFmtId="166" fontId="6" fillId="0" borderId="57" xfId="4" applyNumberFormat="1" applyFont="1" applyFill="1" applyBorder="1" applyAlignment="1">
      <alignment horizontal="center" textRotation="90"/>
    </xf>
    <xf numFmtId="1" fontId="6" fillId="14" borderId="18" xfId="0" applyNumberFormat="1" applyFont="1" applyFill="1" applyBorder="1"/>
    <xf numFmtId="1" fontId="0" fillId="14" borderId="1" xfId="0" applyNumberFormat="1" applyFill="1" applyBorder="1"/>
    <xf numFmtId="1" fontId="0" fillId="14" borderId="0" xfId="0" applyNumberFormat="1" applyFill="1" applyBorder="1"/>
    <xf numFmtId="1" fontId="9" fillId="14" borderId="0" xfId="0" applyNumberFormat="1" applyFont="1" applyFill="1" applyAlignment="1">
      <alignment vertical="center"/>
    </xf>
    <xf numFmtId="1" fontId="6" fillId="14" borderId="19" xfId="0" applyNumberFormat="1" applyFont="1" applyFill="1" applyBorder="1"/>
    <xf numFmtId="1" fontId="0" fillId="0" borderId="0" xfId="0" applyNumberFormat="1" applyFill="1" applyBorder="1" applyAlignment="1">
      <alignment horizontal="right"/>
    </xf>
    <xf numFmtId="1" fontId="6" fillId="14" borderId="21" xfId="0" applyNumberFormat="1" applyFont="1" applyFill="1" applyBorder="1"/>
    <xf numFmtId="1" fontId="6" fillId="14" borderId="0" xfId="0" applyNumberFormat="1" applyFont="1" applyFill="1" applyBorder="1"/>
    <xf numFmtId="1" fontId="6" fillId="14" borderId="22" xfId="0" applyNumberFormat="1" applyFont="1" applyFill="1" applyBorder="1"/>
    <xf numFmtId="1" fontId="0" fillId="14" borderId="13" xfId="0" applyNumberFormat="1" applyFill="1" applyBorder="1"/>
    <xf numFmtId="1" fontId="6" fillId="14" borderId="13" xfId="0" applyNumberFormat="1" applyFont="1" applyFill="1" applyBorder="1"/>
    <xf numFmtId="1" fontId="0" fillId="14" borderId="20" xfId="0" applyNumberFormat="1" applyFill="1" applyBorder="1"/>
    <xf numFmtId="1" fontId="12" fillId="14" borderId="5" xfId="0" applyNumberFormat="1" applyFont="1" applyFill="1" applyBorder="1" applyAlignment="1">
      <alignment horizontal="center"/>
    </xf>
    <xf numFmtId="1" fontId="12" fillId="14" borderId="5" xfId="0" applyNumberFormat="1" applyFont="1" applyFill="1" applyBorder="1" applyAlignment="1"/>
    <xf numFmtId="49" fontId="0" fillId="14" borderId="27" xfId="0" applyNumberFormat="1" applyFill="1" applyBorder="1" applyAlignment="1">
      <alignment horizontal="center" textRotation="90" wrapText="1"/>
    </xf>
    <xf numFmtId="49" fontId="0" fillId="14" borderId="28" xfId="0" applyNumberFormat="1" applyFill="1" applyBorder="1" applyAlignment="1">
      <alignment horizontal="center" textRotation="90" wrapText="1"/>
    </xf>
    <xf numFmtId="49" fontId="6" fillId="14" borderId="28" xfId="0" applyNumberFormat="1" applyFont="1" applyFill="1" applyBorder="1" applyAlignment="1">
      <alignment horizontal="center" textRotation="90" wrapText="1"/>
    </xf>
    <xf numFmtId="49" fontId="6" fillId="14" borderId="29" xfId="0" applyNumberFormat="1" applyFont="1" applyFill="1" applyBorder="1" applyAlignment="1">
      <alignment horizontal="center" textRotation="90" wrapText="1"/>
    </xf>
    <xf numFmtId="49" fontId="6" fillId="14" borderId="27" xfId="0" applyNumberFormat="1" applyFont="1" applyFill="1" applyBorder="1" applyAlignment="1">
      <alignment horizontal="center" textRotation="90" wrapText="1" readingOrder="1"/>
    </xf>
    <xf numFmtId="49" fontId="6" fillId="14" borderId="27" xfId="0" applyNumberFormat="1" applyFont="1" applyFill="1" applyBorder="1" applyAlignment="1">
      <alignment horizontal="center" textRotation="90" wrapText="1"/>
    </xf>
    <xf numFmtId="49" fontId="8" fillId="14" borderId="30" xfId="0" applyNumberFormat="1" applyFont="1" applyFill="1" applyBorder="1" applyAlignment="1">
      <alignment horizontal="center" textRotation="90" wrapText="1"/>
    </xf>
    <xf numFmtId="49" fontId="6" fillId="14" borderId="31" xfId="0" applyNumberFormat="1" applyFont="1" applyFill="1" applyBorder="1" applyAlignment="1">
      <alignment horizontal="center" textRotation="90" wrapText="1"/>
    </xf>
    <xf numFmtId="49" fontId="6" fillId="14" borderId="32" xfId="0" applyNumberFormat="1" applyFont="1" applyFill="1" applyBorder="1" applyAlignment="1">
      <alignment horizontal="center" textRotation="90" wrapText="1"/>
    </xf>
    <xf numFmtId="0" fontId="0" fillId="14" borderId="0" xfId="0" applyFill="1" applyAlignment="1">
      <alignment textRotation="90" wrapText="1"/>
    </xf>
    <xf numFmtId="3" fontId="8" fillId="0" borderId="23" xfId="1" applyNumberFormat="1" applyFont="1" applyFill="1" applyBorder="1"/>
    <xf numFmtId="3" fontId="0" fillId="14" borderId="39" xfId="0" applyNumberFormat="1" applyFill="1" applyBorder="1"/>
    <xf numFmtId="3" fontId="6" fillId="0" borderId="36" xfId="1" applyNumberFormat="1" applyFill="1" applyBorder="1"/>
    <xf numFmtId="3" fontId="6" fillId="0" borderId="39" xfId="1" applyNumberFormat="1" applyFill="1" applyBorder="1"/>
    <xf numFmtId="3" fontId="8" fillId="0" borderId="23" xfId="0" applyNumberFormat="1" applyFont="1" applyFill="1" applyBorder="1"/>
    <xf numFmtId="3" fontId="0" fillId="0" borderId="41" xfId="0" applyNumberFormat="1" applyFill="1" applyBorder="1"/>
    <xf numFmtId="3" fontId="0" fillId="0" borderId="0" xfId="0" applyNumberFormat="1" applyFill="1"/>
    <xf numFmtId="3" fontId="6" fillId="0" borderId="42" xfId="1" applyNumberFormat="1" applyFill="1" applyBorder="1"/>
    <xf numFmtId="3" fontId="0" fillId="14" borderId="43" xfId="0" applyNumberFormat="1" applyFill="1" applyBorder="1"/>
    <xf numFmtId="3" fontId="0" fillId="14" borderId="9" xfId="0" applyNumberFormat="1" applyFill="1" applyBorder="1"/>
    <xf numFmtId="3" fontId="0" fillId="0" borderId="9" xfId="0" applyNumberFormat="1" applyFill="1" applyBorder="1"/>
    <xf numFmtId="3" fontId="6" fillId="0" borderId="43" xfId="1" applyNumberFormat="1" applyFill="1" applyBorder="1"/>
    <xf numFmtId="3" fontId="6" fillId="0" borderId="15" xfId="1" applyNumberFormat="1" applyFont="1" applyFill="1" applyBorder="1"/>
    <xf numFmtId="3" fontId="6" fillId="0" borderId="15" xfId="1" applyNumberFormat="1" applyFill="1" applyBorder="1"/>
    <xf numFmtId="3" fontId="0" fillId="14" borderId="35" xfId="0" applyNumberFormat="1" applyFill="1" applyBorder="1"/>
    <xf numFmtId="3" fontId="6" fillId="0" borderId="44" xfId="1" applyNumberFormat="1" applyFill="1" applyBorder="1"/>
    <xf numFmtId="3" fontId="6" fillId="0" borderId="46" xfId="1" applyNumberFormat="1" applyFill="1" applyBorder="1"/>
    <xf numFmtId="3" fontId="8" fillId="0" borderId="25" xfId="1" applyNumberFormat="1" applyFont="1" applyFill="1" applyBorder="1"/>
    <xf numFmtId="3" fontId="6" fillId="0" borderId="16" xfId="1" applyNumberFormat="1" applyFill="1" applyBorder="1"/>
    <xf numFmtId="3" fontId="6" fillId="0" borderId="45" xfId="1" applyNumberFormat="1" applyFill="1" applyBorder="1"/>
    <xf numFmtId="3" fontId="0" fillId="14" borderId="47" xfId="0" applyNumberFormat="1" applyFill="1" applyBorder="1"/>
    <xf numFmtId="3" fontId="0" fillId="14" borderId="48" xfId="0" applyNumberFormat="1" applyFill="1" applyBorder="1"/>
    <xf numFmtId="3" fontId="0" fillId="14" borderId="49" xfId="0" applyNumberFormat="1" applyFill="1" applyBorder="1"/>
    <xf numFmtId="3" fontId="8" fillId="14" borderId="50" xfId="0" applyNumberFormat="1" applyFont="1" applyFill="1" applyBorder="1"/>
    <xf numFmtId="3" fontId="0" fillId="14" borderId="51" xfId="0" applyNumberFormat="1" applyFill="1" applyBorder="1"/>
    <xf numFmtId="3" fontId="0" fillId="14" borderId="52" xfId="0" applyNumberFormat="1" applyFill="1" applyBorder="1"/>
    <xf numFmtId="3" fontId="8" fillId="14" borderId="53" xfId="0" applyNumberFormat="1" applyFont="1" applyFill="1" applyBorder="1"/>
    <xf numFmtId="168" fontId="0" fillId="14" borderId="54" xfId="0" applyNumberFormat="1" applyFill="1" applyBorder="1"/>
    <xf numFmtId="3" fontId="0" fillId="14" borderId="54" xfId="0" applyNumberFormat="1" applyFill="1" applyBorder="1"/>
    <xf numFmtId="3" fontId="0" fillId="14" borderId="2" xfId="0" applyNumberFormat="1" applyFill="1" applyBorder="1"/>
    <xf numFmtId="3" fontId="0" fillId="14" borderId="0" xfId="0" applyNumberFormat="1" applyFill="1" applyBorder="1"/>
    <xf numFmtId="3" fontId="0" fillId="14" borderId="44" xfId="0" applyNumberFormat="1" applyFill="1" applyBorder="1"/>
    <xf numFmtId="3" fontId="0" fillId="14" borderId="45" xfId="0" applyNumberFormat="1" applyFill="1" applyBorder="1"/>
    <xf numFmtId="3" fontId="0" fillId="14" borderId="46" xfId="0" applyNumberFormat="1" applyFill="1" applyBorder="1"/>
    <xf numFmtId="3" fontId="8" fillId="14" borderId="25" xfId="0" applyNumberFormat="1" applyFont="1" applyFill="1" applyBorder="1"/>
    <xf numFmtId="1" fontId="6" fillId="0" borderId="57" xfId="4" applyNumberFormat="1" applyFont="1" applyFill="1" applyBorder="1" applyAlignment="1">
      <alignment horizontal="center" textRotation="90"/>
    </xf>
    <xf numFmtId="1" fontId="6" fillId="0" borderId="47" xfId="1" applyNumberFormat="1" applyFill="1" applyBorder="1" applyAlignment="1">
      <alignment vertical="center"/>
    </xf>
    <xf numFmtId="1" fontId="0" fillId="0" borderId="48" xfId="0" applyNumberFormat="1" applyFill="1" applyBorder="1" applyAlignment="1">
      <alignment vertical="center"/>
    </xf>
    <xf numFmtId="1" fontId="0" fillId="0" borderId="63" xfId="0" applyNumberFormat="1" applyFill="1" applyBorder="1" applyAlignment="1">
      <alignment vertical="center"/>
    </xf>
    <xf numFmtId="1" fontId="6" fillId="14" borderId="58" xfId="0" applyNumberFormat="1" applyFont="1" applyFill="1" applyBorder="1" applyAlignment="1">
      <alignment horizontal="left" vertical="center"/>
    </xf>
    <xf numFmtId="1" fontId="0" fillId="14" borderId="59" xfId="0" applyNumberFormat="1" applyFill="1" applyBorder="1" applyAlignment="1">
      <alignment horizontal="left" vertical="center"/>
    </xf>
    <xf numFmtId="1" fontId="0" fillId="14" borderId="0" xfId="0" applyNumberFormat="1" applyFill="1" applyAlignment="1">
      <alignment vertical="center"/>
    </xf>
    <xf numFmtId="0" fontId="0" fillId="14" borderId="0" xfId="0" applyFill="1" applyAlignment="1">
      <alignment vertical="center"/>
    </xf>
    <xf numFmtId="49" fontId="6" fillId="0" borderId="27" xfId="0" applyNumberFormat="1" applyFont="1" applyFill="1" applyBorder="1" applyAlignment="1">
      <alignment horizontal="center" textRotation="90" wrapText="1" readingOrder="1"/>
    </xf>
    <xf numFmtId="49" fontId="6" fillId="0" borderId="28" xfId="0" applyNumberFormat="1" applyFont="1" applyFill="1" applyBorder="1" applyAlignment="1">
      <alignment horizontal="center" textRotation="90" wrapText="1"/>
    </xf>
    <xf numFmtId="49" fontId="6" fillId="0" borderId="29" xfId="0" applyNumberFormat="1" applyFont="1" applyFill="1" applyBorder="1" applyAlignment="1">
      <alignment horizontal="center" textRotation="90" wrapText="1"/>
    </xf>
    <xf numFmtId="49" fontId="6" fillId="0" borderId="27" xfId="0" applyNumberFormat="1" applyFont="1" applyFill="1" applyBorder="1" applyAlignment="1">
      <alignment horizontal="center" textRotation="90" wrapText="1"/>
    </xf>
    <xf numFmtId="49" fontId="8" fillId="0" borderId="30" xfId="0" applyNumberFormat="1" applyFont="1" applyFill="1" applyBorder="1" applyAlignment="1">
      <alignment horizontal="center" textRotation="90" wrapText="1"/>
    </xf>
    <xf numFmtId="49" fontId="6" fillId="0" borderId="31" xfId="0" applyNumberFormat="1" applyFont="1" applyFill="1" applyBorder="1" applyAlignment="1">
      <alignment horizontal="center" textRotation="90" wrapText="1"/>
    </xf>
    <xf numFmtId="49" fontId="6" fillId="0" borderId="32" xfId="0" applyNumberFormat="1" applyFont="1" applyFill="1" applyBorder="1" applyAlignment="1">
      <alignment horizontal="center" textRotation="90" wrapText="1"/>
    </xf>
    <xf numFmtId="0" fontId="6" fillId="14" borderId="0" xfId="0" applyFont="1" applyFill="1"/>
    <xf numFmtId="3" fontId="0" fillId="0" borderId="36" xfId="0" applyNumberFormat="1" applyFill="1" applyBorder="1"/>
    <xf numFmtId="165" fontId="0" fillId="14" borderId="0" xfId="0" quotePrefix="1" applyNumberFormat="1" applyFill="1"/>
    <xf numFmtId="3" fontId="0" fillId="0" borderId="43" xfId="0" applyNumberFormat="1" applyFill="1" applyBorder="1"/>
    <xf numFmtId="3" fontId="0" fillId="0" borderId="35" xfId="0" applyNumberFormat="1" applyFill="1" applyBorder="1"/>
    <xf numFmtId="3" fontId="0" fillId="0" borderId="47" xfId="0" applyNumberFormat="1" applyFill="1" applyBorder="1"/>
    <xf numFmtId="3" fontId="0" fillId="0" borderId="48" xfId="0" applyNumberFormat="1" applyFill="1" applyBorder="1"/>
    <xf numFmtId="3" fontId="0" fillId="0" borderId="49" xfId="0" applyNumberFormat="1" applyFill="1" applyBorder="1"/>
    <xf numFmtId="3" fontId="0" fillId="0" borderId="51" xfId="0" applyNumberFormat="1" applyFill="1" applyBorder="1"/>
    <xf numFmtId="3" fontId="8" fillId="0" borderId="50" xfId="0" applyNumberFormat="1" applyFont="1" applyFill="1" applyBorder="1"/>
    <xf numFmtId="3" fontId="0" fillId="0" borderId="52" xfId="0" applyNumberFormat="1" applyFill="1" applyBorder="1"/>
    <xf numFmtId="168" fontId="0" fillId="14" borderId="0" xfId="0" applyNumberFormat="1" applyFill="1" applyBorder="1"/>
    <xf numFmtId="0" fontId="6" fillId="0" borderId="3" xfId="1" applyFill="1" applyBorder="1"/>
    <xf numFmtId="0" fontId="0" fillId="14" borderId="1" xfId="0" applyFill="1" applyBorder="1"/>
    <xf numFmtId="0" fontId="0" fillId="14" borderId="13" xfId="0" applyFill="1" applyBorder="1"/>
    <xf numFmtId="3" fontId="6" fillId="0" borderId="37" xfId="0" applyNumberFormat="1" applyFont="1" applyFill="1" applyBorder="1"/>
    <xf numFmtId="1" fontId="6" fillId="0" borderId="56" xfId="9" applyNumberFormat="1" applyFont="1" applyFill="1" applyBorder="1" applyAlignment="1">
      <alignment horizontal="center" textRotation="90"/>
    </xf>
    <xf numFmtId="1" fontId="6" fillId="0" borderId="27" xfId="1" applyNumberFormat="1" applyFill="1" applyBorder="1" applyAlignment="1">
      <alignment horizontal="center" textRotation="90"/>
    </xf>
    <xf numFmtId="1" fontId="6" fillId="0" borderId="21" xfId="0" applyNumberFormat="1" applyFont="1" applyFill="1" applyBorder="1"/>
    <xf numFmtId="2" fontId="0" fillId="14" borderId="0" xfId="0" applyNumberFormat="1" applyFill="1"/>
    <xf numFmtId="3" fontId="0" fillId="19" borderId="23" xfId="0" applyNumberFormat="1" applyFill="1" applyBorder="1" applyAlignment="1">
      <alignment horizontal="left" indent="1"/>
    </xf>
    <xf numFmtId="3" fontId="0" fillId="19" borderId="7" xfId="0" applyNumberFormat="1" applyFill="1" applyBorder="1" applyAlignment="1">
      <alignment horizontal="left" indent="1"/>
    </xf>
    <xf numFmtId="3" fontId="0" fillId="0" borderId="12" xfId="0" applyNumberFormat="1" applyFill="1" applyBorder="1"/>
    <xf numFmtId="3" fontId="0" fillId="19" borderId="24" xfId="0" applyNumberFormat="1" applyFill="1" applyBorder="1" applyAlignment="1">
      <alignment horizontal="left" indent="1"/>
    </xf>
    <xf numFmtId="3" fontId="0" fillId="19" borderId="25" xfId="0" applyNumberFormat="1" applyFill="1" applyBorder="1" applyAlignment="1">
      <alignment horizontal="left" indent="1"/>
    </xf>
    <xf numFmtId="1" fontId="6" fillId="14" borderId="56" xfId="9" applyNumberFormat="1" applyFont="1" applyFill="1" applyBorder="1" applyAlignment="1">
      <alignment horizontal="center" textRotation="90"/>
    </xf>
    <xf numFmtId="1" fontId="6" fillId="0" borderId="57" xfId="9" applyNumberFormat="1" applyFont="1" applyFill="1" applyBorder="1" applyAlignment="1">
      <alignment horizontal="center" textRotation="90"/>
    </xf>
    <xf numFmtId="1" fontId="6" fillId="14" borderId="58" xfId="0" applyNumberFormat="1" applyFont="1" applyFill="1" applyBorder="1" applyAlignment="1">
      <alignment horizontal="left"/>
    </xf>
    <xf numFmtId="1" fontId="0" fillId="14" borderId="59" xfId="0" applyNumberFormat="1" applyFill="1" applyBorder="1" applyAlignment="1">
      <alignment horizontal="left"/>
    </xf>
    <xf numFmtId="174" fontId="0" fillId="14" borderId="0" xfId="0" applyNumberFormat="1" applyFill="1"/>
    <xf numFmtId="1" fontId="6" fillId="0" borderId="0" xfId="32" applyNumberFormat="1" applyFont="1" applyFill="1" applyBorder="1" applyAlignment="1">
      <alignment horizontal="right"/>
    </xf>
    <xf numFmtId="1" fontId="6" fillId="0" borderId="0" xfId="1" applyNumberFormat="1" applyFill="1" applyBorder="1"/>
    <xf numFmtId="1" fontId="29" fillId="0" borderId="0" xfId="33" applyNumberFormat="1" applyFill="1" applyBorder="1"/>
    <xf numFmtId="3" fontId="6" fillId="14" borderId="33" xfId="0" applyNumberFormat="1" applyFont="1" applyFill="1" applyBorder="1"/>
    <xf numFmtId="3" fontId="6" fillId="14" borderId="3" xfId="0" applyNumberFormat="1" applyFont="1" applyFill="1" applyBorder="1"/>
    <xf numFmtId="3" fontId="6" fillId="14" borderId="3" xfId="1" applyNumberFormat="1" applyFont="1" applyFill="1" applyBorder="1"/>
    <xf numFmtId="3" fontId="6" fillId="14" borderId="34" xfId="0" applyNumberFormat="1" applyFont="1" applyFill="1" applyBorder="1"/>
    <xf numFmtId="3" fontId="6" fillId="14" borderId="33" xfId="1" applyNumberFormat="1" applyFont="1" applyFill="1" applyBorder="1"/>
    <xf numFmtId="3" fontId="6" fillId="14" borderId="34" xfId="1" applyNumberFormat="1" applyFont="1" applyFill="1" applyBorder="1"/>
    <xf numFmtId="3" fontId="6" fillId="0" borderId="33" xfId="1" applyNumberFormat="1" applyFont="1" applyFill="1" applyBorder="1"/>
    <xf numFmtId="3" fontId="6" fillId="0" borderId="34" xfId="1" applyNumberFormat="1" applyFont="1" applyFill="1" applyBorder="1"/>
    <xf numFmtId="3" fontId="6" fillId="0" borderId="3" xfId="33" applyNumberFormat="1" applyFont="1" applyFill="1" applyBorder="1"/>
    <xf numFmtId="3" fontId="6" fillId="0" borderId="34" xfId="0" applyNumberFormat="1" applyFont="1" applyFill="1" applyBorder="1"/>
    <xf numFmtId="3" fontId="6" fillId="0" borderId="6" xfId="1" applyNumberFormat="1" applyFont="1" applyFill="1" applyBorder="1"/>
    <xf numFmtId="3" fontId="6" fillId="0" borderId="40" xfId="0" applyNumberFormat="1" applyFont="1" applyFill="1" applyBorder="1"/>
    <xf numFmtId="3" fontId="6" fillId="0" borderId="39" xfId="0" applyNumberFormat="1" applyFont="1" applyFill="1" applyBorder="1"/>
    <xf numFmtId="3" fontId="6" fillId="0" borderId="3" xfId="32" applyNumberFormat="1" applyFont="1" applyFill="1" applyBorder="1"/>
    <xf numFmtId="3" fontId="6" fillId="0" borderId="33" xfId="32" applyNumberFormat="1" applyFont="1" applyFill="1" applyBorder="1"/>
    <xf numFmtId="3" fontId="6" fillId="14" borderId="36" xfId="0" applyNumberFormat="1" applyFont="1" applyFill="1" applyBorder="1"/>
    <xf numFmtId="3" fontId="6" fillId="14" borderId="37" xfId="0" applyNumberFormat="1" applyFont="1" applyFill="1" applyBorder="1"/>
    <xf numFmtId="3" fontId="6" fillId="0" borderId="37" xfId="1" applyNumberFormat="1" applyFont="1" applyFill="1" applyBorder="1"/>
    <xf numFmtId="3" fontId="6" fillId="14" borderId="37" xfId="1" applyNumberFormat="1" applyFont="1" applyFill="1" applyBorder="1"/>
    <xf numFmtId="3" fontId="6" fillId="14" borderId="39" xfId="0" applyNumberFormat="1" applyFont="1" applyFill="1" applyBorder="1"/>
    <xf numFmtId="3" fontId="6" fillId="14" borderId="36" xfId="1" applyNumberFormat="1" applyFont="1" applyFill="1" applyBorder="1"/>
    <xf numFmtId="3" fontId="6" fillId="14" borderId="39" xfId="1" applyNumberFormat="1" applyFont="1" applyFill="1" applyBorder="1"/>
    <xf numFmtId="3" fontId="6" fillId="0" borderId="36" xfId="1" applyNumberFormat="1" applyFont="1" applyFill="1" applyBorder="1"/>
    <xf numFmtId="3" fontId="6" fillId="0" borderId="39" xfId="1" applyNumberFormat="1" applyFont="1" applyFill="1" applyBorder="1"/>
    <xf numFmtId="165" fontId="6" fillId="14" borderId="0" xfId="1" quotePrefix="1" applyNumberFormat="1" applyFill="1"/>
    <xf numFmtId="3" fontId="6" fillId="0" borderId="33" xfId="0" applyNumberFormat="1" applyFont="1" applyFill="1" applyBorder="1"/>
    <xf numFmtId="3" fontId="6" fillId="14" borderId="6" xfId="1" applyNumberFormat="1" applyFont="1" applyFill="1" applyBorder="1"/>
    <xf numFmtId="3" fontId="6" fillId="14" borderId="6" xfId="0" applyNumberFormat="1" applyFont="1" applyFill="1" applyBorder="1"/>
    <xf numFmtId="3" fontId="6" fillId="0" borderId="6" xfId="0" applyNumberFormat="1" applyFont="1" applyFill="1" applyBorder="1"/>
    <xf numFmtId="1" fontId="6" fillId="0" borderId="0" xfId="0" applyNumberFormat="1" applyFont="1" applyFill="1"/>
    <xf numFmtId="168" fontId="6" fillId="0" borderId="34" xfId="1" applyNumberFormat="1" applyFont="1" applyFill="1" applyBorder="1"/>
    <xf numFmtId="168" fontId="6" fillId="0" borderId="33" xfId="1" applyNumberFormat="1" applyFont="1" applyFill="1" applyBorder="1"/>
    <xf numFmtId="3" fontId="6" fillId="0" borderId="6" xfId="32" applyNumberFormat="1" applyFont="1" applyFill="1" applyBorder="1"/>
    <xf numFmtId="3" fontId="6" fillId="0" borderId="34" xfId="32" applyNumberFormat="1" applyFont="1" applyFill="1" applyBorder="1"/>
    <xf numFmtId="3" fontId="6" fillId="0" borderId="41" xfId="0" applyNumberFormat="1" applyFont="1" applyFill="1" applyBorder="1"/>
    <xf numFmtId="3" fontId="6" fillId="0" borderId="0" xfId="0" applyNumberFormat="1" applyFont="1" applyFill="1"/>
    <xf numFmtId="3" fontId="6" fillId="19" borderId="7" xfId="1" applyNumberFormat="1" applyFont="1" applyFill="1" applyBorder="1" applyAlignment="1">
      <alignment horizontal="left" indent="1"/>
    </xf>
    <xf numFmtId="1" fontId="6" fillId="0" borderId="3" xfId="1" applyNumberFormat="1" applyFont="1" applyFill="1" applyBorder="1"/>
    <xf numFmtId="1" fontId="6" fillId="14" borderId="3" xfId="0" applyNumberFormat="1" applyFont="1" applyFill="1" applyBorder="1"/>
    <xf numFmtId="3" fontId="6" fillId="0" borderId="42" xfId="1" applyNumberFormat="1" applyFont="1" applyFill="1" applyBorder="1"/>
    <xf numFmtId="3" fontId="6" fillId="0" borderId="35" xfId="0" applyNumberFormat="1" applyFont="1" applyFill="1" applyBorder="1"/>
    <xf numFmtId="3" fontId="6" fillId="14" borderId="43" xfId="0" applyNumberFormat="1" applyFont="1" applyFill="1" applyBorder="1"/>
    <xf numFmtId="3" fontId="6" fillId="14" borderId="9" xfId="0" applyNumberFormat="1" applyFont="1" applyFill="1" applyBorder="1"/>
    <xf numFmtId="3" fontId="6" fillId="0" borderId="9" xfId="0" applyNumberFormat="1" applyFont="1" applyFill="1" applyBorder="1"/>
    <xf numFmtId="3" fontId="6" fillId="14" borderId="9" xfId="1" applyNumberFormat="1" applyFont="1" applyFill="1" applyBorder="1"/>
    <xf numFmtId="3" fontId="6" fillId="14" borderId="43" xfId="1" applyNumberFormat="1" applyFont="1" applyFill="1" applyBorder="1"/>
    <xf numFmtId="3" fontId="6" fillId="14" borderId="35" xfId="1" applyNumberFormat="1" applyFont="1" applyFill="1" applyBorder="1"/>
    <xf numFmtId="3" fontId="6" fillId="14" borderId="35" xfId="0" applyNumberFormat="1" applyFont="1" applyFill="1" applyBorder="1"/>
    <xf numFmtId="3" fontId="6" fillId="0" borderId="43" xfId="1" applyNumberFormat="1" applyFont="1" applyFill="1" applyBorder="1"/>
    <xf numFmtId="3" fontId="6" fillId="0" borderId="9" xfId="1" applyNumberFormat="1" applyFont="1" applyFill="1" applyBorder="1"/>
    <xf numFmtId="3" fontId="6" fillId="14" borderId="44" xfId="0" applyNumberFormat="1" applyFont="1" applyFill="1" applyBorder="1"/>
    <xf numFmtId="3" fontId="6" fillId="14" borderId="46" xfId="0" applyNumberFormat="1" applyFont="1" applyFill="1" applyBorder="1"/>
    <xf numFmtId="3" fontId="6" fillId="14" borderId="44" xfId="1" applyNumberFormat="1" applyFont="1" applyFill="1" applyBorder="1"/>
    <xf numFmtId="3" fontId="6" fillId="14" borderId="45" xfId="1" applyNumberFormat="1" applyFont="1" applyFill="1" applyBorder="1"/>
    <xf numFmtId="3" fontId="6" fillId="14" borderId="46" xfId="1" applyNumberFormat="1" applyFont="1" applyFill="1" applyBorder="1"/>
    <xf numFmtId="3" fontId="6" fillId="0" borderId="16" xfId="1" applyNumberFormat="1" applyFont="1" applyFill="1" applyBorder="1"/>
    <xf numFmtId="3" fontId="6" fillId="0" borderId="45" xfId="1" applyNumberFormat="1" applyFont="1" applyFill="1" applyBorder="1"/>
    <xf numFmtId="3" fontId="6" fillId="14" borderId="47" xfId="1" applyNumberFormat="1" applyFont="1" applyFill="1" applyBorder="1"/>
    <xf numFmtId="3" fontId="6" fillId="14" borderId="48" xfId="1" applyNumberFormat="1" applyFont="1" applyFill="1" applyBorder="1"/>
    <xf numFmtId="3" fontId="6" fillId="14" borderId="49" xfId="1" applyNumberFormat="1" applyFont="1" applyFill="1" applyBorder="1"/>
    <xf numFmtId="3" fontId="6" fillId="14" borderId="51" xfId="1" applyNumberFormat="1" applyFont="1" applyFill="1" applyBorder="1"/>
    <xf numFmtId="3" fontId="6" fillId="14" borderId="52" xfId="1" applyNumberFormat="1" applyFont="1" applyFill="1" applyBorder="1"/>
    <xf numFmtId="168" fontId="6" fillId="14" borderId="54" xfId="1" applyNumberFormat="1" applyFont="1" applyFill="1" applyBorder="1"/>
    <xf numFmtId="3" fontId="6" fillId="14" borderId="54" xfId="1" applyNumberFormat="1" applyFont="1" applyFill="1" applyBorder="1"/>
    <xf numFmtId="3" fontId="6" fillId="14" borderId="2" xfId="1" applyNumberFormat="1" applyFont="1" applyFill="1" applyBorder="1"/>
    <xf numFmtId="3" fontId="6" fillId="14" borderId="0" xfId="1" applyNumberFormat="1" applyFont="1" applyFill="1" applyBorder="1"/>
    <xf numFmtId="3" fontId="6" fillId="14" borderId="0" xfId="1" applyNumberFormat="1" applyFont="1" applyFill="1"/>
    <xf numFmtId="168" fontId="6" fillId="14" borderId="10" xfId="1" applyNumberFormat="1" applyFont="1" applyFill="1" applyBorder="1"/>
    <xf numFmtId="3" fontId="6" fillId="14" borderId="7" xfId="0" applyNumberFormat="1" applyFont="1" applyFill="1" applyBorder="1"/>
    <xf numFmtId="168" fontId="6" fillId="14" borderId="64" xfId="0" applyNumberFormat="1" applyFont="1" applyFill="1" applyBorder="1"/>
    <xf numFmtId="3" fontId="6" fillId="14" borderId="55" xfId="0" applyNumberFormat="1" applyFont="1" applyFill="1" applyBorder="1"/>
    <xf numFmtId="1" fontId="6" fillId="0" borderId="56" xfId="4" applyNumberFormat="1" applyFont="1" applyFill="1" applyBorder="1" applyAlignment="1">
      <alignment horizontal="center" textRotation="90"/>
    </xf>
    <xf numFmtId="166" fontId="6" fillId="0" borderId="57" xfId="32" applyNumberFormat="1" applyFont="1" applyFill="1" applyBorder="1" applyAlignment="1">
      <alignment horizontal="center" textRotation="90"/>
    </xf>
    <xf numFmtId="1" fontId="6" fillId="0" borderId="27" xfId="1" applyNumberFormat="1" applyFont="1" applyFill="1" applyBorder="1" applyAlignment="1">
      <alignment horizontal="center" textRotation="90"/>
    </xf>
    <xf numFmtId="1" fontId="6" fillId="0" borderId="47" xfId="32" applyNumberFormat="1" applyFont="1" applyFill="1" applyBorder="1" applyAlignment="1">
      <alignment vertical="center"/>
    </xf>
    <xf numFmtId="1" fontId="6" fillId="0" borderId="48" xfId="32" applyNumberFormat="1" applyFont="1" applyFill="1" applyBorder="1" applyAlignment="1">
      <alignment vertical="center"/>
    </xf>
    <xf numFmtId="1" fontId="6" fillId="0" borderId="48" xfId="1" applyNumberFormat="1" applyFont="1" applyFill="1" applyBorder="1" applyAlignment="1">
      <alignment vertical="center"/>
    </xf>
    <xf numFmtId="1" fontId="6" fillId="0" borderId="63" xfId="1" applyNumberFormat="1" applyFont="1" applyFill="1" applyBorder="1" applyAlignment="1">
      <alignment vertical="center"/>
    </xf>
    <xf numFmtId="1" fontId="6" fillId="0" borderId="63" xfId="32" applyNumberFormat="1" applyFont="1" applyFill="1" applyBorder="1" applyAlignment="1">
      <alignment vertical="center"/>
    </xf>
    <xf numFmtId="1" fontId="6" fillId="14" borderId="59" xfId="1" applyNumberFormat="1" applyFont="1" applyFill="1" applyBorder="1" applyAlignment="1">
      <alignment horizontal="left" vertical="center"/>
    </xf>
    <xf numFmtId="1" fontId="6" fillId="14" borderId="0" xfId="1" applyNumberFormat="1" applyFont="1" applyFill="1" applyAlignment="1">
      <alignment vertical="center"/>
    </xf>
    <xf numFmtId="166" fontId="6" fillId="14" borderId="0" xfId="1" applyNumberFormat="1" applyFill="1" applyBorder="1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170" fontId="0" fillId="0" borderId="0" xfId="0" applyNumberFormat="1" applyFill="1" applyBorder="1" applyAlignment="1" applyProtection="1">
      <alignment horizontal="center"/>
      <protection locked="0"/>
    </xf>
    <xf numFmtId="0" fontId="0" fillId="15" borderId="0" xfId="0" applyFill="1" applyProtection="1"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1" fontId="0" fillId="0" borderId="3" xfId="0" applyNumberFormat="1" applyBorder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170" fontId="0" fillId="17" borderId="3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1" fontId="0" fillId="9" borderId="3" xfId="0" applyNumberFormat="1" applyFill="1" applyBorder="1" applyAlignment="1" applyProtection="1">
      <alignment horizontal="center"/>
      <protection locked="0"/>
    </xf>
    <xf numFmtId="1" fontId="0" fillId="9" borderId="6" xfId="0" applyNumberForma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right"/>
      <protection locked="0"/>
    </xf>
    <xf numFmtId="9" fontId="0" fillId="0" borderId="0" xfId="0" applyNumberFormat="1" applyBorder="1" applyAlignment="1" applyProtection="1">
      <alignment horizontal="center"/>
      <protection locked="0"/>
    </xf>
    <xf numFmtId="9" fontId="0" fillId="0" borderId="0" xfId="0" applyNumberFormat="1" applyAlignment="1" applyProtection="1">
      <alignment horizontal="center"/>
      <protection locked="0"/>
    </xf>
    <xf numFmtId="9" fontId="0" fillId="17" borderId="3" xfId="0" applyNumberFormat="1" applyFill="1" applyBorder="1" applyAlignment="1" applyProtection="1">
      <alignment horizontal="center"/>
      <protection locked="0"/>
    </xf>
    <xf numFmtId="9" fontId="0" fillId="0" borderId="0" xfId="0" applyNumberFormat="1" applyBorder="1" applyAlignment="1" applyProtection="1">
      <alignment horizontal="right"/>
      <protection locked="0"/>
    </xf>
    <xf numFmtId="49" fontId="0" fillId="0" borderId="0" xfId="0" applyNumberFormat="1" applyProtection="1">
      <protection locked="0"/>
    </xf>
    <xf numFmtId="9" fontId="0" fillId="0" borderId="0" xfId="0" applyNumberFormat="1" applyAlignment="1" applyProtection="1">
      <alignment horizontal="right"/>
      <protection locked="0"/>
    </xf>
    <xf numFmtId="1" fontId="0" fillId="0" borderId="0" xfId="0" applyNumberFormat="1" applyProtection="1"/>
    <xf numFmtId="0" fontId="0" fillId="0" borderId="0" xfId="0" applyProtection="1"/>
    <xf numFmtId="1" fontId="7" fillId="34" borderId="0" xfId="0" applyNumberFormat="1" applyFont="1" applyFill="1" applyAlignment="1" applyProtection="1">
      <alignment horizontal="left"/>
    </xf>
    <xf numFmtId="1" fontId="7" fillId="33" borderId="3" xfId="0" applyNumberFormat="1" applyFont="1" applyFill="1" applyBorder="1" applyAlignment="1" applyProtection="1">
      <alignment horizontal="center"/>
    </xf>
    <xf numFmtId="1" fontId="7" fillId="33" borderId="0" xfId="0" applyNumberFormat="1" applyFont="1" applyFill="1" applyAlignment="1" applyProtection="1">
      <alignment horizontal="center"/>
    </xf>
    <xf numFmtId="10" fontId="7" fillId="33" borderId="37" xfId="0" applyNumberFormat="1" applyFont="1" applyFill="1" applyBorder="1" applyAlignment="1" applyProtection="1">
      <alignment horizontal="right"/>
    </xf>
    <xf numFmtId="10" fontId="7" fillId="33" borderId="3" xfId="0" applyNumberFormat="1" applyFont="1" applyFill="1" applyBorder="1" applyAlignment="1" applyProtection="1">
      <alignment horizontal="right"/>
    </xf>
    <xf numFmtId="0" fontId="0" fillId="0" borderId="0" xfId="0" applyAlignment="1" applyProtection="1">
      <alignment horizontal="right"/>
    </xf>
    <xf numFmtId="9" fontId="7" fillId="33" borderId="3" xfId="0" applyNumberFormat="1" applyFont="1" applyFill="1" applyBorder="1" applyAlignment="1" applyProtection="1">
      <alignment horizontal="right"/>
    </xf>
    <xf numFmtId="0" fontId="7" fillId="33" borderId="3" xfId="0" applyFont="1" applyFill="1" applyBorder="1" applyAlignment="1" applyProtection="1">
      <alignment horizontal="right"/>
    </xf>
    <xf numFmtId="0" fontId="7" fillId="33" borderId="3" xfId="0" applyFont="1" applyFill="1" applyBorder="1" applyProtection="1"/>
    <xf numFmtId="9" fontId="7" fillId="33" borderId="3" xfId="0" applyNumberFormat="1" applyFont="1" applyFill="1" applyBorder="1" applyAlignment="1" applyProtection="1">
      <alignment horizontal="center"/>
    </xf>
    <xf numFmtId="9" fontId="7" fillId="33" borderId="3" xfId="0" applyNumberFormat="1" applyFont="1" applyFill="1" applyBorder="1" applyProtection="1"/>
    <xf numFmtId="1" fontId="7" fillId="33" borderId="9" xfId="0" applyNumberFormat="1" applyFont="1" applyFill="1" applyBorder="1" applyAlignment="1" applyProtection="1">
      <alignment horizontal="center"/>
    </xf>
    <xf numFmtId="170" fontId="7" fillId="33" borderId="9" xfId="0" applyNumberFormat="1" applyFont="1" applyFill="1" applyBorder="1" applyAlignment="1" applyProtection="1">
      <alignment horizontal="center"/>
    </xf>
    <xf numFmtId="1" fontId="7" fillId="33" borderId="15" xfId="0" applyNumberFormat="1" applyFont="1" applyFill="1" applyBorder="1" applyAlignment="1" applyProtection="1">
      <alignment horizontal="center"/>
    </xf>
    <xf numFmtId="170" fontId="7" fillId="33" borderId="3" xfId="0" applyNumberFormat="1" applyFont="1" applyFill="1" applyBorder="1" applyAlignment="1" applyProtection="1">
      <alignment horizontal="center"/>
    </xf>
    <xf numFmtId="170" fontId="7" fillId="33" borderId="0" xfId="0" applyNumberFormat="1" applyFont="1" applyFill="1" applyBorder="1" applyAlignment="1" applyProtection="1">
      <alignment horizontal="center"/>
    </xf>
    <xf numFmtId="1" fontId="7" fillId="33" borderId="6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166" fontId="0" fillId="0" borderId="0" xfId="0" applyNumberFormat="1" applyBorder="1" applyAlignment="1" applyProtection="1">
      <alignment horizontal="center"/>
    </xf>
    <xf numFmtId="166" fontId="0" fillId="0" borderId="0" xfId="0" applyNumberFormat="1" applyFill="1" applyBorder="1" applyAlignment="1" applyProtection="1">
      <alignment horizontal="center"/>
    </xf>
    <xf numFmtId="170" fontId="0" fillId="0" borderId="0" xfId="0" applyNumberFormat="1" applyBorder="1" applyAlignment="1" applyProtection="1">
      <alignment horizontal="center"/>
    </xf>
    <xf numFmtId="170" fontId="0" fillId="0" borderId="0" xfId="0" applyNumberFormat="1" applyFill="1" applyBorder="1" applyAlignment="1" applyProtection="1">
      <alignment horizontal="center"/>
    </xf>
    <xf numFmtId="0" fontId="0" fillId="15" borderId="0" xfId="0" applyFill="1" applyProtection="1"/>
    <xf numFmtId="1" fontId="0" fillId="0" borderId="0" xfId="0" applyNumberFormat="1" applyBorder="1" applyAlignment="1" applyProtection="1">
      <alignment horizontal="center"/>
    </xf>
    <xf numFmtId="0" fontId="0" fillId="16" borderId="0" xfId="0" applyFill="1" applyProtection="1"/>
    <xf numFmtId="9" fontId="0" fillId="0" borderId="0" xfId="0" applyNumberFormat="1" applyBorder="1" applyAlignment="1" applyProtection="1">
      <alignment horizontal="center"/>
    </xf>
    <xf numFmtId="0" fontId="0" fillId="17" borderId="0" xfId="0" applyFill="1" applyProtection="1"/>
    <xf numFmtId="1" fontId="7" fillId="34" borderId="3" xfId="0" applyNumberFormat="1" applyFont="1" applyFill="1" applyBorder="1" applyAlignment="1" applyProtection="1">
      <alignment horizontal="left"/>
      <protection locked="0"/>
    </xf>
    <xf numFmtId="9" fontId="0" fillId="0" borderId="0" xfId="0" applyNumberFormat="1" applyFill="1" applyAlignment="1" applyProtection="1">
      <alignment horizontal="center"/>
      <protection locked="0"/>
    </xf>
    <xf numFmtId="9" fontId="7" fillId="34" borderId="3" xfId="0" applyNumberFormat="1" applyFont="1" applyFill="1" applyBorder="1" applyProtection="1">
      <protection locked="0"/>
    </xf>
    <xf numFmtId="1" fontId="0" fillId="0" borderId="0" xfId="0" applyNumberFormat="1" applyFill="1" applyAlignment="1" applyProtection="1">
      <alignment horizontal="center"/>
      <protection locked="0"/>
    </xf>
    <xf numFmtId="170" fontId="0" fillId="17" borderId="4" xfId="0" applyNumberFormat="1" applyFill="1" applyBorder="1" applyAlignment="1" applyProtection="1">
      <alignment horizontal="center"/>
      <protection locked="0"/>
    </xf>
    <xf numFmtId="4" fontId="0" fillId="0" borderId="0" xfId="0" applyNumberFormat="1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1" fontId="7" fillId="34" borderId="3" xfId="0" applyNumberFormat="1" applyFont="1" applyFill="1" applyBorder="1" applyAlignment="1" applyProtection="1">
      <alignment horizontal="left"/>
    </xf>
    <xf numFmtId="1" fontId="7" fillId="34" borderId="3" xfId="0" applyNumberFormat="1" applyFont="1" applyFill="1" applyBorder="1" applyAlignment="1" applyProtection="1">
      <alignment horizontal="center"/>
    </xf>
    <xf numFmtId="170" fontId="7" fillId="34" borderId="3" xfId="0" applyNumberFormat="1" applyFont="1" applyFill="1" applyBorder="1" applyAlignment="1" applyProtection="1">
      <alignment horizontal="center"/>
    </xf>
    <xf numFmtId="9" fontId="7" fillId="34" borderId="3" xfId="0" applyNumberFormat="1" applyFont="1" applyFill="1" applyBorder="1" applyAlignment="1" applyProtection="1">
      <alignment horizontal="center"/>
    </xf>
    <xf numFmtId="9" fontId="0" fillId="0" borderId="0" xfId="0" applyNumberFormat="1" applyFill="1" applyAlignment="1" applyProtection="1">
      <alignment horizontal="center"/>
    </xf>
    <xf numFmtId="10" fontId="7" fillId="34" borderId="3" xfId="0" applyNumberFormat="1" applyFont="1" applyFill="1" applyBorder="1" applyProtection="1"/>
    <xf numFmtId="0" fontId="7" fillId="34" borderId="3" xfId="0" applyFont="1" applyFill="1" applyBorder="1" applyProtection="1"/>
    <xf numFmtId="9" fontId="7" fillId="34" borderId="3" xfId="0" applyNumberFormat="1" applyFont="1" applyFill="1" applyBorder="1" applyProtection="1"/>
    <xf numFmtId="1" fontId="0" fillId="0" borderId="0" xfId="0" applyNumberFormat="1" applyAlignment="1" applyProtection="1">
      <alignment horizontal="center"/>
    </xf>
    <xf numFmtId="9" fontId="0" fillId="0" borderId="0" xfId="0" applyNumberFormat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70" fontId="0" fillId="0" borderId="0" xfId="0" applyNumberFormat="1" applyFill="1" applyAlignment="1" applyProtection="1">
      <alignment horizontal="center"/>
    </xf>
    <xf numFmtId="4" fontId="0" fillId="0" borderId="0" xfId="0" applyNumberForma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/>
      <protection locked="0"/>
    </xf>
    <xf numFmtId="9" fontId="0" fillId="0" borderId="0" xfId="0" applyNumberFormat="1" applyProtection="1">
      <protection locked="0"/>
    </xf>
    <xf numFmtId="9" fontId="0" fillId="17" borderId="37" xfId="0" applyNumberFormat="1" applyFill="1" applyBorder="1" applyAlignment="1" applyProtection="1">
      <alignment horizontal="center"/>
      <protection locked="0"/>
    </xf>
    <xf numFmtId="170" fontId="0" fillId="17" borderId="9" xfId="0" applyNumberFormat="1" applyFill="1" applyBorder="1" applyAlignment="1" applyProtection="1">
      <alignment horizontal="center"/>
      <protection locked="0"/>
    </xf>
    <xf numFmtId="167" fontId="0" fillId="0" borderId="0" xfId="0" applyNumberFormat="1" applyFill="1" applyAlignment="1" applyProtection="1">
      <alignment horizontal="center"/>
      <protection locked="0"/>
    </xf>
    <xf numFmtId="0" fontId="0" fillId="9" borderId="3" xfId="0" applyFill="1" applyBorder="1" applyProtection="1">
      <protection locked="0"/>
    </xf>
    <xf numFmtId="1" fontId="7" fillId="34" borderId="3" xfId="0" applyNumberFormat="1" applyFont="1" applyFill="1" applyBorder="1" applyProtection="1"/>
    <xf numFmtId="170" fontId="7" fillId="34" borderId="3" xfId="0" applyNumberFormat="1" applyFont="1" applyFill="1" applyBorder="1" applyProtection="1"/>
    <xf numFmtId="165" fontId="0" fillId="0" borderId="0" xfId="0" applyNumberFormat="1" applyFont="1" applyFill="1" applyBorder="1" applyAlignment="1" applyProtection="1">
      <alignment horizontal="left"/>
      <protection locked="0"/>
    </xf>
    <xf numFmtId="3" fontId="5" fillId="0" borderId="0" xfId="1" applyNumberFormat="1" applyFont="1" applyFill="1" applyBorder="1" applyAlignment="1" applyProtection="1">
      <alignment horizontal="left"/>
      <protection locked="0"/>
    </xf>
    <xf numFmtId="0" fontId="15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9" fontId="0" fillId="0" borderId="0" xfId="0" applyNumberFormat="1" applyProtection="1"/>
    <xf numFmtId="1" fontId="0" fillId="0" borderId="0" xfId="0" applyNumberFormat="1" applyFill="1" applyBorder="1" applyAlignment="1" applyProtection="1">
      <alignment horizontal="center"/>
    </xf>
    <xf numFmtId="9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Protection="1"/>
    <xf numFmtId="0" fontId="0" fillId="0" borderId="0" xfId="0" applyFill="1" applyBorder="1" applyProtection="1"/>
    <xf numFmtId="167" fontId="0" fillId="0" borderId="0" xfId="0" applyNumberFormat="1" applyFill="1" applyBorder="1" applyAlignment="1" applyProtection="1">
      <alignment horizontal="center"/>
    </xf>
    <xf numFmtId="165" fontId="0" fillId="0" borderId="0" xfId="0" applyNumberFormat="1" applyFont="1" applyFill="1" applyBorder="1" applyAlignment="1" applyProtection="1">
      <alignment horizontal="left"/>
    </xf>
    <xf numFmtId="0" fontId="15" fillId="0" borderId="0" xfId="0" applyFont="1" applyAlignment="1" applyProtection="1">
      <alignment horizontal="center"/>
    </xf>
    <xf numFmtId="0" fontId="0" fillId="21" borderId="0" xfId="0" applyFill="1" applyBorder="1" applyProtection="1">
      <protection locked="0"/>
    </xf>
    <xf numFmtId="0" fontId="0" fillId="21" borderId="0" xfId="0" applyFill="1" applyProtection="1">
      <protection locked="0"/>
    </xf>
    <xf numFmtId="0" fontId="0" fillId="17" borderId="3" xfId="0" applyFill="1" applyBorder="1" applyProtection="1">
      <protection locked="0"/>
    </xf>
    <xf numFmtId="9" fontId="0" fillId="17" borderId="3" xfId="0" applyNumberFormat="1" applyFill="1" applyBorder="1" applyProtection="1">
      <protection locked="0"/>
    </xf>
    <xf numFmtId="165" fontId="0" fillId="7" borderId="0" xfId="0" applyNumberFormat="1" applyFont="1" applyFill="1" applyBorder="1" applyAlignment="1" applyProtection="1">
      <alignment horizontal="left"/>
      <protection locked="0"/>
    </xf>
    <xf numFmtId="165" fontId="0" fillId="21" borderId="0" xfId="0" applyNumberFormat="1" applyFont="1" applyFill="1" applyBorder="1" applyAlignment="1" applyProtection="1">
      <alignment horizontal="left"/>
      <protection locked="0"/>
    </xf>
    <xf numFmtId="1" fontId="0" fillId="17" borderId="3" xfId="0" applyNumberFormat="1" applyFill="1" applyBorder="1" applyProtection="1">
      <protection locked="0"/>
    </xf>
    <xf numFmtId="165" fontId="0" fillId="22" borderId="0" xfId="0" applyNumberFormat="1" applyFont="1" applyFill="1" applyBorder="1" applyAlignment="1" applyProtection="1">
      <alignment horizontal="left"/>
      <protection locked="0"/>
    </xf>
    <xf numFmtId="9" fontId="0" fillId="0" borderId="0" xfId="0" applyNumberFormat="1" applyFill="1" applyBorder="1" applyProtection="1">
      <protection locked="0"/>
    </xf>
    <xf numFmtId="0" fontId="0" fillId="22" borderId="0" xfId="0" applyFont="1" applyFill="1" applyBorder="1" applyAlignment="1" applyProtection="1">
      <alignment horizontal="left"/>
      <protection locked="0"/>
    </xf>
    <xf numFmtId="0" fontId="0" fillId="23" borderId="0" xfId="0" applyFill="1" applyProtection="1">
      <protection locked="0"/>
    </xf>
    <xf numFmtId="167" fontId="0" fillId="23" borderId="3" xfId="0" applyNumberFormat="1" applyFill="1" applyBorder="1" applyProtection="1">
      <protection locked="0"/>
    </xf>
    <xf numFmtId="3" fontId="7" fillId="34" borderId="3" xfId="0" applyNumberFormat="1" applyFont="1" applyFill="1" applyBorder="1" applyProtection="1"/>
    <xf numFmtId="9" fontId="0" fillId="16" borderId="0" xfId="0" applyNumberFormat="1" applyFill="1" applyAlignment="1" applyProtection="1">
      <alignment horizontal="center"/>
      <protection locked="0"/>
    </xf>
    <xf numFmtId="9" fontId="0" fillId="23" borderId="3" xfId="0" applyNumberFormat="1" applyFill="1" applyBorder="1" applyAlignment="1" applyProtection="1">
      <alignment horizontal="center"/>
      <protection locked="0"/>
    </xf>
    <xf numFmtId="9" fontId="0" fillId="15" borderId="0" xfId="0" applyNumberFormat="1" applyFill="1" applyAlignment="1" applyProtection="1">
      <alignment horizontal="center"/>
      <protection locked="0"/>
    </xf>
    <xf numFmtId="0" fontId="0" fillId="15" borderId="0" xfId="0" applyFill="1" applyAlignment="1" applyProtection="1">
      <alignment horizontal="center"/>
      <protection locked="0"/>
    </xf>
    <xf numFmtId="9" fontId="0" fillId="9" borderId="0" xfId="0" applyNumberFormat="1" applyFill="1" applyAlignment="1" applyProtection="1">
      <alignment horizontal="center"/>
      <protection locked="0"/>
    </xf>
    <xf numFmtId="0" fontId="0" fillId="15" borderId="0" xfId="0" applyFill="1" applyAlignment="1" applyProtection="1">
      <protection locked="0"/>
    </xf>
    <xf numFmtId="0" fontId="7" fillId="34" borderId="3" xfId="0" applyFont="1" applyFill="1" applyBorder="1" applyAlignment="1" applyProtection="1">
      <alignment horizontal="center"/>
    </xf>
    <xf numFmtId="166" fontId="1" fillId="34" borderId="3" xfId="0" applyNumberFormat="1" applyFont="1" applyFill="1" applyBorder="1" applyAlignment="1" applyProtection="1">
      <alignment horizontal="center"/>
    </xf>
    <xf numFmtId="166" fontId="1" fillId="0" borderId="0" xfId="0" applyNumberFormat="1" applyFont="1" applyFill="1" applyAlignment="1" applyProtection="1">
      <alignment horizontal="center"/>
    </xf>
    <xf numFmtId="170" fontId="1" fillId="34" borderId="3" xfId="0" applyNumberFormat="1" applyFont="1" applyFill="1" applyBorder="1" applyAlignment="1" applyProtection="1">
      <alignment horizontal="center"/>
    </xf>
    <xf numFmtId="170" fontId="1" fillId="0" borderId="0" xfId="0" applyNumberFormat="1" applyFont="1" applyFill="1" applyAlignment="1" applyProtection="1">
      <alignment horizontal="center"/>
    </xf>
    <xf numFmtId="9" fontId="0" fillId="9" borderId="0" xfId="0" applyNumberFormat="1" applyFill="1" applyAlignment="1" applyProtection="1">
      <alignment horizontal="center"/>
    </xf>
    <xf numFmtId="166" fontId="7" fillId="34" borderId="3" xfId="0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166" fontId="0" fillId="0" borderId="0" xfId="0" applyNumberFormat="1" applyAlignment="1" applyProtection="1">
      <alignment horizontal="center"/>
    </xf>
    <xf numFmtId="170" fontId="0" fillId="0" borderId="0" xfId="0" applyNumberFormat="1" applyAlignment="1" applyProtection="1">
      <alignment horizontal="center"/>
    </xf>
    <xf numFmtId="9" fontId="0" fillId="16" borderId="0" xfId="0" applyNumberFormat="1" applyFill="1" applyAlignment="1" applyProtection="1">
      <alignment horizontal="center"/>
    </xf>
    <xf numFmtId="0" fontId="0" fillId="23" borderId="0" xfId="0" applyFill="1" applyProtection="1"/>
    <xf numFmtId="9" fontId="0" fillId="15" borderId="0" xfId="0" applyNumberFormat="1" applyFill="1" applyAlignment="1" applyProtection="1">
      <alignment horizontal="center"/>
    </xf>
    <xf numFmtId="0" fontId="0" fillId="15" borderId="0" xfId="0" applyFill="1" applyAlignment="1" applyProtection="1"/>
    <xf numFmtId="9" fontId="0" fillId="0" borderId="0" xfId="0" applyNumberFormat="1" applyAlignment="1" applyProtection="1"/>
    <xf numFmtId="9" fontId="0" fillId="15" borderId="0" xfId="0" applyNumberFormat="1" applyFill="1" applyAlignment="1" applyProtection="1"/>
    <xf numFmtId="0" fontId="0" fillId="14" borderId="0" xfId="0" applyFill="1" applyProtection="1"/>
    <xf numFmtId="2" fontId="0" fillId="17" borderId="3" xfId="0" applyNumberFormat="1" applyFill="1" applyBorder="1" applyAlignment="1" applyProtection="1">
      <alignment horizontal="center"/>
      <protection locked="0"/>
    </xf>
    <xf numFmtId="2" fontId="0" fillId="0" borderId="0" xfId="0" applyNumberFormat="1" applyFill="1" applyBorder="1" applyAlignment="1" applyProtection="1">
      <alignment horizontal="center"/>
      <protection locked="0"/>
    </xf>
    <xf numFmtId="2" fontId="0" fillId="17" borderId="37" xfId="0" applyNumberFormat="1" applyFill="1" applyBorder="1" applyAlignment="1" applyProtection="1">
      <alignment horizontal="center"/>
      <protection locked="0"/>
    </xf>
    <xf numFmtId="2" fontId="0" fillId="17" borderId="9" xfId="0" applyNumberFormat="1" applyFill="1" applyBorder="1" applyAlignment="1" applyProtection="1">
      <alignment horizontal="center"/>
      <protection locked="0"/>
    </xf>
    <xf numFmtId="4" fontId="0" fillId="17" borderId="3" xfId="0" applyNumberFormat="1" applyFill="1" applyBorder="1" applyAlignment="1" applyProtection="1">
      <alignment horizontal="center"/>
      <protection locked="0"/>
    </xf>
    <xf numFmtId="4" fontId="4" fillId="0" borderId="0" xfId="0" applyNumberFormat="1" applyFont="1" applyFill="1" applyBorder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2" fontId="4" fillId="0" borderId="0" xfId="0" applyNumberFormat="1" applyFont="1" applyFill="1" applyBorder="1" applyAlignment="1" applyProtection="1">
      <alignment horizontal="center"/>
    </xf>
    <xf numFmtId="0" fontId="0" fillId="9" borderId="0" xfId="0" applyFill="1" applyProtection="1"/>
    <xf numFmtId="166" fontId="0" fillId="0" borderId="0" xfId="0" applyNumberFormat="1" applyFill="1" applyAlignment="1" applyProtection="1">
      <alignment horizontal="center"/>
    </xf>
    <xf numFmtId="167" fontId="0" fillId="0" borderId="0" xfId="0" applyNumberFormat="1" applyAlignment="1" applyProtection="1">
      <alignment horizontal="center"/>
    </xf>
    <xf numFmtId="3" fontId="0" fillId="0" borderId="0" xfId="0" applyNumberFormat="1" applyAlignment="1" applyProtection="1">
      <alignment horizontal="center"/>
    </xf>
    <xf numFmtId="170" fontId="0" fillId="17" borderId="3" xfId="0" applyNumberFormat="1" applyFill="1" applyBorder="1" applyAlignment="1" applyProtection="1">
      <alignment horizontal="center"/>
    </xf>
    <xf numFmtId="170" fontId="0" fillId="17" borderId="4" xfId="0" applyNumberFormat="1" applyFill="1" applyBorder="1" applyAlignment="1" applyProtection="1">
      <alignment horizontal="center"/>
    </xf>
    <xf numFmtId="9" fontId="0" fillId="17" borderId="3" xfId="0" applyNumberFormat="1" applyFill="1" applyBorder="1" applyAlignment="1" applyProtection="1">
      <alignment horizontal="center"/>
    </xf>
    <xf numFmtId="9" fontId="0" fillId="21" borderId="3" xfId="0" applyNumberFormat="1" applyFill="1" applyBorder="1" applyAlignment="1" applyProtection="1">
      <alignment horizontal="center"/>
    </xf>
    <xf numFmtId="1" fontId="0" fillId="16" borderId="0" xfId="0" applyNumberFormat="1" applyFill="1" applyAlignment="1" applyProtection="1">
      <alignment horizontal="center"/>
    </xf>
    <xf numFmtId="0" fontId="0" fillId="18" borderId="0" xfId="0" applyFill="1" applyProtection="1"/>
    <xf numFmtId="9" fontId="0" fillId="18" borderId="0" xfId="0" applyNumberFormat="1" applyFill="1" applyAlignment="1" applyProtection="1">
      <alignment horizontal="center"/>
    </xf>
    <xf numFmtId="1" fontId="0" fillId="18" borderId="0" xfId="0" applyNumberFormat="1" applyFill="1" applyAlignment="1" applyProtection="1">
      <alignment horizontal="center"/>
    </xf>
    <xf numFmtId="1" fontId="0" fillId="5" borderId="0" xfId="0" applyNumberFormat="1" applyFill="1" applyAlignment="1" applyProtection="1">
      <alignment horizontal="center"/>
    </xf>
    <xf numFmtId="170" fontId="0" fillId="17" borderId="0" xfId="0" applyNumberFormat="1" applyFill="1" applyBorder="1" applyAlignment="1" applyProtection="1">
      <alignment horizontal="center"/>
    </xf>
    <xf numFmtId="9" fontId="0" fillId="23" borderId="3" xfId="0" applyNumberFormat="1" applyFill="1" applyBorder="1" applyAlignment="1" applyProtection="1">
      <alignment horizontal="center"/>
    </xf>
    <xf numFmtId="0" fontId="0" fillId="15" borderId="0" xfId="0" applyFill="1" applyAlignment="1" applyProtection="1">
      <alignment horizontal="center"/>
    </xf>
    <xf numFmtId="2" fontId="0" fillId="17" borderId="3" xfId="0" applyNumberFormat="1" applyFill="1" applyBorder="1" applyAlignment="1" applyProtection="1">
      <alignment horizontal="center"/>
    </xf>
    <xf numFmtId="2" fontId="0" fillId="17" borderId="4" xfId="0" applyNumberFormat="1" applyFill="1" applyBorder="1" applyAlignment="1" applyProtection="1">
      <alignment horizontal="center"/>
    </xf>
    <xf numFmtId="4" fontId="0" fillId="0" borderId="0" xfId="0" applyNumberFormat="1" applyAlignment="1" applyProtection="1">
      <alignment horizontal="center"/>
    </xf>
    <xf numFmtId="4" fontId="0" fillId="9" borderId="0" xfId="0" applyNumberFormat="1" applyFill="1" applyAlignment="1" applyProtection="1">
      <alignment horizontal="center"/>
    </xf>
    <xf numFmtId="0" fontId="0" fillId="0" borderId="0" xfId="0" applyAlignment="1" applyProtection="1"/>
    <xf numFmtId="1" fontId="0" fillId="17" borderId="3" xfId="0" applyNumberFormat="1" applyFill="1" applyBorder="1" applyAlignment="1" applyProtection="1">
      <alignment horizontal="center"/>
    </xf>
    <xf numFmtId="1" fontId="0" fillId="17" borderId="4" xfId="0" applyNumberFormat="1" applyFill="1" applyBorder="1" applyAlignment="1" applyProtection="1">
      <alignment horizontal="center"/>
    </xf>
    <xf numFmtId="166" fontId="0" fillId="17" borderId="4" xfId="0" applyNumberFormat="1" applyFill="1" applyBorder="1" applyAlignment="1" applyProtection="1">
      <alignment horizontal="center"/>
    </xf>
    <xf numFmtId="9" fontId="0" fillId="13" borderId="0" xfId="0" applyNumberFormat="1" applyFill="1" applyAlignment="1" applyProtection="1">
      <alignment horizontal="center"/>
    </xf>
    <xf numFmtId="0" fontId="0" fillId="21" borderId="0" xfId="0" applyFill="1" applyBorder="1" applyProtection="1"/>
    <xf numFmtId="0" fontId="0" fillId="20" borderId="0" xfId="0" applyFill="1" applyBorder="1" applyProtection="1"/>
    <xf numFmtId="0" fontId="0" fillId="17" borderId="3" xfId="0" applyFill="1" applyBorder="1" applyProtection="1"/>
    <xf numFmtId="9" fontId="0" fillId="17" borderId="3" xfId="0" applyNumberFormat="1" applyFill="1" applyBorder="1" applyProtection="1"/>
    <xf numFmtId="165" fontId="0" fillId="7" borderId="0" xfId="0" applyNumberFormat="1" applyFont="1" applyFill="1" applyBorder="1" applyAlignment="1" applyProtection="1">
      <alignment horizontal="left"/>
    </xf>
    <xf numFmtId="165" fontId="0" fillId="20" borderId="0" xfId="0" applyNumberFormat="1" applyFont="1" applyFill="1" applyBorder="1" applyAlignment="1" applyProtection="1">
      <alignment horizontal="left"/>
    </xf>
    <xf numFmtId="165" fontId="0" fillId="22" borderId="0" xfId="0" applyNumberFormat="1" applyFont="1" applyFill="1" applyBorder="1" applyAlignment="1" applyProtection="1">
      <alignment horizontal="left"/>
    </xf>
    <xf numFmtId="0" fontId="0" fillId="22" borderId="0" xfId="0" applyFont="1" applyFill="1" applyBorder="1" applyAlignment="1" applyProtection="1">
      <alignment horizontal="left"/>
    </xf>
    <xf numFmtId="3" fontId="0" fillId="0" borderId="0" xfId="0" applyNumberFormat="1" applyBorder="1"/>
    <xf numFmtId="2" fontId="0" fillId="0" borderId="0" xfId="0" applyNumberFormat="1"/>
    <xf numFmtId="9" fontId="0" fillId="15" borderId="3" xfId="0" applyNumberFormat="1" applyFill="1" applyBorder="1"/>
    <xf numFmtId="10" fontId="0" fillId="15" borderId="3" xfId="0" applyNumberFormat="1" applyFill="1" applyBorder="1"/>
    <xf numFmtId="0" fontId="0" fillId="15" borderId="3" xfId="0" applyFill="1" applyBorder="1"/>
    <xf numFmtId="1" fontId="0" fillId="0" borderId="0" xfId="0" applyNumberFormat="1" applyBorder="1"/>
    <xf numFmtId="9" fontId="0" fillId="0" borderId="0" xfId="0" applyNumberFormat="1" applyFill="1" applyBorder="1"/>
    <xf numFmtId="1" fontId="12" fillId="14" borderId="5" xfId="1" applyNumberFormat="1" applyFont="1" applyFill="1" applyBorder="1" applyAlignment="1">
      <alignment horizontal="center"/>
    </xf>
    <xf numFmtId="1" fontId="1" fillId="33" borderId="3" xfId="0" applyNumberFormat="1" applyFont="1" applyFill="1" applyBorder="1" applyAlignment="1" applyProtection="1">
      <alignment horizontal="center"/>
    </xf>
    <xf numFmtId="0" fontId="1" fillId="33" borderId="3" xfId="0" applyFont="1" applyFill="1" applyBorder="1" applyAlignment="1" applyProtection="1">
      <alignment horizontal="center"/>
    </xf>
    <xf numFmtId="1" fontId="1" fillId="33" borderId="6" xfId="0" applyNumberFormat="1" applyFont="1" applyFill="1" applyBorder="1" applyAlignment="1" applyProtection="1">
      <alignment horizontal="center"/>
    </xf>
    <xf numFmtId="9" fontId="0" fillId="0" borderId="0" xfId="0" applyNumberFormat="1" applyBorder="1" applyAlignment="1" applyProtection="1">
      <alignment horizontal="center"/>
    </xf>
    <xf numFmtId="170" fontId="1" fillId="33" borderId="3" xfId="0" applyNumberFormat="1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166" fontId="1" fillId="33" borderId="3" xfId="0" applyNumberFormat="1" applyFont="1" applyFill="1" applyBorder="1" applyAlignment="1" applyProtection="1">
      <alignment horizontal="center"/>
    </xf>
    <xf numFmtId="166" fontId="0" fillId="0" borderId="0" xfId="0" applyNumberFormat="1" applyFill="1" applyBorder="1" applyAlignment="1" applyProtection="1">
      <alignment horizontal="center"/>
    </xf>
    <xf numFmtId="170" fontId="0" fillId="0" borderId="0" xfId="0" applyNumberFormat="1" applyFill="1" applyBorder="1" applyAlignment="1" applyProtection="1">
      <alignment horizontal="center"/>
    </xf>
    <xf numFmtId="9" fontId="0" fillId="17" borderId="3" xfId="0" applyNumberFormat="1" applyFill="1" applyBorder="1" applyAlignment="1" applyProtection="1">
      <alignment horizontal="center"/>
      <protection locked="0"/>
    </xf>
    <xf numFmtId="9" fontId="7" fillId="33" borderId="3" xfId="0" applyNumberFormat="1" applyFont="1" applyFill="1" applyBorder="1" applyAlignment="1" applyProtection="1">
      <alignment horizontal="center"/>
    </xf>
    <xf numFmtId="0" fontId="1" fillId="33" borderId="6" xfId="0" applyFont="1" applyFill="1" applyBorder="1" applyAlignment="1" applyProtection="1">
      <alignment horizontal="center"/>
    </xf>
    <xf numFmtId="166" fontId="1" fillId="33" borderId="6" xfId="0" applyNumberFormat="1" applyFont="1" applyFill="1" applyBorder="1" applyAlignment="1" applyProtection="1">
      <alignment horizontal="center"/>
    </xf>
    <xf numFmtId="170" fontId="1" fillId="33" borderId="6" xfId="0" applyNumberFormat="1" applyFont="1" applyFill="1" applyBorder="1" applyAlignment="1" applyProtection="1">
      <alignment horizontal="center"/>
    </xf>
    <xf numFmtId="9" fontId="0" fillId="17" borderId="8" xfId="0" applyNumberFormat="1" applyFill="1" applyBorder="1" applyAlignment="1" applyProtection="1">
      <alignment horizontal="center"/>
      <protection locked="0"/>
    </xf>
    <xf numFmtId="9" fontId="0" fillId="17" borderId="6" xfId="0" applyNumberFormat="1" applyFill="1" applyBorder="1" applyAlignment="1" applyProtection="1">
      <alignment horizontal="center"/>
      <protection locked="0"/>
    </xf>
    <xf numFmtId="9" fontId="7" fillId="33" borderId="6" xfId="0" applyNumberFormat="1" applyFont="1" applyFill="1" applyBorder="1" applyAlignment="1" applyProtection="1">
      <alignment horizontal="center"/>
    </xf>
    <xf numFmtId="1" fontId="7" fillId="34" borderId="3" xfId="0" applyNumberFormat="1" applyFont="1" applyFill="1" applyBorder="1" applyAlignment="1" applyProtection="1">
      <alignment horizontal="center"/>
    </xf>
    <xf numFmtId="0" fontId="7" fillId="34" borderId="3" xfId="0" applyFont="1" applyFill="1" applyBorder="1" applyAlignment="1" applyProtection="1">
      <alignment horizontal="center"/>
    </xf>
    <xf numFmtId="166" fontId="1" fillId="34" borderId="3" xfId="0" applyNumberFormat="1" applyFont="1" applyFill="1" applyBorder="1" applyAlignment="1" applyProtection="1">
      <alignment horizontal="center"/>
    </xf>
    <xf numFmtId="170" fontId="1" fillId="34" borderId="3" xfId="0" applyNumberFormat="1" applyFont="1" applyFill="1" applyBorder="1" applyAlignment="1" applyProtection="1">
      <alignment horizontal="center"/>
    </xf>
    <xf numFmtId="166" fontId="0" fillId="0" borderId="0" xfId="0" applyNumberFormat="1" applyAlignment="1" applyProtection="1">
      <alignment horizontal="center"/>
    </xf>
    <xf numFmtId="170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1" fontId="7" fillId="34" borderId="4" xfId="0" applyNumberFormat="1" applyFont="1" applyFill="1" applyBorder="1" applyAlignment="1" applyProtection="1">
      <alignment horizontal="center"/>
    </xf>
    <xf numFmtId="1" fontId="7" fillId="34" borderId="6" xfId="0" applyNumberFormat="1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166" fontId="0" fillId="0" borderId="0" xfId="0" applyNumberFormat="1" applyFill="1" applyBorder="1" applyAlignment="1" applyProtection="1">
      <alignment horizontal="center"/>
      <protection locked="0"/>
    </xf>
    <xf numFmtId="170" fontId="0" fillId="0" borderId="0" xfId="0" applyNumberFormat="1" applyFill="1" applyBorder="1" applyAlignment="1" applyProtection="1">
      <alignment horizontal="center"/>
      <protection locked="0"/>
    </xf>
    <xf numFmtId="9" fontId="0" fillId="0" borderId="0" xfId="0" applyNumberFormat="1" applyAlignment="1" applyProtection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9" fontId="0" fillId="0" borderId="14" xfId="0" applyNumberFormat="1" applyBorder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</xf>
    <xf numFmtId="3" fontId="6" fillId="19" borderId="0" xfId="1" applyNumberFormat="1" applyFont="1" applyFill="1" applyBorder="1" applyAlignment="1">
      <alignment horizontal="left" indent="1"/>
    </xf>
    <xf numFmtId="3" fontId="6" fillId="0" borderId="0" xfId="1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1" fontId="12" fillId="14" borderId="5" xfId="1" applyNumberFormat="1" applyFont="1" applyFill="1" applyBorder="1" applyAlignment="1">
      <alignment horizontal="center"/>
    </xf>
    <xf numFmtId="1" fontId="6" fillId="0" borderId="60" xfId="1" applyNumberFormat="1" applyFont="1" applyFill="1" applyBorder="1" applyAlignment="1">
      <alignment horizontal="center" textRotation="90" wrapText="1"/>
    </xf>
    <xf numFmtId="1" fontId="6" fillId="0" borderId="12" xfId="1" applyNumberFormat="1" applyFont="1" applyFill="1" applyBorder="1" applyAlignment="1">
      <alignment horizontal="center" textRotation="90" wrapText="1"/>
    </xf>
    <xf numFmtId="1" fontId="6" fillId="0" borderId="28" xfId="1" applyNumberFormat="1" applyFont="1" applyFill="1" applyBorder="1" applyAlignment="1">
      <alignment horizontal="center" textRotation="90" wrapText="1"/>
    </xf>
    <xf numFmtId="1" fontId="6" fillId="0" borderId="61" xfId="1" applyNumberFormat="1" applyFont="1" applyFill="1" applyBorder="1" applyAlignment="1">
      <alignment horizontal="center" textRotation="90" wrapText="1"/>
    </xf>
    <xf numFmtId="1" fontId="6" fillId="0" borderId="62" xfId="1" applyNumberFormat="1" applyFont="1" applyFill="1" applyBorder="1" applyAlignment="1">
      <alignment horizontal="center" textRotation="90" wrapText="1"/>
    </xf>
    <xf numFmtId="1" fontId="6" fillId="0" borderId="29" xfId="1" applyNumberFormat="1" applyFont="1" applyFill="1" applyBorder="1" applyAlignment="1">
      <alignment horizontal="center" textRotation="90" wrapText="1"/>
    </xf>
    <xf numFmtId="3" fontId="6" fillId="0" borderId="1" xfId="32" applyNumberFormat="1" applyFont="1" applyFill="1" applyBorder="1" applyAlignment="1" applyProtection="1">
      <alignment horizontal="left"/>
      <protection locked="0"/>
    </xf>
    <xf numFmtId="3" fontId="6" fillId="0" borderId="26" xfId="32" applyNumberFormat="1" applyFont="1" applyFill="1" applyBorder="1" applyAlignment="1" applyProtection="1">
      <alignment horizontal="left"/>
      <protection locked="0"/>
    </xf>
    <xf numFmtId="1" fontId="10" fillId="14" borderId="0" xfId="1" applyNumberFormat="1" applyFont="1" applyFill="1" applyAlignment="1">
      <alignment horizontal="center"/>
    </xf>
    <xf numFmtId="1" fontId="11" fillId="0" borderId="0" xfId="0" applyNumberFormat="1" applyFont="1" applyFill="1" applyAlignment="1">
      <alignment horizontal="center" vertical="top"/>
    </xf>
    <xf numFmtId="1" fontId="6" fillId="14" borderId="60" xfId="1" applyNumberFormat="1" applyFill="1" applyBorder="1" applyAlignment="1">
      <alignment horizontal="center" textRotation="90" wrapText="1"/>
    </xf>
    <xf numFmtId="1" fontId="6" fillId="14" borderId="12" xfId="1" applyNumberFormat="1" applyFill="1" applyBorder="1" applyAlignment="1">
      <alignment horizontal="center" textRotation="90" wrapText="1"/>
    </xf>
    <xf numFmtId="1" fontId="6" fillId="14" borderId="28" xfId="1" applyNumberFormat="1" applyFill="1" applyBorder="1" applyAlignment="1">
      <alignment horizontal="center" textRotation="90" wrapText="1"/>
    </xf>
    <xf numFmtId="1" fontId="6" fillId="14" borderId="61" xfId="1" applyNumberFormat="1" applyFill="1" applyBorder="1" applyAlignment="1">
      <alignment horizontal="center" textRotation="90" wrapText="1"/>
    </xf>
    <xf numFmtId="1" fontId="6" fillId="14" borderId="62" xfId="1" applyNumberFormat="1" applyFill="1" applyBorder="1" applyAlignment="1">
      <alignment horizontal="center" textRotation="90" wrapText="1"/>
    </xf>
    <xf numFmtId="1" fontId="6" fillId="14" borderId="29" xfId="1" applyNumberFormat="1" applyFill="1" applyBorder="1" applyAlignment="1">
      <alignment horizontal="center" textRotation="90" wrapText="1"/>
    </xf>
    <xf numFmtId="1" fontId="12" fillId="14" borderId="5" xfId="0" applyNumberFormat="1" applyFont="1" applyFill="1" applyBorder="1" applyAlignment="1">
      <alignment horizontal="center"/>
    </xf>
    <xf numFmtId="3" fontId="0" fillId="0" borderId="1" xfId="0" applyNumberFormat="1" applyFill="1" applyBorder="1" applyAlignment="1" applyProtection="1">
      <alignment horizontal="left"/>
      <protection locked="0"/>
    </xf>
    <xf numFmtId="3" fontId="0" fillId="0" borderId="26" xfId="0" applyNumberFormat="1" applyFill="1" applyBorder="1" applyAlignment="1" applyProtection="1">
      <alignment horizontal="left"/>
      <protection locked="0"/>
    </xf>
    <xf numFmtId="1" fontId="10" fillId="14" borderId="0" xfId="0" applyNumberFormat="1" applyFont="1" applyFill="1" applyAlignment="1">
      <alignment horizontal="center"/>
    </xf>
    <xf numFmtId="3" fontId="0" fillId="14" borderId="1" xfId="0" applyNumberFormat="1" applyFill="1" applyBorder="1" applyAlignment="1" applyProtection="1">
      <alignment horizontal="left"/>
      <protection locked="0"/>
    </xf>
    <xf numFmtId="3" fontId="0" fillId="14" borderId="26" xfId="0" applyNumberFormat="1" applyFill="1" applyBorder="1" applyAlignment="1" applyProtection="1">
      <alignment horizontal="left"/>
      <protection locked="0"/>
    </xf>
    <xf numFmtId="3" fontId="6" fillId="14" borderId="1" xfId="1" applyNumberFormat="1" applyFill="1" applyBorder="1" applyAlignment="1" applyProtection="1">
      <alignment horizontal="left"/>
      <protection locked="0"/>
    </xf>
    <xf numFmtId="3" fontId="6" fillId="14" borderId="26" xfId="1" applyNumberFormat="1" applyFill="1" applyBorder="1" applyAlignment="1" applyProtection="1">
      <alignment horizontal="left"/>
      <protection locked="0"/>
    </xf>
  </cellXfs>
  <cellStyles count="34">
    <cellStyle name="1000-sep (2 dec) 2" xfId="5" xr:uid="{00000000-0005-0000-0000-000000000000}"/>
    <cellStyle name="God" xfId="32" builtinId="26"/>
    <cellStyle name="Komma" xfId="6" builtinId="3"/>
    <cellStyle name="Komma 2" xfId="11" xr:uid="{00000000-0005-0000-0000-000003000000}"/>
    <cellStyle name="Komma 2 2" xfId="28" xr:uid="{00000000-0005-0000-0000-000004000000}"/>
    <cellStyle name="Komma 2 3" xfId="3" xr:uid="{00000000-0005-0000-0000-000005000000}"/>
    <cellStyle name="Komma 3" xfId="25" xr:uid="{00000000-0005-0000-0000-000006000000}"/>
    <cellStyle name="Komma 3 2" xfId="29" xr:uid="{00000000-0005-0000-0000-000007000000}"/>
    <cellStyle name="Normal" xfId="0" builtinId="0"/>
    <cellStyle name="Normal 10" xfId="26" xr:uid="{00000000-0005-0000-0000-000009000000}"/>
    <cellStyle name="Normal 11" xfId="23" xr:uid="{00000000-0005-0000-0000-00000A000000}"/>
    <cellStyle name="Normal 117" xfId="21" xr:uid="{00000000-0005-0000-0000-00000B000000}"/>
    <cellStyle name="Normal 118" xfId="19" xr:uid="{00000000-0005-0000-0000-00000C000000}"/>
    <cellStyle name="Normal 121" xfId="8" xr:uid="{00000000-0005-0000-0000-00000D000000}"/>
    <cellStyle name="Normal 123" xfId="16" xr:uid="{00000000-0005-0000-0000-00000E000000}"/>
    <cellStyle name="Normal 126" xfId="20" xr:uid="{00000000-0005-0000-0000-00000F000000}"/>
    <cellStyle name="Normal 2 2" xfId="1" xr:uid="{00000000-0005-0000-0000-000010000000}"/>
    <cellStyle name="Normal 3" xfId="2" xr:uid="{00000000-0005-0000-0000-000011000000}"/>
    <cellStyle name="Normal 5" xfId="14" xr:uid="{00000000-0005-0000-0000-000012000000}"/>
    <cellStyle name="Normal 6" xfId="18" xr:uid="{00000000-0005-0000-0000-000013000000}"/>
    <cellStyle name="Normal 7" xfId="7" xr:uid="{00000000-0005-0000-0000-000014000000}"/>
    <cellStyle name="Normal 8" xfId="15" xr:uid="{00000000-0005-0000-0000-000015000000}"/>
    <cellStyle name="Normal 9" xfId="10" xr:uid="{00000000-0005-0000-0000-000016000000}"/>
    <cellStyle name="Normal_2009" xfId="31" xr:uid="{00000000-0005-0000-0000-000017000000}"/>
    <cellStyle name="Normal_2010" xfId="30" xr:uid="{00000000-0005-0000-0000-000018000000}"/>
    <cellStyle name="Procent 14" xfId="9" xr:uid="{00000000-0005-0000-0000-000019000000}"/>
    <cellStyle name="Procent 2" xfId="4" xr:uid="{00000000-0005-0000-0000-00001A000000}"/>
    <cellStyle name="Procent 2 2" xfId="22" xr:uid="{00000000-0005-0000-0000-00001B000000}"/>
    <cellStyle name="Procent 3" xfId="13" xr:uid="{00000000-0005-0000-0000-00001C000000}"/>
    <cellStyle name="Procent 4" xfId="17" xr:uid="{00000000-0005-0000-0000-00001D000000}"/>
    <cellStyle name="Procent 5" xfId="12" xr:uid="{00000000-0005-0000-0000-00001E000000}"/>
    <cellStyle name="Procent 6" xfId="27" xr:uid="{00000000-0005-0000-0000-00001F000000}"/>
    <cellStyle name="Procent 7" xfId="24" xr:uid="{00000000-0005-0000-0000-000020000000}"/>
    <cellStyle name="Ugyldig" xfId="33" builtinId="27"/>
  </cellStyles>
  <dxfs count="0"/>
  <tableStyles count="0" defaultTableStyle="TableStyleMedium2" defaultPivotStyle="PivotStyleLight16"/>
  <colors>
    <mruColors>
      <color rgb="FFFFEDB3"/>
      <color rgb="FFD6DCE4"/>
      <color rgb="FFBFBFBF"/>
      <color rgb="FFFFE69F"/>
      <color rgb="FFFFB9B9"/>
      <color rgb="FFFFFBEF"/>
      <color rgb="FF8EA9DB"/>
      <color rgb="FFFFF2CC"/>
      <color rgb="FFFFDC6D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1471794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22758"/>
        </a:xfrm>
        <a:prstGeom prst="rect">
          <a:avLst/>
        </a:prstGeom>
      </xdr:spPr>
    </xdr:pic>
    <xdr:clientData/>
  </xdr:twoCellAnchor>
  <xdr:twoCellAnchor editAs="oneCell">
    <xdr:from>
      <xdr:col>24</xdr:col>
      <xdr:colOff>689428</xdr:colOff>
      <xdr:row>87</xdr:row>
      <xdr:rowOff>317500</xdr:rowOff>
    </xdr:from>
    <xdr:to>
      <xdr:col>24</xdr:col>
      <xdr:colOff>2739571</xdr:colOff>
      <xdr:row>87</xdr:row>
      <xdr:rowOff>879928</xdr:rowOff>
    </xdr:to>
    <xdr:pic>
      <xdr:nvPicPr>
        <xdr:cNvPr id="9" name="Billede 8" descr="167586_planenergi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9828" y="19538950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10" name="Billede 9" descr="167586_planenergi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9113" y="19493592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1" name="Gruppe 3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2" name="Picture 9" descr="RM's logo">
            <a:extLst>
              <a:ext uri="{FF2B5EF4-FFF2-40B4-BE49-F238E27FC236}">
                <a16:creationId xmlns:a16="http://schemas.microsoft.com/office/drawing/2014/main" id="{00000000-0008-0000-17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Billede 0" descr="logo.wmf">
            <a:extLst>
              <a:ext uri="{FF2B5EF4-FFF2-40B4-BE49-F238E27FC236}">
                <a16:creationId xmlns:a16="http://schemas.microsoft.com/office/drawing/2014/main" id="{00000000-0008-0000-17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4" name="Gruppe 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5" name="Picture 9" descr="RM's logo">
            <a:extLst>
              <a:ext uri="{FF2B5EF4-FFF2-40B4-BE49-F238E27FC236}">
                <a16:creationId xmlns:a16="http://schemas.microsoft.com/office/drawing/2014/main" id="{00000000-0008-0000-17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Billede 0" descr="logo.wmf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8" name="Gruppe 3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9" name="Picture 9" descr="RM's logo">
            <a:extLst>
              <a:ext uri="{FF2B5EF4-FFF2-40B4-BE49-F238E27FC236}">
                <a16:creationId xmlns:a16="http://schemas.microsoft.com/office/drawing/2014/main" id="{00000000-0008-0000-17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Billede 0" descr="logo.wmf">
            <a:extLst>
              <a:ext uri="{FF2B5EF4-FFF2-40B4-BE49-F238E27FC236}">
                <a16:creationId xmlns:a16="http://schemas.microsoft.com/office/drawing/2014/main" id="{00000000-0008-0000-17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2" name="Gruppe 3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23" name="Picture 9" descr="RM's logo">
            <a:extLst>
              <a:ext uri="{FF2B5EF4-FFF2-40B4-BE49-F238E27FC236}">
                <a16:creationId xmlns:a16="http://schemas.microsoft.com/office/drawing/2014/main" id="{00000000-0008-0000-17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Billede 0" descr="logo.wmf">
            <a:extLst>
              <a:ext uri="{FF2B5EF4-FFF2-40B4-BE49-F238E27FC236}">
                <a16:creationId xmlns:a16="http://schemas.microsoft.com/office/drawing/2014/main" id="{00000000-0008-0000-17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6" name="Gruppe 3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27" name="Picture 9" descr="RM's logo">
            <a:extLst>
              <a:ext uri="{FF2B5EF4-FFF2-40B4-BE49-F238E27FC236}">
                <a16:creationId xmlns:a16="http://schemas.microsoft.com/office/drawing/2014/main" id="{00000000-0008-0000-17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Billede 0" descr="logo.wmf">
            <a:extLst>
              <a:ext uri="{FF2B5EF4-FFF2-40B4-BE49-F238E27FC236}">
                <a16:creationId xmlns:a16="http://schemas.microsoft.com/office/drawing/2014/main" id="{00000000-0008-0000-17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47" y="159203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0" name="Gruppe 3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31" name="Picture 9" descr="RM's logo">
            <a:extLst>
              <a:ext uri="{FF2B5EF4-FFF2-40B4-BE49-F238E27FC236}">
                <a16:creationId xmlns:a16="http://schemas.microsoft.com/office/drawing/2014/main" id="{00000000-0008-0000-17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Billede 0" descr="logo.wmf">
            <a:extLst>
              <a:ext uri="{FF2B5EF4-FFF2-40B4-BE49-F238E27FC236}">
                <a16:creationId xmlns:a16="http://schemas.microsoft.com/office/drawing/2014/main" id="{00000000-0008-0000-17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47" y="1592036"/>
          <a:ext cx="2105873" cy="1015919"/>
        </a:xfrm>
        <a:prstGeom prst="rect">
          <a:avLst/>
        </a:prstGeom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34" name="Billede 33" descr="167586_planenergi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3488" y="18826842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8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8" name="Gruppe 3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9" name="Picture 9" descr="RM's logo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Billede 0" descr="logo.wmf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1" name="Gruppe 3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2" name="Picture 9" descr="RM's logo">
            <a:extLst>
              <a:ext uri="{FF2B5EF4-FFF2-40B4-BE49-F238E27FC236}">
                <a16:creationId xmlns:a16="http://schemas.microsoft.com/office/drawing/2014/main" id="{00000000-0008-0000-18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Billede 0" descr="logo.wmf">
            <a:extLst>
              <a:ext uri="{FF2B5EF4-FFF2-40B4-BE49-F238E27FC236}">
                <a16:creationId xmlns:a16="http://schemas.microsoft.com/office/drawing/2014/main" id="{00000000-0008-0000-18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4" name="Gruppe 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5" name="Picture 9" descr="RM's logo">
            <a:extLst>
              <a:ext uri="{FF2B5EF4-FFF2-40B4-BE49-F238E27FC236}">
                <a16:creationId xmlns:a16="http://schemas.microsoft.com/office/drawing/2014/main" id="{00000000-0008-0000-18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Billede 0" descr="logo.wmf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17" name="Billede 16" descr="167586_planenergi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86" y="19566164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8" name="Gruppe 3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9" name="Picture 9" descr="RM's logo">
            <a:extLst>
              <a:ext uri="{FF2B5EF4-FFF2-40B4-BE49-F238E27FC236}">
                <a16:creationId xmlns:a16="http://schemas.microsoft.com/office/drawing/2014/main" id="{00000000-0008-0000-18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Billede 0" descr="logo.wmf">
            <a:extLst>
              <a:ext uri="{FF2B5EF4-FFF2-40B4-BE49-F238E27FC236}">
                <a16:creationId xmlns:a16="http://schemas.microsoft.com/office/drawing/2014/main" id="{00000000-0008-0000-18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1" name="Gruppe 3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22" name="Picture 9" descr="RM's logo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Billede 0" descr="logo.wmf">
            <a:extLst>
              <a:ext uri="{FF2B5EF4-FFF2-40B4-BE49-F238E27FC236}">
                <a16:creationId xmlns:a16="http://schemas.microsoft.com/office/drawing/2014/main" id="{00000000-0008-0000-18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4" name="Gruppe 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25" name="Picture 9" descr="RM's logo">
            <a:extLst>
              <a:ext uri="{FF2B5EF4-FFF2-40B4-BE49-F238E27FC236}">
                <a16:creationId xmlns:a16="http://schemas.microsoft.com/office/drawing/2014/main" id="{00000000-0008-0000-18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6" name="Billede 0" descr="logo.wmf">
            <a:extLst>
              <a:ext uri="{FF2B5EF4-FFF2-40B4-BE49-F238E27FC236}">
                <a16:creationId xmlns:a16="http://schemas.microsoft.com/office/drawing/2014/main" id="{00000000-0008-0000-18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1471794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22758"/>
        </a:xfrm>
        <a:prstGeom prst="rect">
          <a:avLst/>
        </a:prstGeom>
      </xdr:spPr>
    </xdr:pic>
    <xdr:clientData/>
  </xdr:twoCellAnchor>
  <xdr:twoCellAnchor editAs="oneCell">
    <xdr:from>
      <xdr:col>24</xdr:col>
      <xdr:colOff>689428</xdr:colOff>
      <xdr:row>87</xdr:row>
      <xdr:rowOff>317500</xdr:rowOff>
    </xdr:from>
    <xdr:to>
      <xdr:col>24</xdr:col>
      <xdr:colOff>2739571</xdr:colOff>
      <xdr:row>87</xdr:row>
      <xdr:rowOff>879928</xdr:rowOff>
    </xdr:to>
    <xdr:pic>
      <xdr:nvPicPr>
        <xdr:cNvPr id="28" name="Billede 27" descr="167586_planenergi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9828" y="19538950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29" name="Billede 28" descr="167586_planenergi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9113" y="19493592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0" name="Gruppe 3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31" name="Picture 9" descr="RM's logo">
            <a:extLst>
              <a:ext uri="{FF2B5EF4-FFF2-40B4-BE49-F238E27FC236}">
                <a16:creationId xmlns:a16="http://schemas.microsoft.com/office/drawing/2014/main" id="{00000000-0008-0000-18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Billede 0" descr="logo.wmf">
            <a:extLst>
              <a:ext uri="{FF2B5EF4-FFF2-40B4-BE49-F238E27FC236}">
                <a16:creationId xmlns:a16="http://schemas.microsoft.com/office/drawing/2014/main" id="{00000000-0008-0000-18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3" name="Gruppe 3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34" name="Picture 9" descr="RM's logo">
            <a:extLst>
              <a:ext uri="{FF2B5EF4-FFF2-40B4-BE49-F238E27FC236}">
                <a16:creationId xmlns:a16="http://schemas.microsoft.com/office/drawing/2014/main" id="{00000000-0008-0000-18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5" name="Billede 0" descr="logo.wmf">
            <a:extLst>
              <a:ext uri="{FF2B5EF4-FFF2-40B4-BE49-F238E27FC236}">
                <a16:creationId xmlns:a16="http://schemas.microsoft.com/office/drawing/2014/main" id="{00000000-0008-0000-18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7" name="Gruppe 3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38" name="Picture 9" descr="RM's logo">
            <a:extLst>
              <a:ext uri="{FF2B5EF4-FFF2-40B4-BE49-F238E27FC236}">
                <a16:creationId xmlns:a16="http://schemas.microsoft.com/office/drawing/2014/main" id="{00000000-0008-0000-18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Billede 0" descr="logo.wmf">
            <a:extLst>
              <a:ext uri="{FF2B5EF4-FFF2-40B4-BE49-F238E27FC236}">
                <a16:creationId xmlns:a16="http://schemas.microsoft.com/office/drawing/2014/main" id="{00000000-0008-0000-18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41" name="Gruppe 3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42" name="Picture 9" descr="RM's logo">
            <a:extLst>
              <a:ext uri="{FF2B5EF4-FFF2-40B4-BE49-F238E27FC236}">
                <a16:creationId xmlns:a16="http://schemas.microsoft.com/office/drawing/2014/main" id="{00000000-0008-0000-18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3" name="Billede 0" descr="logo.wmf">
            <a:extLst>
              <a:ext uri="{FF2B5EF4-FFF2-40B4-BE49-F238E27FC236}">
                <a16:creationId xmlns:a16="http://schemas.microsoft.com/office/drawing/2014/main" id="{00000000-0008-0000-1800-00002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44" name="Billede 43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45" name="Billede 44" descr="167586_planenergi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3488" y="18826842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46" name="Gruppe 3">
          <a:extLst>
            <a:ext uri="{FF2B5EF4-FFF2-40B4-BE49-F238E27FC236}">
              <a16:creationId xmlns:a16="http://schemas.microsoft.com/office/drawing/2014/main" id="{022FFA6C-BA42-4577-9009-F285532D1237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47" name="Picture 9" descr="RM's logo">
            <a:extLst>
              <a:ext uri="{FF2B5EF4-FFF2-40B4-BE49-F238E27FC236}">
                <a16:creationId xmlns:a16="http://schemas.microsoft.com/office/drawing/2014/main" id="{D316E381-BA88-4956-8526-B5F4150464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8" name="Billede 0" descr="logo.wmf">
            <a:extLst>
              <a:ext uri="{FF2B5EF4-FFF2-40B4-BE49-F238E27FC236}">
                <a16:creationId xmlns:a16="http://schemas.microsoft.com/office/drawing/2014/main" id="{ABAF38B5-9463-4487-B154-270C4F18DE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49" name="Gruppe 3">
          <a:extLst>
            <a:ext uri="{FF2B5EF4-FFF2-40B4-BE49-F238E27FC236}">
              <a16:creationId xmlns:a16="http://schemas.microsoft.com/office/drawing/2014/main" id="{17B3E30A-D8B3-47F3-B7CA-2542A18A4D4F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50" name="Picture 9" descr="RM's logo">
            <a:extLst>
              <a:ext uri="{FF2B5EF4-FFF2-40B4-BE49-F238E27FC236}">
                <a16:creationId xmlns:a16="http://schemas.microsoft.com/office/drawing/2014/main" id="{7C1F9BAA-BE2E-4688-B326-A74429352D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1" name="Billede 0" descr="logo.wmf">
            <a:extLst>
              <a:ext uri="{FF2B5EF4-FFF2-40B4-BE49-F238E27FC236}">
                <a16:creationId xmlns:a16="http://schemas.microsoft.com/office/drawing/2014/main" id="{A326F55A-DB8A-4D56-9887-507A2CDC4EB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1471794</xdr:rowOff>
    </xdr:to>
    <xdr:pic>
      <xdr:nvPicPr>
        <xdr:cNvPr id="52" name="Billede 51">
          <a:extLst>
            <a:ext uri="{FF2B5EF4-FFF2-40B4-BE49-F238E27FC236}">
              <a16:creationId xmlns:a16="http://schemas.microsoft.com/office/drawing/2014/main" id="{4EF5997D-8969-43F6-B4B7-58E966A1D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22758"/>
        </a:xfrm>
        <a:prstGeom prst="rect">
          <a:avLst/>
        </a:prstGeom>
      </xdr:spPr>
    </xdr:pic>
    <xdr:clientData/>
  </xdr:twoCellAnchor>
  <xdr:twoCellAnchor editAs="oneCell">
    <xdr:from>
      <xdr:col>24</xdr:col>
      <xdr:colOff>689428</xdr:colOff>
      <xdr:row>87</xdr:row>
      <xdr:rowOff>317500</xdr:rowOff>
    </xdr:from>
    <xdr:to>
      <xdr:col>24</xdr:col>
      <xdr:colOff>2739571</xdr:colOff>
      <xdr:row>87</xdr:row>
      <xdr:rowOff>879928</xdr:rowOff>
    </xdr:to>
    <xdr:pic>
      <xdr:nvPicPr>
        <xdr:cNvPr id="53" name="Billede 52" descr="167586_planenergi">
          <a:extLst>
            <a:ext uri="{FF2B5EF4-FFF2-40B4-BE49-F238E27FC236}">
              <a16:creationId xmlns:a16="http://schemas.microsoft.com/office/drawing/2014/main" id="{EBA89C60-FF61-43B6-BFB8-7789FD291EE9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9828" y="1951037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54" name="Billede 53" descr="167586_planenergi">
          <a:extLst>
            <a:ext uri="{FF2B5EF4-FFF2-40B4-BE49-F238E27FC236}">
              <a16:creationId xmlns:a16="http://schemas.microsoft.com/office/drawing/2014/main" id="{0B1031B6-053A-4469-B86B-184582A15CEB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9113" y="19465017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5" name="Gruppe 3">
          <a:extLst>
            <a:ext uri="{FF2B5EF4-FFF2-40B4-BE49-F238E27FC236}">
              <a16:creationId xmlns:a16="http://schemas.microsoft.com/office/drawing/2014/main" id="{2D84AF59-2E56-4542-8CA1-E6CA01DFECE7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56" name="Picture 9" descr="RM's logo">
            <a:extLst>
              <a:ext uri="{FF2B5EF4-FFF2-40B4-BE49-F238E27FC236}">
                <a16:creationId xmlns:a16="http://schemas.microsoft.com/office/drawing/2014/main" id="{8163FCBD-E593-4986-A7CC-63C5A5BE9C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7" name="Billede 0" descr="logo.wmf">
            <a:extLst>
              <a:ext uri="{FF2B5EF4-FFF2-40B4-BE49-F238E27FC236}">
                <a16:creationId xmlns:a16="http://schemas.microsoft.com/office/drawing/2014/main" id="{38C9FB76-E482-4191-A835-292EDA10D6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8" name="Gruppe 3">
          <a:extLst>
            <a:ext uri="{FF2B5EF4-FFF2-40B4-BE49-F238E27FC236}">
              <a16:creationId xmlns:a16="http://schemas.microsoft.com/office/drawing/2014/main" id="{F23480C8-DCA7-41BE-A900-E4F88DBA5B01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59" name="Picture 9" descr="RM's logo">
            <a:extLst>
              <a:ext uri="{FF2B5EF4-FFF2-40B4-BE49-F238E27FC236}">
                <a16:creationId xmlns:a16="http://schemas.microsoft.com/office/drawing/2014/main" id="{F1A3B419-BB35-4A84-88D0-B39DD2B267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0" name="Billede 0" descr="logo.wmf">
            <a:extLst>
              <a:ext uri="{FF2B5EF4-FFF2-40B4-BE49-F238E27FC236}">
                <a16:creationId xmlns:a16="http://schemas.microsoft.com/office/drawing/2014/main" id="{E40A7CD9-EA47-4BBF-A9A1-556C2AD735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2D05764D-5B5E-4E71-91AA-7BCDDE41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62" name="Gruppe 3">
          <a:extLst>
            <a:ext uri="{FF2B5EF4-FFF2-40B4-BE49-F238E27FC236}">
              <a16:creationId xmlns:a16="http://schemas.microsoft.com/office/drawing/2014/main" id="{CD5414E8-2485-4308-9E3D-DB3E9641849B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63" name="Picture 9" descr="RM's logo">
            <a:extLst>
              <a:ext uri="{FF2B5EF4-FFF2-40B4-BE49-F238E27FC236}">
                <a16:creationId xmlns:a16="http://schemas.microsoft.com/office/drawing/2014/main" id="{579350D9-BF90-48F5-9ED7-0C3C45EAD4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4" name="Billede 0" descr="logo.wmf">
            <a:extLst>
              <a:ext uri="{FF2B5EF4-FFF2-40B4-BE49-F238E27FC236}">
                <a16:creationId xmlns:a16="http://schemas.microsoft.com/office/drawing/2014/main" id="{9B9218CA-BFE9-4E12-B2C9-F5FD657A9C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A3E969BD-D542-480A-A299-B70E19A4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66" name="Gruppe 3">
          <a:extLst>
            <a:ext uri="{FF2B5EF4-FFF2-40B4-BE49-F238E27FC236}">
              <a16:creationId xmlns:a16="http://schemas.microsoft.com/office/drawing/2014/main" id="{841AD6C7-4D18-41CB-AABF-8608A15F8652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67" name="Picture 9" descr="RM's logo">
            <a:extLst>
              <a:ext uri="{FF2B5EF4-FFF2-40B4-BE49-F238E27FC236}">
                <a16:creationId xmlns:a16="http://schemas.microsoft.com/office/drawing/2014/main" id="{AB6D4007-71FB-4ECD-BDC9-7550CA57A5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8" name="Billede 0" descr="logo.wmf">
            <a:extLst>
              <a:ext uri="{FF2B5EF4-FFF2-40B4-BE49-F238E27FC236}">
                <a16:creationId xmlns:a16="http://schemas.microsoft.com/office/drawing/2014/main" id="{69D7209A-0002-4D70-A711-C6F5020E93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69" name="Billede 68">
          <a:extLst>
            <a:ext uri="{FF2B5EF4-FFF2-40B4-BE49-F238E27FC236}">
              <a16:creationId xmlns:a16="http://schemas.microsoft.com/office/drawing/2014/main" id="{C6D0BEB8-D61C-442A-A042-B44CB6C5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15919"/>
        </a:xfrm>
        <a:prstGeom prst="rect">
          <a:avLst/>
        </a:prstGeom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70" name="Billede 69" descr="167586_planenergi">
          <a:extLst>
            <a:ext uri="{FF2B5EF4-FFF2-40B4-BE49-F238E27FC236}">
              <a16:creationId xmlns:a16="http://schemas.microsoft.com/office/drawing/2014/main" id="{36D87311-ACF7-427C-A4E9-2BD088E1D7E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9113" y="19465017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9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1471794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972" y="2030186"/>
          <a:ext cx="2105873" cy="1022758"/>
        </a:xfrm>
        <a:prstGeom prst="rect">
          <a:avLst/>
        </a:prstGeom>
      </xdr:spPr>
    </xdr:pic>
    <xdr:clientData/>
  </xdr:twoCellAnchor>
  <xdr:twoCellAnchor editAs="oneCell">
    <xdr:from>
      <xdr:col>24</xdr:col>
      <xdr:colOff>689428</xdr:colOff>
      <xdr:row>87</xdr:row>
      <xdr:rowOff>317500</xdr:rowOff>
    </xdr:from>
    <xdr:to>
      <xdr:col>24</xdr:col>
      <xdr:colOff>2739571</xdr:colOff>
      <xdr:row>87</xdr:row>
      <xdr:rowOff>879928</xdr:rowOff>
    </xdr:to>
    <xdr:pic>
      <xdr:nvPicPr>
        <xdr:cNvPr id="9" name="Billede 8" descr="167586_planenergi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9828" y="1941512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10" name="Billede 9" descr="167586_planenergi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3488" y="18864942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1" name="Gruppe 3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2" name="Picture 9" descr="RM's logo">
            <a:extLst>
              <a:ext uri="{FF2B5EF4-FFF2-40B4-BE49-F238E27FC236}">
                <a16:creationId xmlns:a16="http://schemas.microsoft.com/office/drawing/2014/main" id="{00000000-0008-0000-19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Billede 0" descr="logo.wmf">
            <a:extLst>
              <a:ext uri="{FF2B5EF4-FFF2-40B4-BE49-F238E27FC236}">
                <a16:creationId xmlns:a16="http://schemas.microsoft.com/office/drawing/2014/main" id="{00000000-0008-0000-19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4" name="Gruppe 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5" name="Picture 9" descr="RM's logo">
            <a:extLst>
              <a:ext uri="{FF2B5EF4-FFF2-40B4-BE49-F238E27FC236}">
                <a16:creationId xmlns:a16="http://schemas.microsoft.com/office/drawing/2014/main" id="{00000000-0008-0000-19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Billede 0" descr="logo.wmf">
            <a:extLst>
              <a:ext uri="{FF2B5EF4-FFF2-40B4-BE49-F238E27FC236}">
                <a16:creationId xmlns:a16="http://schemas.microsoft.com/office/drawing/2014/main" id="{00000000-0008-0000-19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47" y="159203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8" name="Gruppe 3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9" name="Picture 9" descr="RM's logo">
            <a:extLst>
              <a:ext uri="{FF2B5EF4-FFF2-40B4-BE49-F238E27FC236}">
                <a16:creationId xmlns:a16="http://schemas.microsoft.com/office/drawing/2014/main" id="{00000000-0008-0000-19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Billede 0" descr="logo.wmf">
            <a:extLst>
              <a:ext uri="{FF2B5EF4-FFF2-40B4-BE49-F238E27FC236}">
                <a16:creationId xmlns:a16="http://schemas.microsoft.com/office/drawing/2014/main" id="{00000000-0008-0000-19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47" y="1592036"/>
          <a:ext cx="2105873" cy="1015919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2" name="Gruppe 3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23" name="Picture 9" descr="RM's logo">
            <a:extLst>
              <a:ext uri="{FF2B5EF4-FFF2-40B4-BE49-F238E27FC236}">
                <a16:creationId xmlns:a16="http://schemas.microsoft.com/office/drawing/2014/main" id="{00000000-0008-0000-19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Billede 0" descr="logo.wmf">
            <a:extLst>
              <a:ext uri="{FF2B5EF4-FFF2-40B4-BE49-F238E27FC236}">
                <a16:creationId xmlns:a16="http://schemas.microsoft.com/office/drawing/2014/main" id="{00000000-0008-0000-19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1464955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47" y="1592036"/>
          <a:ext cx="2105873" cy="1015919"/>
        </a:xfrm>
        <a:prstGeom prst="rect">
          <a:avLst/>
        </a:prstGeom>
      </xdr:spPr>
    </xdr:pic>
    <xdr:clientData/>
  </xdr:twoCellAnchor>
  <xdr:twoCellAnchor editAs="oneCell">
    <xdr:from>
      <xdr:col>24</xdr:col>
      <xdr:colOff>598713</xdr:colOff>
      <xdr:row>87</xdr:row>
      <xdr:rowOff>272142</xdr:rowOff>
    </xdr:from>
    <xdr:to>
      <xdr:col>24</xdr:col>
      <xdr:colOff>2648856</xdr:colOff>
      <xdr:row>87</xdr:row>
      <xdr:rowOff>834570</xdr:rowOff>
    </xdr:to>
    <xdr:pic>
      <xdr:nvPicPr>
        <xdr:cNvPr id="26" name="Billede 25" descr="167586_planenergi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3488" y="18826842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707572</xdr:colOff>
      <xdr:row>6</xdr:row>
      <xdr:rowOff>449036</xdr:rowOff>
    </xdr:from>
    <xdr:to>
      <xdr:col>24</xdr:col>
      <xdr:colOff>2813445</xdr:colOff>
      <xdr:row>6</xdr:row>
      <xdr:rowOff>1471794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47" y="1592036"/>
          <a:ext cx="2105873" cy="1015919"/>
        </a:xfrm>
        <a:prstGeom prst="rect">
          <a:avLst/>
        </a:prstGeom>
      </xdr:spPr>
    </xdr:pic>
    <xdr:clientData/>
  </xdr:twoCellAnchor>
  <xdr:twoCellAnchor editAs="oneCell">
    <xdr:from>
      <xdr:col>24</xdr:col>
      <xdr:colOff>689428</xdr:colOff>
      <xdr:row>87</xdr:row>
      <xdr:rowOff>317500</xdr:rowOff>
    </xdr:from>
    <xdr:to>
      <xdr:col>24</xdr:col>
      <xdr:colOff>2739571</xdr:colOff>
      <xdr:row>87</xdr:row>
      <xdr:rowOff>879928</xdr:rowOff>
    </xdr:to>
    <xdr:pic>
      <xdr:nvPicPr>
        <xdr:cNvPr id="9" name="Billede 8" descr="167586_planenergi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4203" y="1878647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0" name="Gruppe 3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1" name="Picture 9" descr="RM's logo">
            <a:extLst>
              <a:ext uri="{FF2B5EF4-FFF2-40B4-BE49-F238E27FC236}">
                <a16:creationId xmlns:a16="http://schemas.microsoft.com/office/drawing/2014/main" id="{00000000-0008-0000-1A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Billede 0" descr="logo.wmf">
            <a:extLst>
              <a:ext uri="{FF2B5EF4-FFF2-40B4-BE49-F238E27FC236}">
                <a16:creationId xmlns:a16="http://schemas.microsoft.com/office/drawing/2014/main" id="{00000000-0008-0000-1A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689428</xdr:colOff>
      <xdr:row>87</xdr:row>
      <xdr:rowOff>317500</xdr:rowOff>
    </xdr:from>
    <xdr:to>
      <xdr:col>24</xdr:col>
      <xdr:colOff>2739571</xdr:colOff>
      <xdr:row>87</xdr:row>
      <xdr:rowOff>879928</xdr:rowOff>
    </xdr:to>
    <xdr:pic>
      <xdr:nvPicPr>
        <xdr:cNvPr id="13" name="Billede 12" descr="167586_planenergi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4203" y="1876742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9" name="Gruppe 3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0" name="Picture 9" descr="RM's logo">
            <a:extLst>
              <a:ext uri="{FF2B5EF4-FFF2-40B4-BE49-F238E27FC236}">
                <a16:creationId xmlns:a16="http://schemas.microsoft.com/office/drawing/2014/main" id="{00000000-0008-0000-1B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Billede 0" descr="logo.wmf">
            <a:extLst>
              <a:ext uri="{FF2B5EF4-FFF2-40B4-BE49-F238E27FC236}">
                <a16:creationId xmlns:a16="http://schemas.microsoft.com/office/drawing/2014/main" id="{00000000-0008-0000-1B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662214</xdr:colOff>
      <xdr:row>87</xdr:row>
      <xdr:rowOff>317500</xdr:rowOff>
    </xdr:from>
    <xdr:to>
      <xdr:col>24</xdr:col>
      <xdr:colOff>2712357</xdr:colOff>
      <xdr:row>87</xdr:row>
      <xdr:rowOff>879928</xdr:rowOff>
    </xdr:to>
    <xdr:pic>
      <xdr:nvPicPr>
        <xdr:cNvPr id="12" name="Billede 11" descr="167586_planenergi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989" y="1878647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3" name="Gruppe 3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4" name="Picture 9" descr="RM's logo">
            <a:extLst>
              <a:ext uri="{FF2B5EF4-FFF2-40B4-BE49-F238E27FC236}">
                <a16:creationId xmlns:a16="http://schemas.microsoft.com/office/drawing/2014/main" id="{00000000-0008-0000-1B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Billede 0" descr="logo.wmf">
            <a:extLst>
              <a:ext uri="{FF2B5EF4-FFF2-40B4-BE49-F238E27FC236}">
                <a16:creationId xmlns:a16="http://schemas.microsoft.com/office/drawing/2014/main" id="{00000000-0008-0000-1B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662214</xdr:colOff>
      <xdr:row>87</xdr:row>
      <xdr:rowOff>317500</xdr:rowOff>
    </xdr:from>
    <xdr:to>
      <xdr:col>24</xdr:col>
      <xdr:colOff>2712357</xdr:colOff>
      <xdr:row>87</xdr:row>
      <xdr:rowOff>879928</xdr:rowOff>
    </xdr:to>
    <xdr:pic>
      <xdr:nvPicPr>
        <xdr:cNvPr id="16" name="Billede 15" descr="167586_planenergi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989" y="1876742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9" name="Gruppe 3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0" name="Picture 9" descr="RM's logo">
            <a:extLst>
              <a:ext uri="{FF2B5EF4-FFF2-40B4-BE49-F238E27FC236}">
                <a16:creationId xmlns:a16="http://schemas.microsoft.com/office/drawing/2014/main" id="{00000000-0008-0000-1C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Billede 0" descr="logo.wmf">
            <a:extLst>
              <a:ext uri="{FF2B5EF4-FFF2-40B4-BE49-F238E27FC236}">
                <a16:creationId xmlns:a16="http://schemas.microsoft.com/office/drawing/2014/main" id="{00000000-0008-0000-1C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3" name="Gruppe 3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4" name="Picture 9" descr="RM's logo">
            <a:extLst>
              <a:ext uri="{FF2B5EF4-FFF2-40B4-BE49-F238E27FC236}">
                <a16:creationId xmlns:a16="http://schemas.microsoft.com/office/drawing/2014/main" id="{00000000-0008-0000-1C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Billede 0" descr="logo.wmf">
            <a:extLst>
              <a:ext uri="{FF2B5EF4-FFF2-40B4-BE49-F238E27FC236}">
                <a16:creationId xmlns:a16="http://schemas.microsoft.com/office/drawing/2014/main" id="{00000000-0008-0000-1C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689429</xdr:colOff>
      <xdr:row>87</xdr:row>
      <xdr:rowOff>317500</xdr:rowOff>
    </xdr:from>
    <xdr:to>
      <xdr:col>24</xdr:col>
      <xdr:colOff>2739572</xdr:colOff>
      <xdr:row>87</xdr:row>
      <xdr:rowOff>879928</xdr:rowOff>
    </xdr:to>
    <xdr:pic>
      <xdr:nvPicPr>
        <xdr:cNvPr id="16" name="Billede 15" descr="167586_planenergi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4204" y="1878647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7" name="Gruppe 3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8" name="Picture 9" descr="RM's logo">
            <a:extLst>
              <a:ext uri="{FF2B5EF4-FFF2-40B4-BE49-F238E27FC236}">
                <a16:creationId xmlns:a16="http://schemas.microsoft.com/office/drawing/2014/main" id="{00000000-0008-0000-1C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Billede 0" descr="logo.wmf"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689429</xdr:colOff>
      <xdr:row>87</xdr:row>
      <xdr:rowOff>317500</xdr:rowOff>
    </xdr:from>
    <xdr:to>
      <xdr:col>24</xdr:col>
      <xdr:colOff>2739572</xdr:colOff>
      <xdr:row>87</xdr:row>
      <xdr:rowOff>879928</xdr:rowOff>
    </xdr:to>
    <xdr:pic>
      <xdr:nvPicPr>
        <xdr:cNvPr id="20" name="Billede 19" descr="167586_planenergi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4204" y="18767425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D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D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9" name="Gruppe 3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0" name="Picture 9" descr="RM's logo">
            <a:extLst>
              <a:ext uri="{FF2B5EF4-FFF2-40B4-BE49-F238E27FC236}">
                <a16:creationId xmlns:a16="http://schemas.microsoft.com/office/drawing/2014/main" id="{00000000-0008-0000-1D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Billede 0" descr="logo.wmf">
            <a:extLst>
              <a:ext uri="{FF2B5EF4-FFF2-40B4-BE49-F238E27FC236}">
                <a16:creationId xmlns:a16="http://schemas.microsoft.com/office/drawing/2014/main" id="{00000000-0008-0000-1D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3" name="Gruppe 3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4" name="Picture 9" descr="RM's logo">
            <a:extLst>
              <a:ext uri="{FF2B5EF4-FFF2-40B4-BE49-F238E27FC236}">
                <a16:creationId xmlns:a16="http://schemas.microsoft.com/office/drawing/2014/main" id="{00000000-0008-0000-1D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Billede 0" descr="logo.wmf">
            <a:extLst>
              <a:ext uri="{FF2B5EF4-FFF2-40B4-BE49-F238E27FC236}">
                <a16:creationId xmlns:a16="http://schemas.microsoft.com/office/drawing/2014/main" id="{00000000-0008-0000-1D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7" name="Gruppe 3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8" name="Picture 9" descr="RM's logo">
            <a:extLst>
              <a:ext uri="{FF2B5EF4-FFF2-40B4-BE49-F238E27FC236}">
                <a16:creationId xmlns:a16="http://schemas.microsoft.com/office/drawing/2014/main" id="{00000000-0008-0000-1D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Billede 0" descr="logo.wmf">
            <a:extLst>
              <a:ext uri="{FF2B5EF4-FFF2-40B4-BE49-F238E27FC236}">
                <a16:creationId xmlns:a16="http://schemas.microsoft.com/office/drawing/2014/main" id="{00000000-0008-0000-1D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20" name="Billede 19" descr="167586_planenergi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9561" y="18813689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1" name="Gruppe 3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22" name="Picture 9" descr="RM's logo">
            <a:extLst>
              <a:ext uri="{FF2B5EF4-FFF2-40B4-BE49-F238E27FC236}">
                <a16:creationId xmlns:a16="http://schemas.microsoft.com/office/drawing/2014/main" id="{00000000-0008-0000-1D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Billede 0" descr="logo.wmf">
            <a:extLst>
              <a:ext uri="{FF2B5EF4-FFF2-40B4-BE49-F238E27FC236}">
                <a16:creationId xmlns:a16="http://schemas.microsoft.com/office/drawing/2014/main" id="{00000000-0008-0000-1D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24" name="Billede 23" descr="167586_planenergi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9561" y="18794639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E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8" name="Gruppe 3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9" name="Picture 9" descr="RM's logo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Billede 0" descr="logo.wmf">
            <a:extLst>
              <a:ext uri="{FF2B5EF4-FFF2-40B4-BE49-F238E27FC236}">
                <a16:creationId xmlns:a16="http://schemas.microsoft.com/office/drawing/2014/main" id="{00000000-0008-0000-1E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1" name="Gruppe 3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2" name="Picture 9" descr="RM's logo">
            <a:extLst>
              <a:ext uri="{FF2B5EF4-FFF2-40B4-BE49-F238E27FC236}">
                <a16:creationId xmlns:a16="http://schemas.microsoft.com/office/drawing/2014/main" id="{00000000-0008-0000-1E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Billede 0" descr="logo.wmf">
            <a:extLst>
              <a:ext uri="{FF2B5EF4-FFF2-40B4-BE49-F238E27FC236}">
                <a16:creationId xmlns:a16="http://schemas.microsoft.com/office/drawing/2014/main" id="{00000000-0008-0000-1E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4" name="Gruppe 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5" name="Picture 9" descr="RM's logo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Billede 0" descr="logo.wmf">
            <a:extLst>
              <a:ext uri="{FF2B5EF4-FFF2-40B4-BE49-F238E27FC236}">
                <a16:creationId xmlns:a16="http://schemas.microsoft.com/office/drawing/2014/main" id="{00000000-0008-0000-1E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17" name="Billede 16" descr="167586_planenergi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86" y="19566164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8" name="Gruppe 3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19" name="Picture 9" descr="RM's logo">
            <a:extLst>
              <a:ext uri="{FF2B5EF4-FFF2-40B4-BE49-F238E27FC236}">
                <a16:creationId xmlns:a16="http://schemas.microsoft.com/office/drawing/2014/main" id="{00000000-0008-0000-1E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Billede 0" descr="logo.wmf">
            <a:extLst>
              <a:ext uri="{FF2B5EF4-FFF2-40B4-BE49-F238E27FC236}">
                <a16:creationId xmlns:a16="http://schemas.microsoft.com/office/drawing/2014/main" id="{00000000-0008-0000-1E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1" name="Gruppe 3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1822241"/>
          <a:chOff x="12495439" y="13596257"/>
          <a:chExt cx="5783036" cy="704850"/>
        </a:xfrm>
      </xdr:grpSpPr>
      <xdr:pic>
        <xdr:nvPicPr>
          <xdr:cNvPr id="22" name="Picture 9" descr="RM's logo">
            <a:extLst>
              <a:ext uri="{FF2B5EF4-FFF2-40B4-BE49-F238E27FC236}">
                <a16:creationId xmlns:a16="http://schemas.microsoft.com/office/drawing/2014/main" id="{00000000-0008-0000-1E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Billede 0" descr="logo.wmf">
            <a:extLst>
              <a:ext uri="{FF2B5EF4-FFF2-40B4-BE49-F238E27FC236}">
                <a16:creationId xmlns:a16="http://schemas.microsoft.com/office/drawing/2014/main" id="{00000000-0008-0000-1E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4" name="Gruppe 3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25" name="Picture 9" descr="RM's logo">
            <a:extLst>
              <a:ext uri="{FF2B5EF4-FFF2-40B4-BE49-F238E27FC236}">
                <a16:creationId xmlns:a16="http://schemas.microsoft.com/office/drawing/2014/main" id="{00000000-0008-0000-1E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6" name="Billede 0" descr="logo.wmf">
            <a:extLst>
              <a:ext uri="{FF2B5EF4-FFF2-40B4-BE49-F238E27FC236}">
                <a16:creationId xmlns:a16="http://schemas.microsoft.com/office/drawing/2014/main" id="{00000000-0008-0000-1E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7" name="Gruppe 3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28" name="Picture 9" descr="RM's logo">
            <a:extLst>
              <a:ext uri="{FF2B5EF4-FFF2-40B4-BE49-F238E27FC236}">
                <a16:creationId xmlns:a16="http://schemas.microsoft.com/office/drawing/2014/main" id="{00000000-0008-0000-1E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Billede 0" descr="logo.wmf">
            <a:extLst>
              <a:ext uri="{FF2B5EF4-FFF2-40B4-BE49-F238E27FC236}">
                <a16:creationId xmlns:a16="http://schemas.microsoft.com/office/drawing/2014/main" id="{00000000-0008-0000-1E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0" name="Gruppe 3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31" name="Picture 9" descr="RM's logo">
            <a:extLst>
              <a:ext uri="{FF2B5EF4-FFF2-40B4-BE49-F238E27FC236}">
                <a16:creationId xmlns:a16="http://schemas.microsoft.com/office/drawing/2014/main" id="{00000000-0008-0000-1E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Billede 0" descr="logo.wmf">
            <a:extLst>
              <a:ext uri="{FF2B5EF4-FFF2-40B4-BE49-F238E27FC236}">
                <a16:creationId xmlns:a16="http://schemas.microsoft.com/office/drawing/2014/main" id="{00000000-0008-0000-1E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3" name="Gruppe 3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34" name="Picture 9" descr="RM's logo">
            <a:extLst>
              <a:ext uri="{FF2B5EF4-FFF2-40B4-BE49-F238E27FC236}">
                <a16:creationId xmlns:a16="http://schemas.microsoft.com/office/drawing/2014/main" id="{00000000-0008-0000-1E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5" name="Billede 0" descr="logo.wmf">
            <a:extLst>
              <a:ext uri="{FF2B5EF4-FFF2-40B4-BE49-F238E27FC236}">
                <a16:creationId xmlns:a16="http://schemas.microsoft.com/office/drawing/2014/main" id="{00000000-0008-0000-1E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36" name="Billede 35" descr="167586_planenergi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86" y="19528064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7" name="Gruppe 3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GrpSpPr>
          <a:grpSpLocks/>
        </xdr:cNvGrpSpPr>
      </xdr:nvGrpSpPr>
      <xdr:grpSpPr bwMode="auto">
        <a:xfrm>
          <a:off x="14653846" y="19416346"/>
          <a:ext cx="6155767" cy="745672"/>
          <a:chOff x="12495439" y="13596257"/>
          <a:chExt cx="5783036" cy="704850"/>
        </a:xfrm>
      </xdr:grpSpPr>
      <xdr:pic>
        <xdr:nvPicPr>
          <xdr:cNvPr id="38" name="Picture 9" descr="RM's logo">
            <a:extLst>
              <a:ext uri="{FF2B5EF4-FFF2-40B4-BE49-F238E27FC236}">
                <a16:creationId xmlns:a16="http://schemas.microsoft.com/office/drawing/2014/main" id="{00000000-0008-0000-1E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Billede 0" descr="logo.wmf">
            <a:extLst>
              <a:ext uri="{FF2B5EF4-FFF2-40B4-BE49-F238E27FC236}">
                <a16:creationId xmlns:a16="http://schemas.microsoft.com/office/drawing/2014/main" id="{00000000-0008-0000-1E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725716</xdr:colOff>
      <xdr:row>87</xdr:row>
      <xdr:rowOff>353785</xdr:rowOff>
    </xdr:from>
    <xdr:to>
      <xdr:col>24</xdr:col>
      <xdr:colOff>2775859</xdr:colOff>
      <xdr:row>87</xdr:row>
      <xdr:rowOff>916213</xdr:rowOff>
    </xdr:to>
    <xdr:pic>
      <xdr:nvPicPr>
        <xdr:cNvPr id="40" name="Billede 39" descr="167586_planenergi">
          <a:extLst>
            <a:ext uri="{FF2B5EF4-FFF2-40B4-BE49-F238E27FC236}">
              <a16:creationId xmlns:a16="http://schemas.microsoft.com/office/drawing/2014/main" id="{00000000-0008-0000-1E00-000028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0491" y="18803710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" name="Gruppe 3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3" name="Picture 9" descr="RM's logo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Billede 0" descr="logo.wmf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" name="Gruppe 3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6" name="Picture 9" descr="RM's logo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Billede 0" descr="logo.wmf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8" name="Gruppe 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9" name="Picture 9" descr="RM's logo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Billede 0" descr="logo.wmf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1" name="Gruppe 3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2" name="Picture 9" descr="RM's logo">
            <a:extLst>
              <a:ext uri="{FF2B5EF4-FFF2-40B4-BE49-F238E27FC236}">
                <a16:creationId xmlns:a16="http://schemas.microsoft.com/office/drawing/2014/main" id="{00000000-0008-0000-1F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Billede 0" descr="logo.wmf">
            <a:extLst>
              <a:ext uri="{FF2B5EF4-FFF2-40B4-BE49-F238E27FC236}">
                <a16:creationId xmlns:a16="http://schemas.microsoft.com/office/drawing/2014/main" id="{00000000-0008-0000-1F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4" name="Gruppe 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5" name="Picture 9" descr="RM's logo">
            <a:extLst>
              <a:ext uri="{FF2B5EF4-FFF2-40B4-BE49-F238E27FC236}">
                <a16:creationId xmlns:a16="http://schemas.microsoft.com/office/drawing/2014/main" id="{00000000-0008-0000-1F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Billede 0" descr="logo.wmf">
            <a:extLst>
              <a:ext uri="{FF2B5EF4-FFF2-40B4-BE49-F238E27FC236}">
                <a16:creationId xmlns:a16="http://schemas.microsoft.com/office/drawing/2014/main" id="{00000000-0008-0000-1F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17" name="Billede 16" descr="167586_planenergi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86" y="19566164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18" name="Gruppe 3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19" name="Picture 9" descr="RM's logo">
            <a:extLst>
              <a:ext uri="{FF2B5EF4-FFF2-40B4-BE49-F238E27FC236}">
                <a16:creationId xmlns:a16="http://schemas.microsoft.com/office/drawing/2014/main" id="{00000000-0008-0000-1F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Billede 0" descr="logo.wmf">
            <a:extLst>
              <a:ext uri="{FF2B5EF4-FFF2-40B4-BE49-F238E27FC236}">
                <a16:creationId xmlns:a16="http://schemas.microsoft.com/office/drawing/2014/main" id="{00000000-0008-0000-1F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21" name="Gruppe 3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22" name="Picture 9" descr="RM's logo">
            <a:extLst>
              <a:ext uri="{FF2B5EF4-FFF2-40B4-BE49-F238E27FC236}">
                <a16:creationId xmlns:a16="http://schemas.microsoft.com/office/drawing/2014/main" id="{00000000-0008-0000-1F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Billede 0" descr="logo.wmf">
            <a:extLst>
              <a:ext uri="{FF2B5EF4-FFF2-40B4-BE49-F238E27FC236}">
                <a16:creationId xmlns:a16="http://schemas.microsoft.com/office/drawing/2014/main" id="{00000000-0008-0000-1F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4" name="Gruppe 3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25" name="Picture 9" descr="RM's logo">
            <a:extLst>
              <a:ext uri="{FF2B5EF4-FFF2-40B4-BE49-F238E27FC236}">
                <a16:creationId xmlns:a16="http://schemas.microsoft.com/office/drawing/2014/main" id="{00000000-0008-0000-1F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6" name="Billede 0" descr="logo.wmf">
            <a:extLst>
              <a:ext uri="{FF2B5EF4-FFF2-40B4-BE49-F238E27FC236}">
                <a16:creationId xmlns:a16="http://schemas.microsoft.com/office/drawing/2014/main" id="{00000000-0008-0000-1F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27" name="Gruppe 3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28" name="Picture 9" descr="RM's logo">
            <a:extLst>
              <a:ext uri="{FF2B5EF4-FFF2-40B4-BE49-F238E27FC236}">
                <a16:creationId xmlns:a16="http://schemas.microsoft.com/office/drawing/2014/main" id="{00000000-0008-0000-1F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Billede 0" descr="logo.wmf">
            <a:extLst>
              <a:ext uri="{FF2B5EF4-FFF2-40B4-BE49-F238E27FC236}">
                <a16:creationId xmlns:a16="http://schemas.microsoft.com/office/drawing/2014/main" id="{00000000-0008-0000-1F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0" name="Gruppe 3">
          <a:extLst>
            <a:ext uri="{FF2B5EF4-FFF2-40B4-BE49-F238E27FC236}">
              <a16:creationId xmlns:a16="http://schemas.microsoft.com/office/drawing/2014/main" id="{00000000-0008-0000-1F00-00001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31" name="Picture 9" descr="RM's logo">
            <a:extLst>
              <a:ext uri="{FF2B5EF4-FFF2-40B4-BE49-F238E27FC236}">
                <a16:creationId xmlns:a16="http://schemas.microsoft.com/office/drawing/2014/main" id="{00000000-0008-0000-1F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Billede 0" descr="logo.wmf">
            <a:extLst>
              <a:ext uri="{FF2B5EF4-FFF2-40B4-BE49-F238E27FC236}">
                <a16:creationId xmlns:a16="http://schemas.microsoft.com/office/drawing/2014/main" id="{00000000-0008-0000-1F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3" name="Gruppe 3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34" name="Picture 9" descr="RM's logo">
            <a:extLst>
              <a:ext uri="{FF2B5EF4-FFF2-40B4-BE49-F238E27FC236}">
                <a16:creationId xmlns:a16="http://schemas.microsoft.com/office/drawing/2014/main" id="{00000000-0008-0000-1F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5" name="Billede 0"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36" name="Billede 35" descr="167586_planenergi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86" y="19528064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37" name="Gruppe 3">
          <a:extLst>
            <a:ext uri="{FF2B5EF4-FFF2-40B4-BE49-F238E27FC236}">
              <a16:creationId xmlns:a16="http://schemas.microsoft.com/office/drawing/2014/main" id="{00000000-0008-0000-1F00-000025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38" name="Picture 9" descr="RM's logo">
            <a:extLst>
              <a:ext uri="{FF2B5EF4-FFF2-40B4-BE49-F238E27FC236}">
                <a16:creationId xmlns:a16="http://schemas.microsoft.com/office/drawing/2014/main" id="{00000000-0008-0000-1F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Billede 0" descr="logo.wmf">
            <a:extLst>
              <a:ext uri="{FF2B5EF4-FFF2-40B4-BE49-F238E27FC236}">
                <a16:creationId xmlns:a16="http://schemas.microsoft.com/office/drawing/2014/main" id="{00000000-0008-0000-1F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88</xdr:row>
      <xdr:rowOff>2722</xdr:rowOff>
    </xdr:to>
    <xdr:grpSp>
      <xdr:nvGrpSpPr>
        <xdr:cNvPr id="40" name="Gruppe 3">
          <a:extLst>
            <a:ext uri="{FF2B5EF4-FFF2-40B4-BE49-F238E27FC236}">
              <a16:creationId xmlns:a16="http://schemas.microsoft.com/office/drawing/2014/main" id="{00000000-0008-0000-1F00-000028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1822241"/>
          <a:chOff x="12495439" y="13596257"/>
          <a:chExt cx="5783036" cy="704850"/>
        </a:xfrm>
      </xdr:grpSpPr>
      <xdr:pic>
        <xdr:nvPicPr>
          <xdr:cNvPr id="41" name="Picture 9" descr="RM's logo">
            <a:extLst>
              <a:ext uri="{FF2B5EF4-FFF2-40B4-BE49-F238E27FC236}">
                <a16:creationId xmlns:a16="http://schemas.microsoft.com/office/drawing/2014/main" id="{00000000-0008-0000-1F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Billede 0" descr="logo.wmf">
            <a:extLst>
              <a:ext uri="{FF2B5EF4-FFF2-40B4-BE49-F238E27FC236}">
                <a16:creationId xmlns:a16="http://schemas.microsoft.com/office/drawing/2014/main" id="{00000000-0008-0000-1F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43" name="Gruppe 3">
          <a:extLst>
            <a:ext uri="{FF2B5EF4-FFF2-40B4-BE49-F238E27FC236}">
              <a16:creationId xmlns:a16="http://schemas.microsoft.com/office/drawing/2014/main" id="{00000000-0008-0000-1F00-00002B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44" name="Picture 9" descr="RM's logo">
            <a:extLst>
              <a:ext uri="{FF2B5EF4-FFF2-40B4-BE49-F238E27FC236}">
                <a16:creationId xmlns:a16="http://schemas.microsoft.com/office/drawing/2014/main" id="{00000000-0008-0000-1F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5" name="Billede 0" descr="logo.wmf">
            <a:extLst>
              <a:ext uri="{FF2B5EF4-FFF2-40B4-BE49-F238E27FC236}">
                <a16:creationId xmlns:a16="http://schemas.microsoft.com/office/drawing/2014/main" id="{00000000-0008-0000-1F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46" name="Gruppe 3">
          <a:extLst>
            <a:ext uri="{FF2B5EF4-FFF2-40B4-BE49-F238E27FC236}">
              <a16:creationId xmlns:a16="http://schemas.microsoft.com/office/drawing/2014/main" id="{00000000-0008-0000-1F00-00002E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47" name="Picture 9" descr="RM's logo">
            <a:extLst>
              <a:ext uri="{FF2B5EF4-FFF2-40B4-BE49-F238E27FC236}">
                <a16:creationId xmlns:a16="http://schemas.microsoft.com/office/drawing/2014/main" id="{00000000-0008-0000-1F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8" name="Billede 0" descr="logo.wmf">
            <a:extLst>
              <a:ext uri="{FF2B5EF4-FFF2-40B4-BE49-F238E27FC236}">
                <a16:creationId xmlns:a16="http://schemas.microsoft.com/office/drawing/2014/main" id="{00000000-0008-0000-1F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49" name="Gruppe 3">
          <a:extLst>
            <a:ext uri="{FF2B5EF4-FFF2-40B4-BE49-F238E27FC236}">
              <a16:creationId xmlns:a16="http://schemas.microsoft.com/office/drawing/2014/main" id="{00000000-0008-0000-1F00-000031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50" name="Picture 9" descr="RM's logo">
            <a:extLst>
              <a:ext uri="{FF2B5EF4-FFF2-40B4-BE49-F238E27FC236}">
                <a16:creationId xmlns:a16="http://schemas.microsoft.com/office/drawing/2014/main" id="{00000000-0008-0000-1F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1" name="Billede 0" descr="logo.wmf">
            <a:extLst>
              <a:ext uri="{FF2B5EF4-FFF2-40B4-BE49-F238E27FC236}">
                <a16:creationId xmlns:a16="http://schemas.microsoft.com/office/drawing/2014/main" id="{00000000-0008-0000-1F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2" name="Gruppe 3">
          <a:extLst>
            <a:ext uri="{FF2B5EF4-FFF2-40B4-BE49-F238E27FC236}">
              <a16:creationId xmlns:a16="http://schemas.microsoft.com/office/drawing/2014/main" id="{00000000-0008-0000-1F00-000034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53" name="Picture 9" descr="RM's logo">
            <a:extLst>
              <a:ext uri="{FF2B5EF4-FFF2-40B4-BE49-F238E27FC236}">
                <a16:creationId xmlns:a16="http://schemas.microsoft.com/office/drawing/2014/main" id="{00000000-0008-0000-1F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" name="Billede 0" descr="logo.wmf">
            <a:extLst>
              <a:ext uri="{FF2B5EF4-FFF2-40B4-BE49-F238E27FC236}">
                <a16:creationId xmlns:a16="http://schemas.microsoft.com/office/drawing/2014/main" id="{00000000-0008-0000-1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734786</xdr:colOff>
      <xdr:row>87</xdr:row>
      <xdr:rowOff>344714</xdr:rowOff>
    </xdr:from>
    <xdr:to>
      <xdr:col>24</xdr:col>
      <xdr:colOff>2784929</xdr:colOff>
      <xdr:row>87</xdr:row>
      <xdr:rowOff>907142</xdr:rowOff>
    </xdr:to>
    <xdr:pic>
      <xdr:nvPicPr>
        <xdr:cNvPr id="55" name="Billede 54" descr="167586_planenergi">
          <a:extLst>
            <a:ext uri="{FF2B5EF4-FFF2-40B4-BE49-F238E27FC236}">
              <a16:creationId xmlns:a16="http://schemas.microsoft.com/office/drawing/2014/main" id="{00000000-0008-0000-1F00-00003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86" y="19528064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0</xdr:colOff>
      <xdr:row>87</xdr:row>
      <xdr:rowOff>0</xdr:rowOff>
    </xdr:from>
    <xdr:to>
      <xdr:col>29</xdr:col>
      <xdr:colOff>404132</xdr:colOff>
      <xdr:row>87</xdr:row>
      <xdr:rowOff>745672</xdr:rowOff>
    </xdr:to>
    <xdr:grpSp>
      <xdr:nvGrpSpPr>
        <xdr:cNvPr id="56" name="Gruppe 3">
          <a:extLst>
            <a:ext uri="{FF2B5EF4-FFF2-40B4-BE49-F238E27FC236}">
              <a16:creationId xmlns:a16="http://schemas.microsoft.com/office/drawing/2014/main" id="{00000000-0008-0000-1F00-000038000000}"/>
            </a:ext>
          </a:extLst>
        </xdr:cNvPr>
        <xdr:cNvGrpSpPr>
          <a:grpSpLocks/>
        </xdr:cNvGrpSpPr>
      </xdr:nvGrpSpPr>
      <xdr:grpSpPr bwMode="auto">
        <a:xfrm>
          <a:off x="14653846" y="19526250"/>
          <a:ext cx="6155767" cy="745672"/>
          <a:chOff x="12495439" y="13596257"/>
          <a:chExt cx="5783036" cy="704850"/>
        </a:xfrm>
      </xdr:grpSpPr>
      <xdr:pic>
        <xdr:nvPicPr>
          <xdr:cNvPr id="57" name="Picture 9" descr="RM's logo">
            <a:extLst>
              <a:ext uri="{FF2B5EF4-FFF2-40B4-BE49-F238E27FC236}">
                <a16:creationId xmlns:a16="http://schemas.microsoft.com/office/drawing/2014/main" id="{00000000-0008-0000-1F00-00003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2495439" y="13596257"/>
            <a:ext cx="5783036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8" name="Billede 0" descr="logo.wmf">
            <a:extLst>
              <a:ext uri="{FF2B5EF4-FFF2-40B4-BE49-F238E27FC236}">
                <a16:creationId xmlns:a16="http://schemas.microsoft.com/office/drawing/2014/main" id="{00000000-0008-0000-1F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928146" y="13824857"/>
            <a:ext cx="17907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24</xdr:col>
      <xdr:colOff>752928</xdr:colOff>
      <xdr:row>87</xdr:row>
      <xdr:rowOff>326572</xdr:rowOff>
    </xdr:from>
    <xdr:to>
      <xdr:col>24</xdr:col>
      <xdr:colOff>2803071</xdr:colOff>
      <xdr:row>87</xdr:row>
      <xdr:rowOff>889000</xdr:rowOff>
    </xdr:to>
    <xdr:pic>
      <xdr:nvPicPr>
        <xdr:cNvPr id="59" name="Billede 58" descr="167586_planenergi">
          <a:extLst>
            <a:ext uri="{FF2B5EF4-FFF2-40B4-BE49-F238E27FC236}">
              <a16:creationId xmlns:a16="http://schemas.microsoft.com/office/drawing/2014/main" id="{00000000-0008-0000-1F00-00003B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703" y="18881272"/>
          <a:ext cx="2050143" cy="562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6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C1222"/>
  <sheetViews>
    <sheetView topLeftCell="AF1" zoomScale="80" zoomScaleNormal="80" workbookViewId="0">
      <pane ySplit="1" topLeftCell="A74" activePane="bottomLeft" state="frozen"/>
      <selection pane="bottomLeft" activeCell="AK1" sqref="AK1"/>
    </sheetView>
  </sheetViews>
  <sheetFormatPr defaultRowHeight="15" x14ac:dyDescent="0.25"/>
  <cols>
    <col min="1" max="2" width="9.140625" style="231"/>
    <col min="3" max="4" width="12.140625" style="231" customWidth="1"/>
    <col min="5" max="5" width="11.7109375" style="231" customWidth="1"/>
    <col min="6" max="6" width="12.7109375" style="231" customWidth="1"/>
    <col min="7" max="7" width="15" style="231" customWidth="1"/>
    <col min="8" max="8" width="9.140625" style="231"/>
    <col min="9" max="9" width="12" style="231" customWidth="1"/>
    <col min="10" max="10" width="9.140625" style="231"/>
    <col min="11" max="11" width="12.140625" style="231" customWidth="1"/>
    <col min="12" max="12" width="9.140625" style="231"/>
    <col min="13" max="13" width="9.7109375" style="231" customWidth="1"/>
    <col min="14" max="14" width="11.7109375" style="231" customWidth="1"/>
    <col min="15" max="18" width="9.140625" style="231"/>
    <col min="19" max="19" width="16.5703125" style="231" bestFit="1" customWidth="1"/>
    <col min="20" max="20" width="12" style="231" customWidth="1"/>
    <col min="21" max="21" width="15" style="231" bestFit="1" customWidth="1"/>
    <col min="22" max="22" width="14.7109375" style="231" customWidth="1"/>
    <col min="23" max="23" width="12.85546875" style="231" customWidth="1"/>
    <col min="24" max="24" width="9.140625" style="231"/>
    <col min="25" max="25" width="12.42578125" style="231" customWidth="1"/>
    <col min="26" max="26" width="9.140625" style="231"/>
    <col min="27" max="27" width="18.28515625" style="231" customWidth="1"/>
    <col min="28" max="28" width="13.28515625" style="231" customWidth="1"/>
    <col min="29" max="29" width="11" style="231" customWidth="1"/>
    <col min="30" max="30" width="10.85546875" style="231" customWidth="1"/>
    <col min="31" max="31" width="8.5703125" style="231" customWidth="1"/>
    <col min="32" max="32" width="10.85546875" style="231" customWidth="1"/>
    <col min="33" max="33" width="8.5703125" style="231" customWidth="1"/>
    <col min="34" max="35" width="14.42578125" style="231" customWidth="1"/>
    <col min="36" max="36" width="17.85546875" style="231" customWidth="1"/>
    <col min="37" max="37" width="58.42578125" style="231" customWidth="1"/>
    <col min="38" max="38" width="16" style="231" customWidth="1"/>
    <col min="39" max="40" width="11.85546875" style="231" customWidth="1"/>
    <col min="41" max="41" width="17.28515625" style="231" customWidth="1"/>
    <col min="42" max="42" width="12.42578125" style="9" customWidth="1"/>
    <col min="43" max="52" width="9.140625" style="231"/>
    <col min="53" max="53" width="9.140625" style="22"/>
    <col min="54" max="69" width="9.140625" style="231"/>
    <col min="70" max="70" width="12.42578125" style="231" customWidth="1"/>
    <col min="71" max="71" width="11.140625" style="231" customWidth="1"/>
    <col min="72" max="72" width="8.5703125" style="231" customWidth="1"/>
    <col min="73" max="76" width="9.140625" style="231"/>
    <col min="77" max="77" width="18.85546875" style="231" customWidth="1"/>
    <col min="78" max="78" width="23.28515625" style="231" customWidth="1"/>
    <col min="79" max="79" width="8.7109375" style="231" customWidth="1"/>
    <col min="80" max="80" width="13.85546875" style="231" customWidth="1"/>
    <col min="81" max="81" width="17.42578125" style="231" customWidth="1"/>
    <col min="82" max="82" width="18.85546875" style="231" customWidth="1"/>
    <col min="83" max="16384" width="9.140625" style="231"/>
  </cols>
  <sheetData>
    <row r="1" spans="1:81" ht="178.5" customHeight="1" x14ac:dyDescent="0.25"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</row>
    <row r="2" spans="1:81" ht="24.75" customHeight="1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</row>
    <row r="3" spans="1:81" ht="24.75" customHeight="1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</row>
    <row r="4" spans="1:81" ht="24.75" customHeight="1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</row>
    <row r="5" spans="1:81" x14ac:dyDescent="0.25"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3978.4994600484033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1788.541639501701</v>
      </c>
      <c r="AU5" s="11">
        <f>(F7+F5)*-1</f>
        <v>149.02761825101646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1356.1347427826697</v>
      </c>
      <c r="BJ5" s="11">
        <f t="shared" ref="BJ5:BQ5" si="4">(U7+U5)*-1</f>
        <v>0</v>
      </c>
      <c r="BK5" s="11">
        <f t="shared" si="4"/>
        <v>150.00885935402363</v>
      </c>
      <c r="BL5" s="11">
        <f t="shared" si="4"/>
        <v>0</v>
      </c>
      <c r="BM5" s="11">
        <f t="shared" si="4"/>
        <v>974.56032852585076</v>
      </c>
      <c r="BN5" s="11">
        <f t="shared" si="4"/>
        <v>40.00429136844302</v>
      </c>
      <c r="BO5" s="11">
        <f t="shared" si="4"/>
        <v>0</v>
      </c>
      <c r="BP5" s="11">
        <f t="shared" si="4"/>
        <v>182.14486675124235</v>
      </c>
      <c r="BQ5" s="11">
        <f t="shared" si="4"/>
        <v>9.4163967831099189</v>
      </c>
      <c r="BR5" s="11"/>
      <c r="BS5" s="11"/>
      <c r="BT5" s="11"/>
      <c r="BU5" s="11">
        <f>-1*SUM(AF5,AF7,AF9,AF66,AF68)</f>
        <v>376.3580504028846</v>
      </c>
      <c r="BV5" s="11">
        <f>-1*SUM(AG5,AG7,AG9,AG66,AG68)</f>
        <v>0</v>
      </c>
      <c r="BW5" s="11">
        <f>-1*SUM(AH5,AH7,AH9,AH66,AH68)</f>
        <v>308.4374091101314</v>
      </c>
      <c r="BX5" s="11"/>
      <c r="BY5" s="123">
        <v>0</v>
      </c>
      <c r="BZ5" s="123">
        <f>(C5*Emissionsfaktorer!$K$4+E5*Emissionsfaktorer!$K$3+F5*Emissionsfaktorer!$K$5+H5*Emissionsfaktorer!$K$7+I5*Emissionsfaktorer!$K$8+J5*Emissionsfaktorer!$K$9+K5*Emissionsfaktorer!$K$10+L5*Emissionsfaktorer!$K$11+M5*Emissionsfaktorer!$K$12)*-1</f>
        <v>0</v>
      </c>
    </row>
    <row r="6" spans="1:81" x14ac:dyDescent="0.25"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Nøgletal!$V$283/IF(Nøgletal!$W$399=0,1,Nøgletal!$W$399)*Nøgletal!$V419*-1</f>
        <v>0</v>
      </c>
      <c r="V6" s="84"/>
      <c r="W6" s="84"/>
      <c r="X6" s="84"/>
      <c r="Y6" s="84"/>
      <c r="Z6" s="84">
        <f>Nøgletal!$V$283/IF(Nøgletal!$W$399=0,1,Nøgletal!$W$399)*Nøgletal!$V420*-1</f>
        <v>0</v>
      </c>
      <c r="AA6" s="84">
        <f>Nøgletal!$V$283/IF(Nøgletal!$W$399=0,1,Nøgletal!$W$399)*Nøgletal!$V421*-1</f>
        <v>0</v>
      </c>
      <c r="AB6" s="84">
        <f>Nøgletal!$V$283/IF(Nøgletal!$W$399=0,1,Nøgletal!$W$399)*Nøgletal!$V422*-1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Nøgletal!V283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(C6*Emissionsfaktorer!$K$4+E6*Emissionsfaktorer!$K$3+F6*Emissionsfaktorer!$K$5+H6*Emissionsfaktorer!$K$7+I6*Emissionsfaktorer!$K$8+J6*Emissionsfaktorer!$K$9+K6*Emissionsfaktorer!$K$10+L6*Emissionsfaktorer!$K$11+M6*Emissionsfaktorer!$K$12)*-1</f>
        <v>0</v>
      </c>
    </row>
    <row r="7" spans="1:81" x14ac:dyDescent="0.25">
      <c r="B7" s="31"/>
      <c r="C7" s="11">
        <f>AR7*-1</f>
        <v>0</v>
      </c>
      <c r="D7" s="11">
        <f>AS7*-1</f>
        <v>0</v>
      </c>
      <c r="E7" s="11">
        <f>AT7*-1</f>
        <v>-1788.541639501701</v>
      </c>
      <c r="F7" s="11">
        <f>AU7*-1</f>
        <v>-149.02761825101646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-1356.1347427826697</v>
      </c>
      <c r="U7" s="11">
        <f>BJ7*-1</f>
        <v>0</v>
      </c>
      <c r="V7" s="11">
        <f t="shared" ref="V7:AB7" si="5">BK7*-1</f>
        <v>-150.00885935402363</v>
      </c>
      <c r="W7" s="11">
        <f t="shared" si="5"/>
        <v>0</v>
      </c>
      <c r="X7" s="11">
        <f t="shared" si="5"/>
        <v>-974.56032852585076</v>
      </c>
      <c r="Y7" s="11">
        <f t="shared" si="5"/>
        <v>-40.00429136844302</v>
      </c>
      <c r="Z7" s="11">
        <f t="shared" si="5"/>
        <v>0</v>
      </c>
      <c r="AA7" s="11">
        <f t="shared" si="5"/>
        <v>-182.14486675124235</v>
      </c>
      <c r="AB7" s="11">
        <f t="shared" si="5"/>
        <v>-9.4163967831099189</v>
      </c>
      <c r="AC7" s="11"/>
      <c r="AD7" s="11"/>
      <c r="AE7" s="11"/>
      <c r="AF7" s="11"/>
      <c r="AG7" s="11"/>
      <c r="AH7" s="11"/>
      <c r="AI7" s="11"/>
      <c r="AJ7" s="105">
        <f t="shared" si="0"/>
        <v>-3293.7040005353874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3293.7040005353874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1788.541639501701</v>
      </c>
      <c r="AU7" s="11">
        <f>(F9+F68)*-1</f>
        <v>149.02761825101646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1356.1347427826697</v>
      </c>
      <c r="BJ7" s="11">
        <f t="shared" ref="BJ7:BQ7" si="9">(U9+U68)*-1</f>
        <v>0</v>
      </c>
      <c r="BK7" s="11">
        <f t="shared" si="9"/>
        <v>150.00885935402363</v>
      </c>
      <c r="BL7" s="11">
        <f t="shared" si="9"/>
        <v>0</v>
      </c>
      <c r="BM7" s="11">
        <f t="shared" si="9"/>
        <v>974.56032852585076</v>
      </c>
      <c r="BN7" s="11">
        <f t="shared" si="9"/>
        <v>40.00429136844302</v>
      </c>
      <c r="BO7" s="11">
        <f t="shared" si="9"/>
        <v>0</v>
      </c>
      <c r="BP7" s="11">
        <f t="shared" si="9"/>
        <v>182.14486675124235</v>
      </c>
      <c r="BQ7" s="11">
        <f t="shared" si="9"/>
        <v>9.4163967831099189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</row>
    <row r="8" spans="1:81" x14ac:dyDescent="0.25"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362.62245116417523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362.62245116417523</v>
      </c>
      <c r="BD8" s="11">
        <f>-1*SUM(O5,O7,O9)</f>
        <v>205.40171410137933</v>
      </c>
      <c r="BE8" s="11">
        <f>-1*SUM(P5,P7,P9)</f>
        <v>0</v>
      </c>
      <c r="BF8" s="11">
        <f>-1*SUM(Q5,Q7,Q9)</f>
        <v>157.22073706279593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(C8*Emissionsfaktorer!$K$4+E8*Emissionsfaktorer!$K$3+F8*Emissionsfaktorer!$K$5+H8*Emissionsfaktorer!$K$7+I8*Emissionsfaktorer!$K$8+J8*Emissionsfaktorer!$K$9+K8*Emissionsfaktorer!$K$10+L8*Emissionsfaktorer!$K$11+M8*Emissionsfaktorer!$K$12)*-1</f>
        <v>0</v>
      </c>
      <c r="CA8" s="2"/>
      <c r="CB8" s="2"/>
      <c r="CC8" s="2"/>
    </row>
    <row r="9" spans="1:81" x14ac:dyDescent="0.25"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-1416.9706284835129</v>
      </c>
      <c r="F9" s="11">
        <f t="shared" si="10"/>
        <v>-149.02761825101646</v>
      </c>
      <c r="G9" s="11">
        <f t="shared" si="10"/>
        <v>-1.1825242471812458</v>
      </c>
      <c r="H9" s="11">
        <f t="shared" si="10"/>
        <v>0</v>
      </c>
      <c r="I9" s="11">
        <f t="shared" si="10"/>
        <v>0</v>
      </c>
      <c r="J9" s="11">
        <f t="shared" si="10"/>
        <v>-1.1825242471812458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-362.62245116417523</v>
      </c>
      <c r="O9" s="11">
        <f t="shared" si="10"/>
        <v>-205.40171410137933</v>
      </c>
      <c r="P9" s="11">
        <f t="shared" si="10"/>
        <v>0</v>
      </c>
      <c r="Q9" s="11">
        <f t="shared" si="10"/>
        <v>-157.22073706279593</v>
      </c>
      <c r="R9" s="11">
        <f t="shared" si="10"/>
        <v>0</v>
      </c>
      <c r="S9" s="11">
        <f t="shared" si="10"/>
        <v>0</v>
      </c>
      <c r="T9" s="11">
        <f t="shared" si="10"/>
        <v>-575.02759857862634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-374.07183685833411</v>
      </c>
      <c r="Y9" s="11">
        <f t="shared" ref="Y9:AI9" si="11">SUM(Y10:Y11,Y18,Y57,Y65)</f>
        <v>-9.3944981859399252</v>
      </c>
      <c r="Z9" s="11">
        <f t="shared" si="11"/>
        <v>0</v>
      </c>
      <c r="AA9" s="11">
        <f t="shared" si="11"/>
        <v>-182.14486675124235</v>
      </c>
      <c r="AB9" s="11">
        <f t="shared" si="11"/>
        <v>-9.4163967831099189</v>
      </c>
      <c r="AC9" s="11">
        <f t="shared" si="11"/>
        <v>-154.2187045550657</v>
      </c>
      <c r="AD9" s="11">
        <f t="shared" si="11"/>
        <v>0</v>
      </c>
      <c r="AE9" s="11">
        <f t="shared" si="11"/>
        <v>0</v>
      </c>
      <c r="AF9" s="11">
        <f t="shared" si="11"/>
        <v>-376.3580504028846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-3035.4075756824623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5515.3515269958189</v>
      </c>
      <c r="AP9" s="37">
        <f t="shared" si="6"/>
        <v>1.817005258595555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1923.3451494356386</v>
      </c>
      <c r="AW9" s="11">
        <f>H66*-1</f>
        <v>17.171229467666368</v>
      </c>
      <c r="AX9" s="11">
        <f t="shared" ref="AX9:BB9" si="13">I66*-1</f>
        <v>0</v>
      </c>
      <c r="AY9" s="11">
        <f t="shared" si="13"/>
        <v>13.511709703822332</v>
      </c>
      <c r="AZ9" s="11">
        <f t="shared" si="13"/>
        <v>907.34398140003066</v>
      </c>
      <c r="BA9" s="11">
        <f t="shared" si="13"/>
        <v>339.00429306071874</v>
      </c>
      <c r="BB9" s="11">
        <f t="shared" si="13"/>
        <v>646.31393580340045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1411.9291780407707</v>
      </c>
      <c r="BS9" s="11">
        <f>SUM(BS10:BS11,BS18,BS57,BS65)+AD9</f>
        <v>2025.8584949643437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154.2187045550657</v>
      </c>
      <c r="BX9" s="11">
        <f t="shared" si="12"/>
        <v>0</v>
      </c>
      <c r="BY9" s="123">
        <f t="shared" si="12"/>
        <v>64.266251086810371</v>
      </c>
      <c r="BZ9" s="123">
        <f t="shared" si="12"/>
        <v>93.107883390450226</v>
      </c>
      <c r="CA9" s="2"/>
      <c r="CB9" s="2"/>
      <c r="CC9" s="2"/>
    </row>
    <row r="10" spans="1:81" x14ac:dyDescent="0.25"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2699.6114312024138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1924.5276736828198</v>
      </c>
      <c r="AW10" s="85">
        <f>IF(-(AW$11+AW$18+AW$57+AW65)-(H$70+H$79+H$80+H$84)-H$9&gt;0,-(AW$11+AW$18+AW$57+AW65)-(H$70+H$79+H$80+H$84)-H$9,0)</f>
        <v>17.171229467666368</v>
      </c>
      <c r="AX10" s="85">
        <f t="shared" ref="AX10:BB10" si="17">IF(-(AX$11+AX$18+AX$57+AX65)-(I70+I79+I80+I84)-I$9&gt;0,-(AX$11+AX$18+AX$57+AX65)-(I70+I79+I80+I84)-I$9,0)</f>
        <v>0</v>
      </c>
      <c r="AY10" s="85">
        <f t="shared" si="17"/>
        <v>14.694233951003577</v>
      </c>
      <c r="AZ10" s="85">
        <f t="shared" si="17"/>
        <v>907.34398140003066</v>
      </c>
      <c r="BA10" s="85">
        <f t="shared" si="17"/>
        <v>339.00429306071874</v>
      </c>
      <c r="BB10" s="85">
        <f t="shared" si="17"/>
        <v>646.31393580340045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IF(-($BR$11+$BR$18+$BR$57+BR65)-(AC70+AC79+AC80+AC84)/(1-Nøgletal!$V$294)-$AC$9&gt;0,-($BR$11+$BR$18+$BR$57+BR65)-(AC70+AC79+AC80+AC84)/(1-Nøgletal!$V$294)-$AC$9,0)</f>
        <v>775.08375751959375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BR10*Emissionsfaktorer!K6+BT10*Emissionsfaktorer!K14</f>
        <v>0</v>
      </c>
      <c r="CA10" s="2"/>
      <c r="CB10" s="2"/>
      <c r="CC10" s="2"/>
    </row>
    <row r="11" spans="1:81" x14ac:dyDescent="0.25"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-362.62245116417523</v>
      </c>
      <c r="O11" s="20">
        <f t="shared" si="18"/>
        <v>-205.40171410137933</v>
      </c>
      <c r="P11" s="20">
        <f t="shared" si="18"/>
        <v>0</v>
      </c>
      <c r="Q11" s="20">
        <f t="shared" si="18"/>
        <v>-157.22073706279593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-362.62245116417523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362.62245116417523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362.62245116417523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  <c r="CC11" s="2"/>
    </row>
    <row r="12" spans="1:81" x14ac:dyDescent="0.25"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-157.22073706279593</v>
      </c>
      <c r="O12" s="23"/>
      <c r="P12" s="23"/>
      <c r="Q12" s="23">
        <f>AJ12</f>
        <v>-157.22073706279593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-157.22073706279593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157.22073706279593</v>
      </c>
      <c r="AP12" s="37">
        <f t="shared" si="6"/>
        <v>1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Nøgletal!V279</f>
        <v>157.22073706279593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(C12*Emissionsfaktorer!$K$4+E12*Emissionsfaktorer!$K$3+F12*Emissionsfaktorer!$K$5+H12*Emissionsfaktorer!$K$7+I12*Emissionsfaktorer!$K$8+J12*Emissionsfaktorer!$K$9+K12*Emissionsfaktorer!$K$10+L12*Emissionsfaktorer!$K$11+M12*Emissionsfaktorer!$K$12)*-1</f>
        <v>0</v>
      </c>
      <c r="CA12" s="2"/>
      <c r="CB12" s="2"/>
      <c r="CC12" s="2"/>
    </row>
    <row r="13" spans="1:81" x14ac:dyDescent="0.25"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-205.40171410137933</v>
      </c>
      <c r="O13" s="23">
        <f t="shared" si="21"/>
        <v>-205.40171410137933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-205.40171410137933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205.40171410137933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205.40171410137933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  <c r="CC13" s="2"/>
    </row>
    <row r="14" spans="1:81" x14ac:dyDescent="0.25"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-205.40171410137933</v>
      </c>
      <c r="O14" s="278">
        <f>AJ14</f>
        <v>-205.40171410137933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-205.40171410137933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205.40171410137933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Nøgletal!V277</f>
        <v>205.40171410137933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(C14*Emissionsfaktorer!$K$4+E14*Emissionsfaktorer!$K$3+F14*Emissionsfaktorer!$K$5+H14*Emissionsfaktorer!$K$7+I14*Emissionsfaktorer!$K$8+J14*Emissionsfaktorer!$K$9+K14*Emissionsfaktorer!$K$10+L14*Emissionsfaktorer!$K$11+M14*Emissionsfaktorer!$K$12)*-1</f>
        <v>0</v>
      </c>
    </row>
    <row r="15" spans="1:81" x14ac:dyDescent="0.25"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Nøgletal!V278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(C15*Emissionsfaktorer!$K$4+E15*Emissionsfaktorer!$K$3+F15*Emissionsfaktorer!$K$5+H15*Emissionsfaktorer!$K$7+I15*Emissionsfaktorer!$K$8+J15*Emissionsfaktorer!$K$9+K15*Emissionsfaktorer!$K$10+L15*Emissionsfaktorer!$K$11+M15*Emissionsfaktorer!$K$12)*-1</f>
        <v>0</v>
      </c>
    </row>
    <row r="16" spans="1:81" x14ac:dyDescent="0.25"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Nøgletal!V280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(C16*Emissionsfaktorer!$K$4+E16*Emissionsfaktorer!$K$3+F16*Emissionsfaktorer!$K$5+H16*Emissionsfaktorer!$K$7+I16*Emissionsfaktorer!$K$8+J16*Emissionsfaktorer!$K$9+K16*Emissionsfaktorer!$K$10+L16*Emissionsfaktorer!$K$11+M16*Emissionsfaktorer!$K$12)*-1</f>
        <v>0</v>
      </c>
    </row>
    <row r="17" spans="2:78" x14ac:dyDescent="0.25"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Nøgletal!V276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(C17*Emissionsfaktorer!$K$4+E17*Emissionsfaktorer!$K$3+F17*Emissionsfaktorer!$K$5+H17*Emissionsfaktorer!$K$7+I17*Emissionsfaktorer!$K$8+J17*Emissionsfaktorer!$K$9+K17*Emissionsfaktorer!$K$10+L17*Emissionsfaktorer!$K$11+M17*Emissionsfaktorer!$K$12)*-1</f>
        <v>0</v>
      </c>
    </row>
    <row r="18" spans="2:78" x14ac:dyDescent="0.25"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0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0</v>
      </c>
      <c r="AC18" s="20">
        <f t="shared" si="23"/>
        <v>-154.2187045550657</v>
      </c>
      <c r="AD18" s="20">
        <f t="shared" si="23"/>
        <v>0</v>
      </c>
      <c r="AE18" s="20">
        <f t="shared" si="23"/>
        <v>0</v>
      </c>
      <c r="AF18" s="20">
        <f t="shared" si="23"/>
        <v>-376.3580504028846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-530.57675495795024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530.57675495795024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0</v>
      </c>
      <c r="BS18" s="20">
        <f t="shared" si="24"/>
        <v>376.3580504028846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154.2187045550657</v>
      </c>
      <c r="BX18" s="20">
        <f t="shared" si="24"/>
        <v>0</v>
      </c>
      <c r="BY18" s="263">
        <f t="shared" si="24"/>
        <v>0</v>
      </c>
      <c r="BZ18" s="263">
        <f t="shared" si="24"/>
        <v>0</v>
      </c>
    </row>
    <row r="19" spans="2:78" x14ac:dyDescent="0.25"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Nøgletal!V268/(1-Nøgletal!V295)</f>
        <v>0</v>
      </c>
      <c r="BT19" s="23">
        <f>Nøgletal!W268/(1-Nøgletal!W295)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</row>
    <row r="20" spans="2:78" x14ac:dyDescent="0.25">
      <c r="B20" s="31"/>
      <c r="C20" s="278">
        <f>AJ20*Nøgletal!V429</f>
        <v>0</v>
      </c>
      <c r="D20" s="278"/>
      <c r="E20" s="278">
        <f>AJ20*Nøgletal!V431</f>
        <v>0</v>
      </c>
      <c r="F20" s="278"/>
      <c r="G20" s="278">
        <f t="shared" ref="G20:G83" si="29">SUM(H20:M20)</f>
        <v>0</v>
      </c>
      <c r="H20" s="278"/>
      <c r="I20" s="278">
        <f>AJ20*Nøgletal!V430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AJ20*Nøgletal!V432</f>
        <v>0</v>
      </c>
      <c r="V20" s="278">
        <f>AJ20*Nøgletal!V433</f>
        <v>0</v>
      </c>
      <c r="W20" s="278">
        <f>AJ20*Nøgletal!V434</f>
        <v>0</v>
      </c>
      <c r="X20" s="278">
        <f>AJ20*Nøgletal!V435</f>
        <v>0</v>
      </c>
      <c r="Y20" s="278">
        <f>AJ20*Nøgletal!V436</f>
        <v>0</v>
      </c>
      <c r="Z20" s="278"/>
      <c r="AA20" s="278"/>
      <c r="AB20" s="278">
        <f>AJ20*Nøgletal!V437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-AO20/IF(Nøgletal!V345+Nøgletal!W345&gt;0,Nøgletal!V345+Nøgletal!W345,1)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BS20/IF(Nøgletal!W345&gt;0,Nøgletal!W345,1)*Nøgletal!V345</f>
        <v>0</v>
      </c>
      <c r="BS20" s="278">
        <f>BS$19*Nøgletal!V303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K$4+E20*Emissionsfaktorer!$K$3+F20*Emissionsfaktorer!$K$5+H20*Emissionsfaktorer!$K$7+I20*Emissionsfaktorer!$K$8+J20*Emissionsfaktorer!$K$9+K20*Emissionsfaktorer!$K$10+L20*Emissionsfaktorer!$K$11+M20*Emissionsfaktorer!$K$12)*-1*(1-Nøgletal!$V$301)+T20*Emissionsfaktorer!$K$13*Nøgletal!$V$301</f>
        <v>0</v>
      </c>
    </row>
    <row r="21" spans="2:78" x14ac:dyDescent="0.25">
      <c r="B21" s="31"/>
      <c r="C21" s="278"/>
      <c r="D21" s="278"/>
      <c r="E21" s="278">
        <f>AJ21*Nøgletal!V443</f>
        <v>0</v>
      </c>
      <c r="F21" s="278"/>
      <c r="G21" s="278">
        <f t="shared" si="29"/>
        <v>0</v>
      </c>
      <c r="H21" s="278"/>
      <c r="I21" s="278">
        <f>AJ21*Nøgletal!V439</f>
        <v>0</v>
      </c>
      <c r="J21" s="278">
        <f>AJ21*Nøgletal!V440</f>
        <v>0</v>
      </c>
      <c r="K21" s="278">
        <f>AJ21*Nøgletal!V441</f>
        <v>0</v>
      </c>
      <c r="L21" s="278"/>
      <c r="M21" s="278">
        <f>AJ21*Nøgletal!V442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AJ21*Nøgletal!V444</f>
        <v>0</v>
      </c>
      <c r="V21" s="278">
        <f>AJ21*Nøgletal!V445</f>
        <v>0</v>
      </c>
      <c r="W21" s="278">
        <f>AJ21*Nøgletal!V446</f>
        <v>0</v>
      </c>
      <c r="X21" s="278">
        <f>AJ21*Nøgletal!V447</f>
        <v>0</v>
      </c>
      <c r="Y21" s="278">
        <f>AJ21*Nøgletal!V448</f>
        <v>0</v>
      </c>
      <c r="Z21" s="278"/>
      <c r="AA21" s="278"/>
      <c r="AB21" s="278">
        <f>AJ21*Nøgletal!V449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-AO21/IF(Nøgletal!V346+Nøgletal!W346&gt;0,Nøgletal!V346+Nøgletal!W346,1)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BS21/IF(Nøgletal!W346&gt;0,Nøgletal!W346,1)*Nøgletal!V346</f>
        <v>0</v>
      </c>
      <c r="BS21" s="278">
        <f>BS$19*Nøgletal!V304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K$4+E21*Emissionsfaktorer!$K$3+F21*Emissionsfaktorer!$K$5+H21*Emissionsfaktorer!$K$7+I21*Emissionsfaktorer!$K$8+J21*Emissionsfaktorer!$K$9+K21*Emissionsfaktorer!$K$10+L21*Emissionsfaktorer!$K$11+M21*Emissionsfaktorer!$K$12)*-1*(1-Nøgletal!$V$301)+T21*Emissionsfaktorer!$K$13*Nøgletal!$V$301</f>
        <v>0</v>
      </c>
    </row>
    <row r="22" spans="2:78" x14ac:dyDescent="0.25">
      <c r="B22" s="31"/>
      <c r="C22" s="278"/>
      <c r="D22" s="278"/>
      <c r="E22" s="278">
        <f>AJ22*Nøgletal!V451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AJ22*Nøgletal!V452</f>
        <v>0</v>
      </c>
      <c r="V22" s="278"/>
      <c r="W22" s="278"/>
      <c r="X22" s="278"/>
      <c r="Y22" s="278"/>
      <c r="Z22" s="278"/>
      <c r="AA22" s="278"/>
      <c r="AB22" s="278">
        <f>AJ22*Nøgletal!V453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-AO22/IF(Nøgletal!V347+Nøgletal!W347&gt;0,Nøgletal!V347+Nøgletal!W347,1)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BS22/IF(Nøgletal!W347&gt;0,Nøgletal!W347,1)*Nøgletal!V347</f>
        <v>0</v>
      </c>
      <c r="BS22" s="278">
        <f>BS$19*Nøgletal!V305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K$4+E22*Emissionsfaktorer!$K$3+F22*Emissionsfaktorer!$K$5+H22*Emissionsfaktorer!$K$7+I22*Emissionsfaktorer!$K$8+J22*Emissionsfaktorer!$K$9+K22*Emissionsfaktorer!$K$10+L22*Emissionsfaktorer!$K$11+M22*Emissionsfaktorer!$K$12)*-1*(1-Nøgletal!$V$301)+T22*Emissionsfaktorer!$K$13*Nøgletal!$V$301</f>
        <v>0</v>
      </c>
    </row>
    <row r="23" spans="2:78" x14ac:dyDescent="0.25">
      <c r="B23" s="31"/>
      <c r="C23" s="278">
        <f>AJ23*Nøgletal!V455</f>
        <v>0</v>
      </c>
      <c r="D23" s="278"/>
      <c r="E23" s="278">
        <f>AJ23*Nøgletal!V457</f>
        <v>0</v>
      </c>
      <c r="F23" s="278"/>
      <c r="G23" s="278">
        <f t="shared" si="29"/>
        <v>0</v>
      </c>
      <c r="H23" s="278"/>
      <c r="I23" s="278">
        <f>AJ23*Nøgletal!V456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AJ23*Nøgletal!V458</f>
        <v>0</v>
      </c>
      <c r="V23" s="278">
        <f>AJ23*Nøgletal!V459</f>
        <v>0</v>
      </c>
      <c r="W23" s="278">
        <f>AJ23*Nøgletal!V460</f>
        <v>0</v>
      </c>
      <c r="X23" s="278">
        <f>AJ23*Nøgletal!V461</f>
        <v>0</v>
      </c>
      <c r="Y23" s="278">
        <f>AJ23*Nøgletal!V462</f>
        <v>0</v>
      </c>
      <c r="Z23" s="278"/>
      <c r="AA23" s="278"/>
      <c r="AB23" s="278">
        <f>AJ23*Nøgletal!V463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-AO23/IF(Nøgletal!V348+Nøgletal!W348&gt;0,Nøgletal!V348+Nøgletal!W348,1)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BS23/IF(Nøgletal!W348&gt;0,Nøgletal!W348,1)*Nøgletal!V348</f>
        <v>0</v>
      </c>
      <c r="BS23" s="278">
        <f>BS$19*Nøgletal!V306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K$4+E23*Emissionsfaktorer!$K$3+F23*Emissionsfaktorer!$K$5+H23*Emissionsfaktorer!$K$7+I23*Emissionsfaktorer!$K$8+J23*Emissionsfaktorer!$K$9+K23*Emissionsfaktorer!$K$10+L23*Emissionsfaktorer!$K$11+M23*Emissionsfaktorer!$K$12)*-1*(1-Nøgletal!$V$301)+T23*Emissionsfaktorer!$K$13*Nøgletal!$V$301</f>
        <v>0</v>
      </c>
    </row>
    <row r="24" spans="2:78" x14ac:dyDescent="0.25"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-AO24*(1-1/IF(Nøgletal!W349&gt;0,Nøgletal!W349,1))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-AO24/Nøgletal!W465/(1-Nøgletal!V294)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BS$19*Nøgletal!V307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K$4+E24*Emissionsfaktorer!$K$3+F24*Emissionsfaktorer!$K$5+H24*Emissionsfaktorer!$K$7+I24*Emissionsfaktorer!$K$8+J24*Emissionsfaktorer!$K$9+K24*Emissionsfaktorer!$K$10+L24*Emissionsfaktorer!$K$11+M24*Emissionsfaktorer!$K$12)*-1*(1-Nøgletal!$V$301)+T24*Emissionsfaktorer!$K$13*Nøgletal!$V$301</f>
        <v>0</v>
      </c>
    </row>
    <row r="25" spans="2:78" x14ac:dyDescent="0.25"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-AO25/IF(Nøgletal!V350+Nøgletal!W350&gt;0,Nøgletal!V350+Nøgletal!W350,1)/(1-Nøgletal!V294)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BS$19*Nøgletal!V308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K$4+E25*Emissionsfaktorer!$K$3+F25*Emissionsfaktorer!$K$5+H25*Emissionsfaktorer!$K$7+I25*Emissionsfaktorer!$K$8+J25*Emissionsfaktorer!$K$9+K25*Emissionsfaktorer!$K$10+L25*Emissionsfaktorer!$K$11+M25*Emissionsfaktorer!$K$12)*-1*(1-Nøgletal!$V$301)+T25*Emissionsfaktorer!$K$13*Nøgletal!$V$301</f>
        <v>0</v>
      </c>
    </row>
    <row r="26" spans="2:78" x14ac:dyDescent="0.25"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-AO26/IF(Nøgletal!V352+Nøgletal!W352&gt;0,Nøgletal!V352+Nøgletal!W352,1)/(1-Nøgletal!V295)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K$4+E26*Emissionsfaktorer!$K$3+F26*Emissionsfaktorer!$K$5+H26*Emissionsfaktorer!$K$7+I26*Emissionsfaktorer!$K$8+J26*Emissionsfaktorer!$K$9+K26*Emissionsfaktorer!$K$10+L26*Emissionsfaktorer!$K$11+M26*Emissionsfaktorer!$K$12)*-1*(1-Nøgletal!$V$301)+T26*Emissionsfaktorer!$K$13*Nøgletal!$V$301</f>
        <v>0</v>
      </c>
    </row>
    <row r="27" spans="2:78" x14ac:dyDescent="0.25"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Nøgletal!V270/(1-Nøgletal!V297)</f>
        <v>0</v>
      </c>
      <c r="BT27" s="23">
        <f>Nøgletal!W270/(1-Nøgletal!W297)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</row>
    <row r="28" spans="2:78" x14ac:dyDescent="0.25">
      <c r="B28" s="31"/>
      <c r="C28" s="278">
        <f>AJ28*Nøgletal!V479</f>
        <v>0</v>
      </c>
      <c r="D28" s="278"/>
      <c r="E28" s="278">
        <f>AJ28*Nøgletal!V481</f>
        <v>0</v>
      </c>
      <c r="F28" s="278"/>
      <c r="G28" s="278">
        <f t="shared" si="29"/>
        <v>0</v>
      </c>
      <c r="H28" s="278"/>
      <c r="I28" s="278">
        <f>AJ28*Nøgletal!V480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AJ28*Nøgletal!V482</f>
        <v>0</v>
      </c>
      <c r="V28" s="278">
        <f>AJ28*Nøgletal!V483</f>
        <v>0</v>
      </c>
      <c r="W28" s="278">
        <f>AJ28*Nøgletal!V484</f>
        <v>0</v>
      </c>
      <c r="X28" s="278">
        <f>AJ28*Nøgletal!V485</f>
        <v>0</v>
      </c>
      <c r="Y28" s="278">
        <f>AJ28*Nøgletal!V486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-AO28/IF(Nøgletal!V357+Nøgletal!W357&gt;0,Nøgletal!V357+Nøgletal!W357,1)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BS28/IF(Nøgletal!W357&gt;0,Nøgletal!W357,1)*Nøgletal!V357</f>
        <v>0</v>
      </c>
      <c r="BS28" s="286">
        <f>BS$27*Nøgletal!V317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K$4+E28*Emissionsfaktorer!$K$3+F28*Emissionsfaktorer!$K$5+H28*Emissionsfaktorer!$K$7+I28*Emissionsfaktorer!$K$8+J28*Emissionsfaktorer!$K$9+K28*Emissionsfaktorer!$K$10+L28*Emissionsfaktorer!$K$11+M28*Emissionsfaktorer!$K$12)*-1*(1-Nøgletal!$V$315)+T28*Emissionsfaktorer!$K$13*Nøgletal!$V$315</f>
        <v>0</v>
      </c>
    </row>
    <row r="29" spans="2:78" x14ac:dyDescent="0.25">
      <c r="B29" s="31"/>
      <c r="C29" s="278"/>
      <c r="D29" s="278"/>
      <c r="E29" s="278">
        <f>AJ29*Nøgletal!V492</f>
        <v>0</v>
      </c>
      <c r="F29" s="278"/>
      <c r="G29" s="278">
        <f t="shared" si="29"/>
        <v>0</v>
      </c>
      <c r="H29" s="278"/>
      <c r="I29" s="278">
        <f>AJ29*Nøgletal!V488</f>
        <v>0</v>
      </c>
      <c r="J29" s="278">
        <f>AJ29*Nøgletal!V489</f>
        <v>0</v>
      </c>
      <c r="K29" s="278">
        <f>AJ29*Nøgletal!V490</f>
        <v>0</v>
      </c>
      <c r="L29" s="278"/>
      <c r="M29" s="278">
        <f>AJ29*Nøgletal!V491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AJ29*Nøgletal!V493</f>
        <v>0</v>
      </c>
      <c r="V29" s="278">
        <f>AJ29*Nøgletal!V494</f>
        <v>0</v>
      </c>
      <c r="W29" s="278">
        <f>AJ29*Nøgletal!V495</f>
        <v>0</v>
      </c>
      <c r="X29" s="278">
        <f>AJ29*Nøgletal!V496</f>
        <v>0</v>
      </c>
      <c r="Y29" s="278">
        <f>Nøgletal!V497</f>
        <v>0</v>
      </c>
      <c r="Z29" s="278"/>
      <c r="AA29" s="278"/>
      <c r="AB29" s="278">
        <f>AJ29*Nøgletal!V498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-AO29/IF(Nøgletal!V358+Nøgletal!W358&gt;0,Nøgletal!V358+Nøgletal!W358,1)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BS29/IF(Nøgletal!W358&gt;0,Nøgletal!W358,1)*Nøgletal!V358</f>
        <v>0</v>
      </c>
      <c r="BS29" s="286">
        <f>BS$27*Nøgletal!V318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K$4+E29*Emissionsfaktorer!$K$3+F29*Emissionsfaktorer!$K$5+H29*Emissionsfaktorer!$K$7+I29*Emissionsfaktorer!$K$8+J29*Emissionsfaktorer!$K$9+K29*Emissionsfaktorer!$K$10+L29*Emissionsfaktorer!$K$11+M29*Emissionsfaktorer!$K$12)*-1*(1-Nøgletal!$V$315)+T29*Emissionsfaktorer!$K$13*Nøgletal!$V$315</f>
        <v>0</v>
      </c>
    </row>
    <row r="30" spans="2:78" x14ac:dyDescent="0.25">
      <c r="B30" s="31"/>
      <c r="C30" s="278"/>
      <c r="D30" s="278"/>
      <c r="E30" s="278">
        <f>AJ30*Nøgletal!V500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AJ30*Nøgletal!V501</f>
        <v>0</v>
      </c>
      <c r="V30" s="278"/>
      <c r="W30" s="278"/>
      <c r="X30" s="278"/>
      <c r="Y30" s="278"/>
      <c r="Z30" s="278"/>
      <c r="AA30" s="278"/>
      <c r="AB30" s="278">
        <f>AJ30*Nøgletal!V502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-AO30/IF(Nøgletal!V359+Nøgletal!W359&gt;0,Nøgletal!V359+Nøgletal!W359,1)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BS30/IF(Nøgletal!W359&gt;0,Nøgletal!W359,1)*Nøgletal!V359</f>
        <v>0</v>
      </c>
      <c r="BS30" s="286">
        <f>BS$27*Nøgletal!V319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K$4+E30*Emissionsfaktorer!$K$3+F30*Emissionsfaktorer!$K$5+H30*Emissionsfaktorer!$K$7+I30*Emissionsfaktorer!$K$8+J30*Emissionsfaktorer!$K$9+K30*Emissionsfaktorer!$K$10+L30*Emissionsfaktorer!$K$11+M30*Emissionsfaktorer!$K$12)*-1*(1-Nøgletal!$V$315)+T30*Emissionsfaktorer!$K$13*Nøgletal!$V$315</f>
        <v>0</v>
      </c>
    </row>
    <row r="31" spans="2:78" x14ac:dyDescent="0.25">
      <c r="B31" s="31"/>
      <c r="C31" s="278">
        <f>AJ31*Nøgletal!V504</f>
        <v>0</v>
      </c>
      <c r="D31" s="278"/>
      <c r="E31" s="278">
        <f>AJ31*Nøgletal!V506</f>
        <v>0</v>
      </c>
      <c r="F31" s="278"/>
      <c r="G31" s="278">
        <f t="shared" si="29"/>
        <v>0</v>
      </c>
      <c r="H31" s="278"/>
      <c r="I31" s="278">
        <f>AJ31*Nøgletal!V505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AJ31*Nøgletal!V507</f>
        <v>0</v>
      </c>
      <c r="V31" s="278">
        <f>AJ31*Nøgletal!V508</f>
        <v>0</v>
      </c>
      <c r="W31" s="278">
        <f>AJ31*Nøgletal!V509</f>
        <v>0</v>
      </c>
      <c r="X31" s="278">
        <f>AJ31*Nøgletal!V510</f>
        <v>0</v>
      </c>
      <c r="Y31" s="278">
        <f>AJ31*Nøgletal!V511</f>
        <v>0</v>
      </c>
      <c r="Z31" s="278"/>
      <c r="AA31" s="278"/>
      <c r="AB31" s="278">
        <f>AJ31*Nøgletal!V512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-AO31/IF(Nøgletal!V360+Nøgletal!W360&gt;0,Nøgletal!V360+Nøgletal!W360,1)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BS31/IF(Nøgletal!W360&gt;0,Nøgletal!W360,1)*Nøgletal!V360</f>
        <v>0</v>
      </c>
      <c r="BS31" s="286">
        <f>BS$27*Nøgletal!V320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K$4+E31*Emissionsfaktorer!$K$3+F31*Emissionsfaktorer!$K$5+H31*Emissionsfaktorer!$K$7+I31*Emissionsfaktorer!$K$8+J31*Emissionsfaktorer!$K$9+K31*Emissionsfaktorer!$K$10+L31*Emissionsfaktorer!$K$11+M31*Emissionsfaktorer!$K$12)*-1*(1-Nøgletal!$V$315)+T31*Emissionsfaktorer!$K$13*Nøgletal!$V$315</f>
        <v>0</v>
      </c>
    </row>
    <row r="32" spans="2:78" x14ac:dyDescent="0.25"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AO32*(1-1/IF(Nøgletal!W361&gt;0,Nøgletal!W361,1))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-AO32/Nøgletal!W514/(1-Nøgletal!V294)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BS$27*Nøgletal!V321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K$4+E32*Emissionsfaktorer!$K$3+F32*Emissionsfaktorer!$K$5+H32*Emissionsfaktorer!$K$7+I32*Emissionsfaktorer!$K$8+J32*Emissionsfaktorer!$K$9+K32*Emissionsfaktorer!$K$10+L32*Emissionsfaktorer!$K$11+M32*Emissionsfaktorer!$K$12)*-1*(1-Nøgletal!$V$315)+T32*Emissionsfaktorer!$K$13*Nøgletal!$V$315</f>
        <v>0</v>
      </c>
    </row>
    <row r="33" spans="2:78" x14ac:dyDescent="0.25"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-AO33/IF(Nøgletal!V362+Nøgletal!W362&gt;0,Nøgletal!V362+Nøgletal!W362,1)/(1-Nøgletal!V294)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BS$27*Nøgletal!V322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K$4+E33*Emissionsfaktorer!$K$3+F33*Emissionsfaktorer!$K$5+H33*Emissionsfaktorer!$K$7+I33*Emissionsfaktorer!$K$8+J33*Emissionsfaktorer!$K$9+K33*Emissionsfaktorer!$K$10+L33*Emissionsfaktorer!$K$11+M33*Emissionsfaktorer!$K$12)*-1*(1-Nøgletal!$V$315)+T33*Emissionsfaktorer!$K$13*Nøgletal!$V$315</f>
        <v>0</v>
      </c>
    </row>
    <row r="34" spans="2:78" x14ac:dyDescent="0.25"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-AO34/IF(Nøgletal!V363+Nøgletal!W363&gt;0,Nøgletal!V363+Nøgletal!W363,1)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BS34/IF(Nøgletal!W363&gt;0,Nøgletal!W363,1)*Nøgletal!V363</f>
        <v>0</v>
      </c>
      <c r="BS34" s="286">
        <f>BS$27*Nøgletal!V323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K$4+E34*Emissionsfaktorer!$K$3+F34*Emissionsfaktorer!$K$5+H34*Emissionsfaktorer!$K$7+I34*Emissionsfaktorer!$K$8+J34*Emissionsfaktorer!$K$9+K34*Emissionsfaktorer!$K$10+L34*Emissionsfaktorer!$K$11+M34*Emissionsfaktorer!$K$12)*-1*(1-Nøgletal!$V$315)+T34*Emissionsfaktorer!$K$13*Nøgletal!$V$315</f>
        <v>0</v>
      </c>
    </row>
    <row r="35" spans="2:78" x14ac:dyDescent="0.25">
      <c r="B35" s="31"/>
      <c r="C35" s="278">
        <f>AJ35*Nøgletal!V518</f>
        <v>0</v>
      </c>
      <c r="D35" s="278"/>
      <c r="E35" s="278">
        <f>AJ35*Nøgletal!V520</f>
        <v>0</v>
      </c>
      <c r="F35" s="278"/>
      <c r="G35" s="278">
        <f t="shared" si="29"/>
        <v>0</v>
      </c>
      <c r="H35" s="278"/>
      <c r="I35" s="278">
        <f>AJ35*Nøgletal!V519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AJ35*Nøgletal!V521</f>
        <v>0</v>
      </c>
      <c r="V35" s="278">
        <f>AJ35*Nøgletal!V522</f>
        <v>0</v>
      </c>
      <c r="W35" s="278">
        <f>AJ35*Nøgletal!V523</f>
        <v>0</v>
      </c>
      <c r="X35" s="278">
        <f>AJ35*Nøgletal!V524</f>
        <v>0</v>
      </c>
      <c r="Y35" s="278">
        <f>AJ35*Nøgletal!V525</f>
        <v>0</v>
      </c>
      <c r="Z35" s="278"/>
      <c r="AA35" s="278"/>
      <c r="AB35" s="278">
        <f>AJ35*Nøgletal!V526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-AO35/IF(Nøgletal!V364+Nøgletal!W364&gt;0,Nøgletal!V364+Nøgletal!W364,1)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BS35/IF(Nøgletal!W364&gt;0,Nøgletal!W364,1)*Nøgletal!V364</f>
        <v>0</v>
      </c>
      <c r="BS35" s="286">
        <f>BS$27*Nøgletal!V324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K$4+E35*Emissionsfaktorer!$K$3+F35*Emissionsfaktorer!$K$5+H35*Emissionsfaktorer!$K$7+I35*Emissionsfaktorer!$K$8+J35*Emissionsfaktorer!$K$9+K35*Emissionsfaktorer!$K$10+L35*Emissionsfaktorer!$K$11+M35*Emissionsfaktorer!$K$12)*-1*(1-Nøgletal!$V$315)+T35*Emissionsfaktorer!$K$13*Nøgletal!$V$315</f>
        <v>0</v>
      </c>
    </row>
    <row r="36" spans="2:78" x14ac:dyDescent="0.25"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K$4+E36*Emissionsfaktorer!$K$3+F36*Emissionsfaktorer!$K$5+H36*Emissionsfaktorer!$K$7+I36*Emissionsfaktorer!$K$8+J36*Emissionsfaktorer!$K$9+K36*Emissionsfaktorer!$K$10+L36*Emissionsfaktorer!$K$11+M36*Emissionsfaktorer!$K$12)*-1*(1-Nøgletal!$V$315)+T36*Emissionsfaktorer!$K$13*Nøgletal!$V$315</f>
        <v>0</v>
      </c>
    </row>
    <row r="37" spans="2:78" x14ac:dyDescent="0.25"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0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0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0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0</v>
      </c>
      <c r="AP37" s="37">
        <f t="shared" si="6"/>
        <v>0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0</v>
      </c>
      <c r="BS37" s="23">
        <f>Nøgletal!V271/(1-Nøgletal!V298)</f>
        <v>0</v>
      </c>
      <c r="BT37" s="23">
        <f>Nøgletal!W271/(1-Nøgletal!W298)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0</v>
      </c>
      <c r="BZ37" s="126">
        <f t="shared" si="37"/>
        <v>0</v>
      </c>
    </row>
    <row r="38" spans="2:78" x14ac:dyDescent="0.25">
      <c r="B38" s="31"/>
      <c r="C38" s="278"/>
      <c r="D38" s="278"/>
      <c r="E38" s="278">
        <f>AJ38*Nøgletal!V532</f>
        <v>0</v>
      </c>
      <c r="F38" s="278"/>
      <c r="G38" s="278">
        <f t="shared" si="29"/>
        <v>0</v>
      </c>
      <c r="H38" s="278"/>
      <c r="I38" s="278">
        <f>AJ38*Nøgletal!V528</f>
        <v>0</v>
      </c>
      <c r="J38" s="278">
        <f>AJ38*Nøgletal!V529</f>
        <v>0</v>
      </c>
      <c r="K38" s="278">
        <f>AJ38*Nøgletal!V530</f>
        <v>0</v>
      </c>
      <c r="L38" s="278"/>
      <c r="M38" s="278">
        <f>AJ38*Nøgletal!V531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0</v>
      </c>
      <c r="U38" s="278">
        <f>AJ38*Nøgletal!V533</f>
        <v>0</v>
      </c>
      <c r="V38" s="278">
        <f>Nøgletal!V534</f>
        <v>0</v>
      </c>
      <c r="W38" s="278">
        <f>AJ38*Nøgletal!V535</f>
        <v>0</v>
      </c>
      <c r="X38" s="278">
        <f>Nøgletal!V536</f>
        <v>0</v>
      </c>
      <c r="Y38" s="278">
        <f>AJ38*Nøgletal!V537</f>
        <v>0</v>
      </c>
      <c r="Z38" s="278"/>
      <c r="AA38" s="278"/>
      <c r="AB38" s="278">
        <f>AJ38*Nøgletal!V538</f>
        <v>0</v>
      </c>
      <c r="AC38" s="280"/>
      <c r="AD38" s="280"/>
      <c r="AE38" s="280"/>
      <c r="AF38" s="280"/>
      <c r="AG38" s="280"/>
      <c r="AH38" s="280"/>
      <c r="AI38" s="280"/>
      <c r="AJ38" s="105">
        <f>-AO38/IF(Nøgletal!V366+Nøgletal!W366&gt;0,Nøgletal!V366+Nøgletal!W366,1)</f>
        <v>0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0</v>
      </c>
      <c r="AP38" s="37">
        <f t="shared" si="6"/>
        <v>0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Nøgletal!V275</f>
        <v>0</v>
      </c>
      <c r="BS38" s="292">
        <f>BS$37*Nøgletal!V327</f>
        <v>0</v>
      </c>
      <c r="BT38" s="280"/>
      <c r="BU38" s="280"/>
      <c r="BV38" s="280"/>
      <c r="BW38" s="280"/>
      <c r="BX38" s="280"/>
      <c r="BY38" s="124">
        <f>(AJ38+AO38)*-1</f>
        <v>0</v>
      </c>
      <c r="BZ38" s="123">
        <f>(C38*Emissionsfaktorer!$K$4+E38*Emissionsfaktorer!$K$3+F38*Emissionsfaktorer!$K$5+H38*Emissionsfaktorer!$K$7+I38*Emissionsfaktorer!$K$8+J38*Emissionsfaktorer!$K$9+K38*Emissionsfaktorer!$K$10+L38*Emissionsfaktorer!$K$11+M38*Emissionsfaktorer!$K$12)*-1*(1-Nøgletal!$V$325)+T38*Emissionsfaktorer!$K$13*Nøgletal!$V$325</f>
        <v>0</v>
      </c>
    </row>
    <row r="39" spans="2:78" x14ac:dyDescent="0.25">
      <c r="B39" s="31"/>
      <c r="C39" s="278">
        <f>AJ39*Nøgletal!V540</f>
        <v>0</v>
      </c>
      <c r="D39" s="278"/>
      <c r="E39" s="278">
        <f>AJ39*Nøgletal!V542</f>
        <v>0</v>
      </c>
      <c r="F39" s="278"/>
      <c r="G39" s="278">
        <f t="shared" si="29"/>
        <v>0</v>
      </c>
      <c r="H39" s="278"/>
      <c r="I39" s="278">
        <f>AJ39*Nøgletal!V541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AJ39*Nøgletal!V543</f>
        <v>0</v>
      </c>
      <c r="V39" s="278">
        <f>AJ39*Nøgletal!V544</f>
        <v>0</v>
      </c>
      <c r="W39" s="278">
        <f>AJ39*Nøgletal!V545</f>
        <v>0</v>
      </c>
      <c r="X39" s="278">
        <f>AJ39*Nøgletal!V547</f>
        <v>0</v>
      </c>
      <c r="Y39" s="278">
        <f>AJ39*Nøgletal!V548</f>
        <v>0</v>
      </c>
      <c r="Z39" s="278"/>
      <c r="AA39" s="278"/>
      <c r="AB39" s="278">
        <f>Nøgletal!V549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-AO39/IF(Nøgletal!V367+Nøgletal!W367&gt;0,Nøgletal!V367+Nøgletal!W367,1)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BS39/IF(Nøgletal!W367&gt;0,Nøgletal!W367,1)*Nøgletal!V367</f>
        <v>0</v>
      </c>
      <c r="BS39" s="292">
        <f>BS$37*Nøgletal!V328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K$4+E39*Emissionsfaktorer!$K$3+F39*Emissionsfaktorer!$K$5+H39*Emissionsfaktorer!$K$7+I39*Emissionsfaktorer!$K$8+J39*Emissionsfaktorer!$K$9+K39*Emissionsfaktorer!$K$10+L39*Emissionsfaktorer!$K$11+M39*Emissionsfaktorer!$K$12)*-1*(1-Nøgletal!$V$325)+T39*Emissionsfaktorer!$K$13*Nøgletal!$V$325</f>
        <v>0</v>
      </c>
    </row>
    <row r="40" spans="2:78" x14ac:dyDescent="0.25"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K$4+E40*Emissionsfaktorer!$K$3+F40*Emissionsfaktorer!$K$5+H40*Emissionsfaktorer!$K$7+I40*Emissionsfaktorer!$K$8+J40*Emissionsfaktorer!$K$9+K40*Emissionsfaktorer!$K$10+L40*Emissionsfaktorer!$K$11+M40*Emissionsfaktorer!$K$12)*-1*(1-Nøgletal!$V$325)+T40*Emissionsfaktorer!$K$13*Nøgletal!$V$325</f>
        <v>0</v>
      </c>
    </row>
    <row r="41" spans="2:78" x14ac:dyDescent="0.25"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Nøgletal!V269/(1-Nøgletal!V296)</f>
        <v>0</v>
      </c>
      <c r="BT41" s="23">
        <f>Nøgletal!W269/(1-Nøgletal!W296)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</row>
    <row r="42" spans="2:78" x14ac:dyDescent="0.25">
      <c r="B42" s="31"/>
      <c r="C42" s="278"/>
      <c r="D42" s="278"/>
      <c r="E42" s="278"/>
      <c r="F42" s="278">
        <f>AJ42*Nøgletal!V469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AJ42*Nøgletal!V467</f>
        <v>0</v>
      </c>
      <c r="AA42" s="278">
        <f>AJ42*Nøgletal!V468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-AO42/IF(Nøgletal!V353+Nøgletal!W353&gt;0,Nøgletal!V353+Nøgletal!W353,1)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BS42/IF(Nøgletal!W353&gt;0,Nøgletal!W353,1)*Nøgletal!V353</f>
        <v>0</v>
      </c>
      <c r="BS42" s="289">
        <f>BS$41*Nøgletal!V312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K$4+E42*Emissionsfaktorer!$K$3+F42*Emissionsfaktorer!$K$5+H42*Emissionsfaktorer!$K$7+I42*Emissionsfaktorer!$K$8+J42*Emissionsfaktorer!$K$9+K42*Emissionsfaktorer!$K$10+L42*Emissionsfaktorer!$K$11+M42*Emissionsfaktorer!$K$12)*-1*(1-Nøgletal!$V$310)+T42*Emissionsfaktorer!$K$13*Nøgletal!$V$310</f>
        <v>0</v>
      </c>
    </row>
    <row r="43" spans="2:78" x14ac:dyDescent="0.25">
      <c r="B43" s="31"/>
      <c r="C43" s="278"/>
      <c r="D43" s="278"/>
      <c r="E43" s="278"/>
      <c r="F43" s="278">
        <f>AJ43*Nøgletal!V473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AJ43*Nøgletal!V471</f>
        <v>0</v>
      </c>
      <c r="AA43" s="278">
        <f>AJ43*Nøgletal!V472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-AO43/IF(Nøgletal!V354+Nøgletal!W354&gt;0,Nøgletal!V354+Nøgletal!W354,1)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BS43/IF(Nøgletal!W354&gt;0,Nøgletal!W354,1)*Nøgletal!V354</f>
        <v>0</v>
      </c>
      <c r="BS43" s="289">
        <f>BS$41*Nøgletal!V313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K$4+E43*Emissionsfaktorer!$K$3+F43*Emissionsfaktorer!$K$5+H43*Emissionsfaktorer!$K$7+I43*Emissionsfaktorer!$K$8+J43*Emissionsfaktorer!$K$9+K43*Emissionsfaktorer!$K$10+L43*Emissionsfaktorer!$K$11+M43*Emissionsfaktorer!$K$12)*-1*(1-Nøgletal!$V$310)+T43*Emissionsfaktorer!$K$13*Nøgletal!$V$310</f>
        <v>0</v>
      </c>
    </row>
    <row r="44" spans="2:78" x14ac:dyDescent="0.25">
      <c r="B44" s="31"/>
      <c r="C44" s="278"/>
      <c r="D44" s="278"/>
      <c r="E44" s="278"/>
      <c r="F44" s="278">
        <f>AJ44*Nøgletal!V477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AJ44*Nøgletal!V475</f>
        <v>0</v>
      </c>
      <c r="AA44" s="278">
        <f>AJ44*Nøgletal!V476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-AO44/IF(Nøgletal!V355+Nøgletal!W355&gt;0,Nøgletal!V355+Nøgletal!W355,1)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BS44/IF(Nøgletal!W355&gt;0,Nøgletal!W355,1)*Nøgletal!V355</f>
        <v>0</v>
      </c>
      <c r="BS44" s="289">
        <f>BS$41*Nøgletal!V314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K$4+E44*Emissionsfaktorer!$K$3+F44*Emissionsfaktorer!$K$5+H44*Emissionsfaktorer!$K$7+I44*Emissionsfaktorer!$K$8+J44*Emissionsfaktorer!$K$9+K44*Emissionsfaktorer!$K$10+L44*Emissionsfaktorer!$K$11+M44*Emissionsfaktorer!$K$12)*-1*(1-Nøgletal!$V$310)+T44*Emissionsfaktorer!$K$13*Nøgletal!$V$310</f>
        <v>0</v>
      </c>
    </row>
    <row r="45" spans="2:78" x14ac:dyDescent="0.25"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K$4+E45*Emissionsfaktorer!$K$3+F45*Emissionsfaktorer!$K$5+H45*Emissionsfaktorer!$K$7+I45*Emissionsfaktorer!$K$8+J45*Emissionsfaktorer!$K$9+K45*Emissionsfaktorer!$K$10+L45*Emissionsfaktorer!$K$11+M45*Emissionsfaktorer!$K$12)*-1*(1-Nøgletal!$V$310)+T45*Emissionsfaktorer!$K$13*Nøgletal!$V$310</f>
        <v>0</v>
      </c>
    </row>
    <row r="46" spans="2:78" x14ac:dyDescent="0.25"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-154.2187045550657</v>
      </c>
      <c r="AD46" s="23">
        <f t="shared" si="40"/>
        <v>0</v>
      </c>
      <c r="AE46" s="23">
        <f t="shared" si="40"/>
        <v>0</v>
      </c>
      <c r="AF46" s="23">
        <f t="shared" si="40"/>
        <v>-376.3580504028846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-530.57675495795024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530.57675495795024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376.3580504028846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154.2187045550657</v>
      </c>
      <c r="BX46" s="23"/>
      <c r="BY46" s="126">
        <f t="shared" si="41"/>
        <v>0</v>
      </c>
      <c r="BZ46" s="126">
        <f t="shared" si="41"/>
        <v>0</v>
      </c>
    </row>
    <row r="47" spans="2:78" x14ac:dyDescent="0.25">
      <c r="B47" s="31"/>
      <c r="C47" s="278">
        <f>AJ47*Nøgletal!V586</f>
        <v>0</v>
      </c>
      <c r="D47" s="278"/>
      <c r="E47" s="278">
        <f>AJ47*Nøgletal!V588</f>
        <v>0</v>
      </c>
      <c r="F47" s="278"/>
      <c r="G47" s="278">
        <f t="shared" si="29"/>
        <v>0</v>
      </c>
      <c r="H47" s="278"/>
      <c r="I47" s="278">
        <f>AJ47*Nøgletal!V587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AJ47*Nøgletal!V589</f>
        <v>0</v>
      </c>
      <c r="V47" s="278">
        <f>AJ47*Nøgletal!V590</f>
        <v>0</v>
      </c>
      <c r="W47" s="278">
        <f>AJ47*Nøgletal!V591</f>
        <v>0</v>
      </c>
      <c r="X47" s="278">
        <f>AJ47*Nøgletal!V592</f>
        <v>0</v>
      </c>
      <c r="Y47" s="278">
        <f>AJ47*Nøgletal!V593</f>
        <v>0</v>
      </c>
      <c r="Z47" s="278"/>
      <c r="AA47" s="278"/>
      <c r="AB47" s="278">
        <f>AJ47*Nøgletal!V594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-AO47/IF(Nøgletal!V375+Nøgletal!W375&gt;0,Nøgletal!V375+Nøgletal!W375,1)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BS47/IF(Nøgletal!W375&gt;0,Nøgletal!W375,1)*Nøgletal!V375</f>
        <v>0</v>
      </c>
      <c r="BS47" s="292">
        <f>(Nøgletal!V$202+Nøgletal!V$273/(1-Nøgletal!V$300))*Nøgletal!V338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K$4+E47*Emissionsfaktorer!$K$3+F47*Emissionsfaktorer!$K$5+H47*Emissionsfaktorer!$K$7+I47*Emissionsfaktorer!$K$8+J47*Emissionsfaktorer!$K$9+K47*Emissionsfaktorer!$K$10+L47*Emissionsfaktorer!$K$11+M47*Emissionsfaktorer!$K$12)*-1*(1-Nøgletal!$V$336)+T47*Emissionsfaktorer!$K$13*Nøgletal!$V$336</f>
        <v>0</v>
      </c>
    </row>
    <row r="48" spans="2:78" x14ac:dyDescent="0.25">
      <c r="B48" s="31"/>
      <c r="C48" s="278"/>
      <c r="D48" s="278"/>
      <c r="E48" s="278">
        <f>AJ48*Nøgletal!V600</f>
        <v>0</v>
      </c>
      <c r="F48" s="278"/>
      <c r="G48" s="278">
        <f t="shared" si="29"/>
        <v>0</v>
      </c>
      <c r="H48" s="278"/>
      <c r="I48" s="278">
        <f>AJ48*Nøgletal!V596</f>
        <v>0</v>
      </c>
      <c r="J48" s="278">
        <f>AJ48*Nøgletal!V597</f>
        <v>0</v>
      </c>
      <c r="K48" s="278">
        <f>AJ48*Nøgletal!V598</f>
        <v>0</v>
      </c>
      <c r="L48" s="278"/>
      <c r="M48" s="278">
        <f>AJ48*Nøgletal!V599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AJ48*Nøgletal!V601</f>
        <v>0</v>
      </c>
      <c r="V48" s="278">
        <f>Nøgletal!V602</f>
        <v>0</v>
      </c>
      <c r="W48" s="278">
        <f>Nøgletal!V603</f>
        <v>0</v>
      </c>
      <c r="X48" s="278">
        <f>AJ48*Nøgletal!V604</f>
        <v>0</v>
      </c>
      <c r="Y48" s="278">
        <f>AJ48*Nøgletal!V605</f>
        <v>0</v>
      </c>
      <c r="Z48" s="278"/>
      <c r="AA48" s="278"/>
      <c r="AB48" s="278">
        <f>AJ48*Nøgletal!V606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-AO48/IF(Nøgletal!V376+Nøgletal!W376&gt;0,Nøgletal!V376+Nøgletal!W376,1)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BS48/IF(Nøgletal!W376&gt;0,Nøgletal!W376,1)*Nøgletal!V376</f>
        <v>0</v>
      </c>
      <c r="BS48" s="292">
        <f>(Nøgletal!V$202+Nøgletal!V$273/(1-Nøgletal!V$300))*Nøgletal!V339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K$4+E48*Emissionsfaktorer!$K$3+F48*Emissionsfaktorer!$K$5+H48*Emissionsfaktorer!$K$7+I48*Emissionsfaktorer!$K$8+J48*Emissionsfaktorer!$K$9+K48*Emissionsfaktorer!$K$10+L48*Emissionsfaktorer!$K$11+M48*Emissionsfaktorer!$K$12)*-1*(1-Nøgletal!$V$336)+T48*Emissionsfaktorer!$K$13*Nøgletal!$V$336</f>
        <v>0</v>
      </c>
    </row>
    <row r="49" spans="2:80" x14ac:dyDescent="0.25">
      <c r="B49" s="31"/>
      <c r="C49" s="278"/>
      <c r="D49" s="278"/>
      <c r="E49" s="278">
        <f>AJ49*Nøgletal!V608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AJ49*Nøgletal!V609</f>
        <v>0</v>
      </c>
      <c r="V49" s="278"/>
      <c r="W49" s="278"/>
      <c r="X49" s="278"/>
      <c r="Y49" s="278"/>
      <c r="Z49" s="278"/>
      <c r="AA49" s="278"/>
      <c r="AB49" s="278">
        <f>AJ49*Nøgletal!V610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-AO49/IF(Nøgletal!V377+Nøgletal!W377&gt;0,Nøgletal!V377+Nøgletal!W377,1)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BS49/IF(Nøgletal!W377&gt;0,Nøgletal!W377,1)*Nøgletal!V377</f>
        <v>0</v>
      </c>
      <c r="BS49" s="292">
        <f>(Nøgletal!V$202+Nøgletal!V$273/(1-Nøgletal!V$300))*Nøgletal!V340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K$4+E49*Emissionsfaktorer!$K$3+F49*Emissionsfaktorer!$K$5+H49*Emissionsfaktorer!$K$7+I49*Emissionsfaktorer!$K$8+J49*Emissionsfaktorer!$K$9+K49*Emissionsfaktorer!$K$10+L49*Emissionsfaktorer!$K$11+M49*Emissionsfaktorer!$K$12)*-1*(1-Nøgletal!$V$336)+T49*Emissionsfaktorer!$K$13*Nøgletal!$V$336</f>
        <v>0</v>
      </c>
    </row>
    <row r="50" spans="2:80" x14ac:dyDescent="0.25">
      <c r="B50" s="31"/>
      <c r="C50" s="278">
        <f>AJ50*Nøgletal!V612</f>
        <v>0</v>
      </c>
      <c r="D50" s="278"/>
      <c r="E50" s="278">
        <f>AJ50*Nøgletal!V614</f>
        <v>0</v>
      </c>
      <c r="F50" s="278"/>
      <c r="G50" s="278">
        <f t="shared" si="29"/>
        <v>0</v>
      </c>
      <c r="H50" s="278"/>
      <c r="I50" s="278">
        <f>AJ50*Nøgletal!V613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AJ50*Nøgletal!V615</f>
        <v>0</v>
      </c>
      <c r="V50" s="278">
        <f>AJ50*Nøgletal!V626</f>
        <v>0</v>
      </c>
      <c r="W50" s="278">
        <f>AJ50*Nøgletal!V617</f>
        <v>0</v>
      </c>
      <c r="X50" s="278">
        <f>AJ50*Nøgletal!V628</f>
        <v>0</v>
      </c>
      <c r="Y50" s="278">
        <f>AJ50*Nøgletal!V619</f>
        <v>0</v>
      </c>
      <c r="Z50" s="278"/>
      <c r="AA50" s="278"/>
      <c r="AB50" s="278">
        <f>AJ50*Nøgletal!V620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-AO50/IF(Nøgletal!V378+Nøgletal!W378&gt;0,Nøgletal!V378+Nøgletal!W378,1)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BS50/IF(Nøgletal!W378&gt;0,Nøgletal!W378,1)*Nøgletal!V378</f>
        <v>0</v>
      </c>
      <c r="BS50" s="292">
        <f>(Nøgletal!V$202+Nøgletal!V$273/(1-Nøgletal!V$300))*Nøgletal!V341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K$4+E50*Emissionsfaktorer!$K$3+F50*Emissionsfaktorer!$K$5+H50*Emissionsfaktorer!$K$7+I50*Emissionsfaktorer!$K$8+J50*Emissionsfaktorer!$K$9+K50*Emissionsfaktorer!$K$10+L50*Emissionsfaktorer!$K$11+M50*Emissionsfaktorer!$K$12)*-1*(1-Nøgletal!$V$336)+T50*Emissionsfaktorer!$K$13*Nøgletal!$V$336</f>
        <v>0</v>
      </c>
    </row>
    <row r="51" spans="2:80" x14ac:dyDescent="0.25">
      <c r="B51" s="31"/>
      <c r="C51" s="278">
        <f>AJ51*Nøgletal!V622</f>
        <v>0</v>
      </c>
      <c r="D51" s="278"/>
      <c r="E51" s="278">
        <f>AJ51*Nøgletal!V624</f>
        <v>0</v>
      </c>
      <c r="F51" s="278"/>
      <c r="G51" s="278">
        <f t="shared" si="29"/>
        <v>0</v>
      </c>
      <c r="H51" s="278"/>
      <c r="I51" s="278">
        <f>AJ51*Nøgletal!V623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AJ51*Nøgletal!V625</f>
        <v>0</v>
      </c>
      <c r="V51" s="278">
        <f>AJ51*Nøgletal!V626</f>
        <v>0</v>
      </c>
      <c r="W51" s="278">
        <f>AJ51*Nøgletal!V627</f>
        <v>0</v>
      </c>
      <c r="X51" s="278">
        <f>AJ51*Nøgletal!V628</f>
        <v>0</v>
      </c>
      <c r="Y51" s="278">
        <f>AJ51*Nøgletal!V629</f>
        <v>0</v>
      </c>
      <c r="Z51" s="278"/>
      <c r="AA51" s="278"/>
      <c r="AB51" s="278">
        <f>AJ51*Nøgletal!V630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-AO51/IF(Nøgletal!V379+Nøgletal!W379&gt;0,Nøgletal!V379+Nøgletal!W379,1)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BS51/IF(Nøgletal!W379&gt;0,Nøgletal!W379,1)*Nøgletal!V379</f>
        <v>0</v>
      </c>
      <c r="BS51" s="292">
        <f>(Nøgletal!V$202+Nøgletal!V$273/(1-Nøgletal!V$300))*Nøgletal!V342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K$4+E51*Emissionsfaktorer!$K$3+F51*Emissionsfaktorer!$K$5+H51*Emissionsfaktorer!$K$7+I51*Emissionsfaktorer!$K$8+J51*Emissionsfaktorer!$K$9+K51*Emissionsfaktorer!$K$10+L51*Emissionsfaktorer!$K$11+M51*Emissionsfaktorer!$K$12)*-1*(1-Nøgletal!$V$336)+T51*Emissionsfaktorer!$K$13*Nøgletal!$V$336</f>
        <v>0</v>
      </c>
    </row>
    <row r="52" spans="2:80" x14ac:dyDescent="0.25"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-376.3580504028846</v>
      </c>
      <c r="AG52" s="280"/>
      <c r="AH52" s="280"/>
      <c r="AI52" s="280"/>
      <c r="AJ52" s="105">
        <f>-AO52/IF(Nøgletal!V380+Nøgletal!W380&gt;0,Nøgletal!V380+Nøgletal!W380,1)</f>
        <v>-376.3580504028846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376.3580504028846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BS52/IF(Nøgletal!W380&gt;0,Nøgletal!W380,1)*Nøgletal!V380</f>
        <v>0</v>
      </c>
      <c r="BS52" s="292">
        <f>(Nøgletal!V$202+Nøgletal!V$273/(1-Nøgletal!V$300))*Nøgletal!V343</f>
        <v>376.3580504028846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K$4+E52*Emissionsfaktorer!$K$3+F52*Emissionsfaktorer!$K$5+H52*Emissionsfaktorer!$K$7+I52*Emissionsfaktorer!$K$8+J52*Emissionsfaktorer!$K$9+K52*Emissionsfaktorer!$K$10+L52*Emissionsfaktorer!$K$11+M52*Emissionsfaktorer!$K$12)*-1*(1-Nøgletal!$V$336)+T52*Emissionsfaktorer!$K$13*Nøgletal!$V$336</f>
        <v>0</v>
      </c>
    </row>
    <row r="53" spans="2:80" x14ac:dyDescent="0.25"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Nøgletal!V201*-1</f>
        <v>-154.2187045550657</v>
      </c>
      <c r="AD53" s="280"/>
      <c r="AE53" s="280"/>
      <c r="AF53" s="280"/>
      <c r="AG53" s="280"/>
      <c r="AH53" s="280"/>
      <c r="AI53" s="280"/>
      <c r="AJ53" s="105">
        <f>AC53</f>
        <v>-154.2187045550657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154.2187045550657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Nøgletal!V201</f>
        <v>154.2187045550657</v>
      </c>
      <c r="BX53" s="292"/>
      <c r="BY53" s="124">
        <f t="shared" si="42"/>
        <v>0</v>
      </c>
      <c r="BZ53" s="123">
        <f>(C53*Emissionsfaktorer!$K$4+E53*Emissionsfaktorer!$K$3+F53*Emissionsfaktorer!$K$5+H53*Emissionsfaktorer!$K$7+I53*Emissionsfaktorer!$K$8+J53*Emissionsfaktorer!$K$9+K53*Emissionsfaktorer!$K$10+L53*Emissionsfaktorer!$K$11+M53*Emissionsfaktorer!$K$12)*-1*(1-Nøgletal!$V$336)+T53*Emissionsfaktorer!$K$13*Nøgletal!$V$336</f>
        <v>0</v>
      </c>
    </row>
    <row r="54" spans="2:80" x14ac:dyDescent="0.25"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Nøgletal!V202</f>
        <v>0</v>
      </c>
      <c r="BX54" s="292"/>
      <c r="BY54" s="124">
        <f t="shared" si="42"/>
        <v>0</v>
      </c>
      <c r="BZ54" s="123">
        <f>(C54*Emissionsfaktorer!$K$4+E54*Emissionsfaktorer!$K$3+F54*Emissionsfaktorer!$K$5+H54*Emissionsfaktorer!$K$7+I54*Emissionsfaktorer!$K$8+J54*Emissionsfaktorer!$K$9+K54*Emissionsfaktorer!$K$10+L54*Emissionsfaktorer!$K$11+M54*Emissionsfaktorer!$K$12)*-1*(1-Nøgletal!$V$336)+T54*Emissionsfaktorer!$K$13*Nøgletal!$V$336</f>
        <v>0</v>
      </c>
    </row>
    <row r="55" spans="2:80" x14ac:dyDescent="0.25"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K$4+E55*Emissionsfaktorer!$K$3+F55*Emissionsfaktorer!$K$5+H55*Emissionsfaktorer!$K$7+I55*Emissionsfaktorer!$K$8+J55*Emissionsfaktorer!$K$9+K55*Emissionsfaktorer!$K$10+L55*Emissionsfaktorer!$K$11+M55*Emissionsfaktorer!$K$12)*-1*(1-Nøgletal!$V$336)+T55*Emissionsfaktorer!$K$13*Nøgletal!$V$336</f>
        <v>0</v>
      </c>
      <c r="CA55" s="40"/>
      <c r="CB55" s="40"/>
    </row>
    <row r="56" spans="2:80" x14ac:dyDescent="0.25"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2:80" x14ac:dyDescent="0.25"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-1416.9706284835129</v>
      </c>
      <c r="F57" s="20">
        <f t="shared" si="43"/>
        <v>-149.02761825101646</v>
      </c>
      <c r="G57" s="20">
        <f t="shared" si="43"/>
        <v>-1.1825242471812458</v>
      </c>
      <c r="H57" s="20">
        <f t="shared" si="43"/>
        <v>0</v>
      </c>
      <c r="I57" s="20">
        <f t="shared" si="43"/>
        <v>0</v>
      </c>
      <c r="J57" s="20">
        <f t="shared" si="43"/>
        <v>-1.1825242471812458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-575.02759857862634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-374.07183685833411</v>
      </c>
      <c r="Y57" s="20">
        <f t="shared" si="43"/>
        <v>-9.3944981859399252</v>
      </c>
      <c r="Z57" s="20">
        <f t="shared" si="43"/>
        <v>0</v>
      </c>
      <c r="AA57" s="20">
        <f t="shared" si="43"/>
        <v>-182.14486675124235</v>
      </c>
      <c r="AB57" s="20">
        <f t="shared" si="43"/>
        <v>-9.4163967831099189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-2142.2083695603369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2077.9421184735265</v>
      </c>
      <c r="AP57" s="37">
        <f t="shared" ref="AP57:AP64" si="44">IF(AJ57=0,0,AO57/AJ57*-1)</f>
        <v>0.96999999999999986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428.4416739120673</v>
      </c>
      <c r="BS57" s="20">
        <f>Nøgletal!V272/(1-Nøgletal!V299)</f>
        <v>1649.5004445614591</v>
      </c>
      <c r="BT57" s="20">
        <f>Nøgletal!W272/(1-Nøgletal!W299)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64.266251086810371</v>
      </c>
      <c r="BZ57" s="126">
        <f t="shared" si="47"/>
        <v>93.107883390450226</v>
      </c>
    </row>
    <row r="58" spans="2:80" x14ac:dyDescent="0.25">
      <c r="B58" s="31"/>
      <c r="C58" s="23">
        <f>AJ58*Nøgletal!V551</f>
        <v>0</v>
      </c>
      <c r="D58" s="23"/>
      <c r="E58" s="23">
        <f>AJ58*Nøgletal!V553</f>
        <v>0</v>
      </c>
      <c r="F58" s="23"/>
      <c r="G58" s="23">
        <f t="shared" ref="G58:G64" si="48">SUM(H58:M58)</f>
        <v>0</v>
      </c>
      <c r="H58" s="23"/>
      <c r="I58" s="23">
        <f>AJ58*Nøgletal!V552</f>
        <v>0</v>
      </c>
      <c r="J58" s="23">
        <f>AJ58*Nøgletal!V557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AJ58*Nøgletal!V554</f>
        <v>0</v>
      </c>
      <c r="V58" s="23">
        <f>AJ58*Nøgletal!V555</f>
        <v>0</v>
      </c>
      <c r="W58" s="23">
        <f>AJ58*Nøgletal!V556</f>
        <v>0</v>
      </c>
      <c r="X58" s="23">
        <f>AJ58*Nøgletal!V558</f>
        <v>0</v>
      </c>
      <c r="Y58" s="23">
        <f>AJ58*Nøgletal!V559</f>
        <v>0</v>
      </c>
      <c r="Z58" s="23"/>
      <c r="AA58" s="23"/>
      <c r="AB58" s="23">
        <f>AJ58*Nøgletal!V560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-AO58/IF(Nøgletal!W369+Nøgletal!V369&gt;0,Nøgletal!W369+Nøgletal!V369,1)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BS58/IF(Nøgletal!W369&gt;0,Nøgletal!W369,1)*Nøgletal!V369</f>
        <v>0</v>
      </c>
      <c r="BS58" s="78">
        <f>BS$57*Nøgletal!V331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K$4+E58*Emissionsfaktorer!$K$3+F58*Emissionsfaktorer!$K$5+H58*Emissionsfaktorer!$K$7+I58*Emissionsfaktorer!$K$8+J58*Emissionsfaktorer!$K$9+K58*Emissionsfaktorer!$K$10+L58*Emissionsfaktorer!$K$11+M58*Emissionsfaktorer!$K$12)*-1*(1-Nøgletal!$V$329)+T58*Emissionsfaktorer!$K$13*Nøgletal!$V$329</f>
        <v>0</v>
      </c>
    </row>
    <row r="59" spans="2:80" x14ac:dyDescent="0.25"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-AO59*(1-1/IF(Nøgletal!W370&gt;0,Nøgletal!W370,1))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-AO59/IF(Nøgletal!W514&gt;0,Nøgletal!W514,1)/(1-Nøgletal!V294)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BS59/IF(Nøgletal!W370&gt;0,Nøgletal!W370,1)*Nøgletal!V370</f>
        <v>0</v>
      </c>
      <c r="BS59" s="78">
        <f>BS$57*Nøgletal!V332</f>
        <v>0</v>
      </c>
      <c r="BT59" s="32"/>
      <c r="BU59" s="32"/>
      <c r="BV59" s="32"/>
      <c r="BW59" s="32"/>
      <c r="BX59" s="32"/>
      <c r="BY59" s="124"/>
      <c r="BZ59" s="123">
        <f>(C59*Emissionsfaktorer!$K$4+E59*Emissionsfaktorer!$K$3+F59*Emissionsfaktorer!$K$5+H59*Emissionsfaktorer!$K$7+I59*Emissionsfaktorer!$K$8+J59*Emissionsfaktorer!$K$9+K59*Emissionsfaktorer!$K$10+L59*Emissionsfaktorer!$K$11+M59*Emissionsfaktorer!$K$12)*-1*(1-Nøgletal!$V$329)+T59*Emissionsfaktorer!$K$13*Nøgletal!$V$329</f>
        <v>0</v>
      </c>
    </row>
    <row r="60" spans="2:80" x14ac:dyDescent="0.25"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-AO60/IF(Nøgletal!W371+Nøgletal!V371&gt;0,Nøgletal!W371+Nøgletal!V371,1)/(1-Nøgletal!V294)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BS$57*Nøgletal!V333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K$4+E60*Emissionsfaktorer!$K$3+F60*Emissionsfaktorer!$K$5+H60*Emissionsfaktorer!$K$7+I60*Emissionsfaktorer!$K$8+J60*Emissionsfaktorer!$K$9+K60*Emissionsfaktorer!$K$10+L60*Emissionsfaktorer!$K$11+M60*Emissionsfaktorer!$K$12)*-1*(1-Nøgletal!$V$329)+T60*Emissionsfaktorer!$K$13*Nøgletal!$V$329</f>
        <v>0</v>
      </c>
    </row>
    <row r="61" spans="2:80" x14ac:dyDescent="0.25"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-AO61/IF(Nøgletal!W372+Nøgletal!V372&gt;0,Nøgletal!W372+Nøgletal!V372,1)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BS61/IF(Nøgletal!W372&gt;0,Nøgletal!W372,1)*Nøgletal!V372</f>
        <v>0</v>
      </c>
      <c r="BS61" s="78">
        <f>BS$57*Nøgletal!V334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K$4+E61*Emissionsfaktorer!$K$3+F61*Emissionsfaktorer!$K$5+H61*Emissionsfaktorer!$K$7+I61*Emissionsfaktorer!$K$8+J61*Emissionsfaktorer!$K$9+K61*Emissionsfaktorer!$K$10+L61*Emissionsfaktorer!$K$11+M61*Emissionsfaktorer!$K$12)*-1*(1-Nøgletal!$V$329)+T61*Emissionsfaktorer!$K$13*Nøgletal!$V$329</f>
        <v>0</v>
      </c>
    </row>
    <row r="62" spans="2:80" x14ac:dyDescent="0.25"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-AO62/IF(Nøgletal!W373+Nøgletal!V373&gt;0,Nøgletal!W373+Nøgletal!V373,1)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BS62/IF(Nøgletal!W373&gt;0,Nøgletal!W373,1)*Nøgletal!V373</f>
        <v>0</v>
      </c>
      <c r="BS62" s="78">
        <f>BS$57*Nøgletal!V335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K$4+E62*Emissionsfaktorer!$K$3+F62*Emissionsfaktorer!$K$5+H62*Emissionsfaktorer!$K$7+I62*Emissionsfaktorer!$K$8+J62*Emissionsfaktorer!$K$9+K62*Emissionsfaktorer!$K$10+L62*Emissionsfaktorer!$K$11+M62*Emissionsfaktorer!$K$12)*-1*(1-Nøgletal!$V$329)+T62*Emissionsfaktorer!$K$13*Nøgletal!$V$329</f>
        <v>0</v>
      </c>
    </row>
    <row r="63" spans="2:80" x14ac:dyDescent="0.25"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BS63/IF(Nøgletal!W351&gt;0,Nøgletal!W351,1)*Nøgletal!V351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K$4+E63*Emissionsfaktorer!$K$3+F63*Emissionsfaktorer!$K$5+H63*Emissionsfaktorer!$K$7+I63*Emissionsfaktorer!$K$8+J63*Emissionsfaktorer!$K$9+K63*Emissionsfaktorer!$K$10+L63*Emissionsfaktorer!$K$11+M63*Emissionsfaktorer!$K$12)*-1*(1-Nøgletal!$V$329)+T63*Emissionsfaktorer!$K$13*Nøgletal!$V$329</f>
        <v>0</v>
      </c>
    </row>
    <row r="64" spans="2:80" x14ac:dyDescent="0.25">
      <c r="B64" s="31"/>
      <c r="C64" s="23">
        <f>AJ64*Nøgletal!V567</f>
        <v>0</v>
      </c>
      <c r="D64" s="23"/>
      <c r="E64" s="23">
        <f>AJ64*Nøgletal!V572</f>
        <v>-1416.9706284835129</v>
      </c>
      <c r="F64" s="23">
        <f>AJ64*Nøgletal!V584</f>
        <v>-149.02761825101646</v>
      </c>
      <c r="G64" s="23">
        <f t="shared" si="48"/>
        <v>-1.1825242471812458</v>
      </c>
      <c r="H64" s="23">
        <f>AJ64*Nøgletal!V566</f>
        <v>0</v>
      </c>
      <c r="I64" s="23">
        <f>AJ64*Nøgletal!V568</f>
        <v>0</v>
      </c>
      <c r="J64" s="23">
        <f>AJ64*Nøgletal!V569</f>
        <v>-1.1825242471812458</v>
      </c>
      <c r="K64" s="23">
        <f>AJ64*Nøgletal!V570</f>
        <v>0</v>
      </c>
      <c r="L64" s="23"/>
      <c r="M64" s="23">
        <f>AJ64*Nøgletal!V571</f>
        <v>0</v>
      </c>
      <c r="N64" s="23">
        <f t="shared" si="49"/>
        <v>0</v>
      </c>
      <c r="O64" s="23"/>
      <c r="P64" s="23"/>
      <c r="Q64" s="23">
        <f>AJ64*Nøgletal!V573</f>
        <v>0</v>
      </c>
      <c r="R64" s="23">
        <f>AJ64*Nøgletal!V574</f>
        <v>0</v>
      </c>
      <c r="S64" s="23">
        <f>AJ64*Nøgletal!V575</f>
        <v>0</v>
      </c>
      <c r="T64" s="23">
        <f t="shared" si="50"/>
        <v>-575.02759857862634</v>
      </c>
      <c r="U64" s="23">
        <f>AJ64*Nøgletal!V576</f>
        <v>0</v>
      </c>
      <c r="V64" s="23">
        <f>AJ64*Nøgletal!V577</f>
        <v>0</v>
      </c>
      <c r="W64" s="23">
        <f>AJ64*Nøgletal!V578</f>
        <v>0</v>
      </c>
      <c r="X64" s="23">
        <f>AJ64*Nøgletal!V579</f>
        <v>-374.07183685833411</v>
      </c>
      <c r="Y64" s="23">
        <f>AJ64*Nøgletal!V580</f>
        <v>-9.3944981859399252</v>
      </c>
      <c r="Z64" s="23">
        <f>AJ64*Nøgletal!V581</f>
        <v>0</v>
      </c>
      <c r="AA64" s="23">
        <f>AJ64*Nøgletal!V582</f>
        <v>-182.14486675124235</v>
      </c>
      <c r="AB64" s="23">
        <f>AJ64*Nøgletal!V583</f>
        <v>-9.4163967831099189</v>
      </c>
      <c r="AC64" s="23"/>
      <c r="AD64" s="23"/>
      <c r="AE64" s="23"/>
      <c r="AF64" s="23"/>
      <c r="AG64" s="23"/>
      <c r="AH64" s="23"/>
      <c r="AI64" s="23"/>
      <c r="AJ64" s="105">
        <f>-AO64/IF(Nøgletal!W351+Nøgletal!V351&gt;0,Nøgletal!W351+Nøgletal!V351,1)</f>
        <v>-2142.2083695603369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2077.9421184735265</v>
      </c>
      <c r="AP64" s="37">
        <f t="shared" si="44"/>
        <v>0.96999999999999986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BS64/IF(Nøgletal!W351&gt;0,Nøgletal!W351,1)*Nøgletal!V351</f>
        <v>428.4416739120673</v>
      </c>
      <c r="BS64" s="78">
        <f>BS$57*Nøgletal!V309</f>
        <v>1649.5004445614591</v>
      </c>
      <c r="BT64" s="23"/>
      <c r="BU64" s="32"/>
      <c r="BV64" s="32"/>
      <c r="BW64" s="93"/>
      <c r="BX64" s="93"/>
      <c r="BY64" s="124">
        <f t="shared" si="54"/>
        <v>64.266251086810371</v>
      </c>
      <c r="BZ64" s="123">
        <f>(C64*Emissionsfaktorer!$K$4+E64*Emissionsfaktorer!$K$3+F64*Emissionsfaktorer!$K$5+H64*Emissionsfaktorer!$K$7+I64*Emissionsfaktorer!$K$8+J64*Emissionsfaktorer!$K$9+K64*Emissionsfaktorer!$K$10+L64*Emissionsfaktorer!$K$11+M64*Emissionsfaktorer!$K$12)*-1*(1-Nøgletal!$V$329)+T64*Emissionsfaktorer!$K$13*Nøgletal!$V$329</f>
        <v>93.107883390450226</v>
      </c>
    </row>
    <row r="65" spans="2:81" x14ac:dyDescent="0.25">
      <c r="B65" s="31"/>
      <c r="C65" s="295"/>
      <c r="D65" s="20">
        <f>AV65/IF(Nøgletal!V708&gt;0,Nøgletal!V708,1)*-1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$BT65/IF(Nøgletal!$V$720&gt;0,Nøgletal!$V$720,1)*-Nøgletal!$V711*Nøgletal!$V710</f>
        <v>0</v>
      </c>
      <c r="V65" s="20">
        <f>$BT65/IF(Nøgletal!$V$720&gt;0,Nøgletal!$V$720,1)*-Nøgletal!$V712*Nøgletal!$V710</f>
        <v>0</v>
      </c>
      <c r="W65" s="20">
        <f>$BT65/IF(Nøgletal!$V$720&gt;0,Nøgletal!$V$720,1)*-Nøgletal!$V713*Nøgletal!$V710</f>
        <v>0</v>
      </c>
      <c r="X65" s="20">
        <f>$BT65/IF(Nøgletal!$V$720&gt;0,Nøgletal!$V$720,1)*-Nøgletal!$V714*Nøgletal!$V710</f>
        <v>0</v>
      </c>
      <c r="Y65" s="20">
        <f>$BT65/IF(Nøgletal!$V$720&gt;0,Nøgletal!$V$720,1)*-Nøgletal!$V715*Nøgletal!$V710</f>
        <v>0</v>
      </c>
      <c r="Z65" s="20">
        <f>$BT65/IF(Nøgletal!$V$720&gt;0,Nøgletal!$V$720,1)*-Nøgletal!$V716*Nøgletal!$V710</f>
        <v>0</v>
      </c>
      <c r="AA65" s="20">
        <f>$BT65/IF(Nøgletal!$V$720&gt;0,Nøgletal!$V$720,1)*-Nøgletal!$V717*Nøgletal!$V710</f>
        <v>0</v>
      </c>
      <c r="AB65" s="20">
        <f>$BT65/IF(Nøgletal!$V$720&gt;0,Nøgletal!$V$720,1)*-Nøgletal!$V718*Nøgletal!$V710</f>
        <v>0</v>
      </c>
      <c r="AC65" s="20">
        <f>BT65/IF(Nøgletal!V720&gt;0,Nøgletal!V720,1)*-Nøgletal!V719</f>
        <v>0</v>
      </c>
      <c r="AD65" s="20"/>
      <c r="AE65" s="20"/>
      <c r="AF65" s="20"/>
      <c r="AG65" s="20"/>
      <c r="AH65" s="20"/>
      <c r="AI65" s="20"/>
      <c r="AJ65" s="105">
        <f>AV65/IF(Nøgletal!V708&gt;0,Nøgletal!V708,1)+BT65/IF(Nøgletal!V720&gt;0,Nøgletal!V720,1)*-1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Nøgletal!V701</f>
        <v>0</v>
      </c>
      <c r="AW65" s="20">
        <f>$AV65*Nøgletal!V702</f>
        <v>0</v>
      </c>
      <c r="AX65" s="20">
        <f>$AV65*Nøgletal!V703</f>
        <v>0</v>
      </c>
      <c r="AY65" s="20">
        <f>$AV65*Nøgletal!V704</f>
        <v>0</v>
      </c>
      <c r="AZ65" s="20">
        <f>$AV65*Nøgletal!V705</f>
        <v>0</v>
      </c>
      <c r="BA65" s="20">
        <f>$AV65*Nøgletal!V706</f>
        <v>0</v>
      </c>
      <c r="BB65" s="20">
        <f>$AV65*Nøgletal!V707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Nøgletal!V709</f>
        <v>0</v>
      </c>
      <c r="BU65" s="21"/>
      <c r="BV65" s="21"/>
      <c r="BW65" s="86"/>
      <c r="BX65" s="86"/>
      <c r="BY65" s="124">
        <f t="shared" si="54"/>
        <v>0</v>
      </c>
      <c r="BZ65" s="300"/>
    </row>
    <row r="66" spans="2:81" x14ac:dyDescent="0.25">
      <c r="B66" s="31"/>
      <c r="C66" s="80"/>
      <c r="D66" s="80"/>
      <c r="E66" s="80"/>
      <c r="F66" s="80"/>
      <c r="G66" s="81">
        <f t="shared" si="29"/>
        <v>-1923.3451494356386</v>
      </c>
      <c r="H66" s="80">
        <f t="shared" ref="H66:M66" si="55">H68</f>
        <v>-17.171229467666368</v>
      </c>
      <c r="I66" s="80">
        <f t="shared" si="55"/>
        <v>0</v>
      </c>
      <c r="J66" s="80">
        <f t="shared" si="55"/>
        <v>-13.511709703822332</v>
      </c>
      <c r="K66" s="80">
        <f t="shared" si="55"/>
        <v>-907.34398140003066</v>
      </c>
      <c r="L66" s="80">
        <f t="shared" si="55"/>
        <v>-339.00429306071874</v>
      </c>
      <c r="M66" s="80">
        <f t="shared" si="55"/>
        <v>-646.31393580340045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-1411.9291780407707</v>
      </c>
      <c r="AD66" s="82">
        <f>-BS9</f>
        <v>-2025.8584949643437</v>
      </c>
      <c r="AE66" s="80"/>
      <c r="AF66" s="80"/>
      <c r="AG66" s="80"/>
      <c r="AH66" s="267">
        <f>-BW9</f>
        <v>-154.2187045550657</v>
      </c>
      <c r="AI66" s="80"/>
      <c r="AJ66" s="105">
        <f t="shared" ref="AJ66:AJ83" si="56">SUM(C66:G66,N66,T66,AC66:AG66)</f>
        <v>-5361.1328224407534</v>
      </c>
      <c r="AK66" s="13" t="s">
        <v>233</v>
      </c>
      <c r="AL66" s="13" t="s">
        <v>234</v>
      </c>
      <c r="AM66" s="99"/>
      <c r="AN66" s="37"/>
      <c r="AO66" s="38">
        <f t="shared" si="1"/>
        <v>4928.3158550698217</v>
      </c>
      <c r="AP66" s="37">
        <f t="shared" si="6"/>
        <v>0.91926762837151943</v>
      </c>
      <c r="AQ66" s="31"/>
      <c r="AR66" s="80"/>
      <c r="AS66" s="80"/>
      <c r="AT66" s="80"/>
      <c r="AU66" s="80"/>
      <c r="AV66" s="95">
        <f t="shared" si="7"/>
        <v>1923.3451494356386</v>
      </c>
      <c r="AW66" s="80">
        <f t="shared" ref="AW66:BB66" si="57">H66*-1</f>
        <v>17.171229467666368</v>
      </c>
      <c r="AX66" s="80">
        <f t="shared" si="57"/>
        <v>0</v>
      </c>
      <c r="AY66" s="80">
        <f t="shared" si="57"/>
        <v>13.511709703822332</v>
      </c>
      <c r="AZ66" s="80">
        <f t="shared" si="57"/>
        <v>907.34398140003066</v>
      </c>
      <c r="BA66" s="80">
        <f t="shared" si="57"/>
        <v>339.00429306071874</v>
      </c>
      <c r="BB66" s="80">
        <f t="shared" si="57"/>
        <v>646.31393580340045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1299.5396154687255</v>
      </c>
      <c r="BS66" s="80">
        <f>AD68*-1</f>
        <v>1551.2123856103924</v>
      </c>
      <c r="BT66" s="80"/>
      <c r="BU66" s="80"/>
      <c r="BV66" s="80"/>
      <c r="BW66" s="267">
        <f>-AH66</f>
        <v>154.2187045550657</v>
      </c>
      <c r="BX66" s="80"/>
      <c r="BY66" s="124">
        <f t="shared" si="54"/>
        <v>432.81696737093171</v>
      </c>
      <c r="BZ66" s="123"/>
    </row>
    <row r="67" spans="2:81" x14ac:dyDescent="0.25"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28.00470440101347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28.00470440101347</v>
      </c>
      <c r="BD67" s="11">
        <f>-1*O68</f>
        <v>0</v>
      </c>
      <c r="BE67" s="11">
        <f>-1*P68</f>
        <v>0</v>
      </c>
      <c r="BF67" s="11">
        <f>-1*Q68</f>
        <v>0</v>
      </c>
      <c r="BG67" s="11">
        <f>-1*R68</f>
        <v>0</v>
      </c>
      <c r="BH67" s="11">
        <f>-1*S68</f>
        <v>28.00470440101347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(C67*Emissionsfaktorer!$K$4+E67*Emissionsfaktorer!$K$3+F67*Emissionsfaktorer!$K$5+H67*Emissionsfaktorer!$K$7+I67*Emissionsfaktorer!$K$8+J67*Emissionsfaktorer!$K$9+K67*Emissionsfaktorer!$K$10+L67*Emissionsfaktorer!$K$11+M67*Emissionsfaktorer!$K$12)*-1</f>
        <v>0</v>
      </c>
      <c r="CA67" s="2"/>
      <c r="CB67" s="2"/>
      <c r="CC67" s="2"/>
    </row>
    <row r="68" spans="2:81" x14ac:dyDescent="0.25"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-371.57101101818802</v>
      </c>
      <c r="F68" s="267">
        <f t="shared" si="58"/>
        <v>0</v>
      </c>
      <c r="G68" s="267">
        <f t="shared" si="58"/>
        <v>-1923.3451494356384</v>
      </c>
      <c r="H68" s="267">
        <f t="shared" si="58"/>
        <v>-17.171229467666368</v>
      </c>
      <c r="I68" s="267">
        <f t="shared" si="58"/>
        <v>0</v>
      </c>
      <c r="J68" s="267">
        <f t="shared" si="58"/>
        <v>-13.511709703822332</v>
      </c>
      <c r="K68" s="267">
        <f t="shared" si="58"/>
        <v>-907.34398140003066</v>
      </c>
      <c r="L68" s="267">
        <f t="shared" si="58"/>
        <v>-339.00429306071874</v>
      </c>
      <c r="M68" s="267">
        <f t="shared" si="58"/>
        <v>-646.31393580340045</v>
      </c>
      <c r="N68" s="267">
        <f t="shared" si="58"/>
        <v>-28.00470440101347</v>
      </c>
      <c r="O68" s="267">
        <f t="shared" si="58"/>
        <v>0</v>
      </c>
      <c r="P68" s="267">
        <f t="shared" si="58"/>
        <v>0</v>
      </c>
      <c r="Q68" s="267">
        <f t="shared" si="58"/>
        <v>0</v>
      </c>
      <c r="R68" s="267">
        <f t="shared" si="58"/>
        <v>0</v>
      </c>
      <c r="S68" s="267">
        <f t="shared" si="58"/>
        <v>-28.00470440101347</v>
      </c>
      <c r="T68" s="267">
        <f t="shared" si="58"/>
        <v>-781.10714420404338</v>
      </c>
      <c r="U68" s="267">
        <f t="shared" si="58"/>
        <v>0</v>
      </c>
      <c r="V68" s="267">
        <f t="shared" si="58"/>
        <v>-150.00885935402363</v>
      </c>
      <c r="W68" s="267">
        <f t="shared" si="58"/>
        <v>0</v>
      </c>
      <c r="X68" s="267">
        <f t="shared" si="58"/>
        <v>-600.48849166751666</v>
      </c>
      <c r="Y68" s="267">
        <f t="shared" si="58"/>
        <v>-30.609793182503093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-1299.5396154687255</v>
      </c>
      <c r="AD68" s="267">
        <f t="shared" si="58"/>
        <v>-1551.2123856103924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-154.2187045550657</v>
      </c>
      <c r="AI68" s="267">
        <f>SUM(AI69:AI70,AI79:AI80,AI84)</f>
        <v>0</v>
      </c>
      <c r="AJ68" s="105">
        <f t="shared" si="56"/>
        <v>-5954.7800101380008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4282.9299414131601</v>
      </c>
      <c r="AP68" s="37">
        <f t="shared" si="6"/>
        <v>0.71924234549747945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4282.9299414131601</v>
      </c>
      <c r="BX68" s="267">
        <f t="shared" si="59"/>
        <v>0</v>
      </c>
      <c r="BY68" s="268">
        <f t="shared" si="59"/>
        <v>1671.8500687248413</v>
      </c>
      <c r="BZ68" s="268">
        <f t="shared" si="59"/>
        <v>161.99559976315155</v>
      </c>
    </row>
    <row r="69" spans="2:81" x14ac:dyDescent="0.25">
      <c r="B69" s="31"/>
      <c r="C69" s="21"/>
      <c r="D69" s="21"/>
      <c r="E69" s="21"/>
      <c r="F69" s="21"/>
      <c r="G69" s="20">
        <f t="shared" si="29"/>
        <v>-2.636660570294229E-15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-2.636660570294229E-15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IF(-($BR$11+$BR$18+$BR$57)-($AC$70+AC79+AC80+AC84)/(1-Nøgletal!$V$294)-$AC$9&lt;0,-($BR$11+$BR$18+$BR$57)-($AC$70+AC79+AC80+AC84)/(1-Nøgletal!$V$294)-$AC$9,0)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-2.636660570294229E-15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AC69*Emissionsfaktorer!K6+AE69*Emissionsfaktorer!K14</f>
        <v>0</v>
      </c>
    </row>
    <row r="70" spans="2:81" x14ac:dyDescent="0.25">
      <c r="B70" s="31"/>
      <c r="C70" s="79">
        <f>SUM(C71:C78)</f>
        <v>0</v>
      </c>
      <c r="D70" s="79">
        <f>SUM(D71:D78)</f>
        <v>0</v>
      </c>
      <c r="E70" s="79">
        <f>SUM(E71:E78)</f>
        <v>-3.7253219017661392</v>
      </c>
      <c r="F70" s="79">
        <f>SUM(F71:F78)</f>
        <v>0</v>
      </c>
      <c r="G70" s="20">
        <f t="shared" si="29"/>
        <v>-1857.0189368037936</v>
      </c>
      <c r="H70" s="79">
        <f t="shared" ref="H70:M70" si="62">SUM(H71:H78)</f>
        <v>0</v>
      </c>
      <c r="I70" s="79">
        <f t="shared" si="62"/>
        <v>2.636660570294229E-15</v>
      </c>
      <c r="J70" s="79">
        <f t="shared" si="62"/>
        <v>0</v>
      </c>
      <c r="K70" s="79">
        <f t="shared" si="62"/>
        <v>-871.70070793967454</v>
      </c>
      <c r="L70" s="79">
        <f t="shared" si="62"/>
        <v>-339.00429306071874</v>
      </c>
      <c r="M70" s="79">
        <f t="shared" si="62"/>
        <v>-646.31393580340045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-150.00885935402363</v>
      </c>
      <c r="U70" s="79">
        <f t="shared" ref="U70:AI70" si="63">SUM(U71:U78)</f>
        <v>0</v>
      </c>
      <c r="V70" s="79">
        <f t="shared" si="63"/>
        <v>-150.00885935402363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-21.694521663226354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-2032.4476397228098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534.33927647557732</v>
      </c>
      <c r="AP70" s="37">
        <f t="shared" si="6"/>
        <v>0.2629043258149823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534.33927647557732</v>
      </c>
      <c r="BX70" s="21">
        <f t="shared" si="64"/>
        <v>0</v>
      </c>
      <c r="BY70" s="127">
        <f t="shared" si="64"/>
        <v>1498.1083632472325</v>
      </c>
      <c r="BZ70" s="127">
        <f t="shared" si="64"/>
        <v>136.30742214995655</v>
      </c>
    </row>
    <row r="71" spans="2:81" x14ac:dyDescent="0.25">
      <c r="B71" s="31"/>
      <c r="C71" s="78"/>
      <c r="D71" s="78"/>
      <c r="E71" s="78">
        <f>BW71*Nøgletal!V635*-1/Nøgletal!V401</f>
        <v>0</v>
      </c>
      <c r="F71" s="78"/>
      <c r="G71" s="23">
        <f t="shared" si="29"/>
        <v>-1014.6593585179426</v>
      </c>
      <c r="H71" s="78"/>
      <c r="I71" s="78"/>
      <c r="J71" s="78"/>
      <c r="K71" s="78">
        <f>AO71*Nøgletal!V287/(Nøgletal!V286+Nøgletal!V287+Nøgletal!V284)*Nøgletal!V642/Nøgletal!V402*-1</f>
        <v>-377.19678755313856</v>
      </c>
      <c r="L71" s="78"/>
      <c r="M71" s="78">
        <f>AO71*Nøgletal!V286/(Nøgletal!V286+Nøgletal!V287+Nøgletal!V284)*Nøgletal!V634/Nøgletal!V401*-1</f>
        <v>-637.46257096480406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-108.63267481530389</v>
      </c>
      <c r="U71" s="78">
        <f>IF(Nøgletal!V636=0,0,$AO$71*Nøgletal!V636/Nøgletal!$V$401*-1)</f>
        <v>0</v>
      </c>
      <c r="V71" s="78">
        <f>AO71*(Nøgletal!V286/(Nøgletal!V286+Nøgletal!V287+Nøgletal!V284)*Nøgletal!V637/Nøgletal!V401+Nøgletal!V287/(Nøgletal!V286+Nøgletal!V287+Nøgletal!V284)*Nøgletal!V646/Nøgletal!V402)*-1</f>
        <v>-108.63267481530389</v>
      </c>
      <c r="W71" s="78"/>
      <c r="X71" s="78"/>
      <c r="Y71" s="78"/>
      <c r="Z71" s="78"/>
      <c r="AA71" s="78"/>
      <c r="AB71" s="78">
        <f>IF(Nøgletal!V638=0,0,AO71*Nøgletal!V638/Nøgletal!V401*-1)</f>
        <v>0</v>
      </c>
      <c r="AC71" s="32">
        <f>AO71*Nøgletal!V284/(Nøgletal!V284+Nøgletal!V286+Nøgletal!V287)/(Nøgletal!V410*-1)</f>
        <v>-8.3885483764475257</v>
      </c>
      <c r="AD71" s="32"/>
      <c r="AE71" s="32">
        <f>AO71*Nøgletal!V286/(Nøgletal!V286+Nøgletal!V287+Nøgletal!V284)*Nøgletal!V639/Nøgletal!V401*-1+AO71*Nøgletal!V287/(Nøgletal!V286+Nøgletal!V287+Nøgletal!V284)*Nøgletal!V647/Nøgletal!V402*-1</f>
        <v>0</v>
      </c>
      <c r="AF71" s="32"/>
      <c r="AG71" s="32"/>
      <c r="AH71" s="32"/>
      <c r="AI71" s="32"/>
      <c r="AJ71" s="105">
        <f t="shared" si="56"/>
        <v>-1131.680581709694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253.06257160462673</v>
      </c>
      <c r="AP71" s="37">
        <f t="shared" si="6"/>
        <v>0.22361660674809031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Nøgletal!V$282*(Nøgletal!V286+Nøgletal!V287+Nøgletal!V284)</f>
        <v>253.06257160462673</v>
      </c>
      <c r="BX71" s="78"/>
      <c r="BY71" s="127">
        <f t="shared" ref="BY71:BY79" si="67">(AJ71+BW71)*-1</f>
        <v>878.61801010506724</v>
      </c>
      <c r="BZ71" s="123">
        <f>(C71*Emissionsfaktorer!$K$4+E71*Emissionsfaktorer!$K$3+F71*Emissionsfaktorer!$K$5+H71*Emissionsfaktorer!$K$7+I71*Emissionsfaktorer!$K$8+J71*Emissionsfaktorer!$K$9+K71*Emissionsfaktorer!$K$10+L71*Emissionsfaktorer!$K$11+M71*Emissionsfaktorer!$K$12)*-1</f>
        <v>74.447329959362946</v>
      </c>
    </row>
    <row r="72" spans="2:81" x14ac:dyDescent="0.25">
      <c r="B72" s="31"/>
      <c r="C72" s="78"/>
      <c r="D72" s="78"/>
      <c r="E72" s="149"/>
      <c r="F72" s="78"/>
      <c r="G72" s="23">
        <f>SUM(H72:M72)</f>
        <v>0</v>
      </c>
      <c r="H72" s="78">
        <f>AO72/Nøgletal!V411*-1</f>
        <v>0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0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0</v>
      </c>
      <c r="AP72" s="37">
        <f>IF(AJ72=0,0,AO72/AJ72*-1)</f>
        <v>0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Nøgletal!V$282*Nøgletal!V285</f>
        <v>0</v>
      </c>
      <c r="BX72" s="78"/>
      <c r="BY72" s="127">
        <f t="shared" si="67"/>
        <v>0</v>
      </c>
      <c r="BZ72" s="123">
        <f>(C72*Emissionsfaktorer!$K$4+E72*Emissionsfaktorer!$K$3+F72*Emissionsfaktorer!$K$5+H72*Emissionsfaktorer!$K$7+I72*Emissionsfaktorer!$K$8+J72*Emissionsfaktorer!$K$9+K72*Emissionsfaktorer!$K$10+L72*Emissionsfaktorer!$K$11+M72*Emissionsfaktorer!$K$12)*-1</f>
        <v>0</v>
      </c>
    </row>
    <row r="73" spans="2:81" x14ac:dyDescent="0.25">
      <c r="B73" s="31"/>
      <c r="C73" s="78"/>
      <c r="D73" s="78"/>
      <c r="E73" s="78">
        <f>AO73*Nøgletal!V654/IF(Nøgletal!$V$403&gt;0,Nøgletal!V403,1)*-1</f>
        <v>0</v>
      </c>
      <c r="F73" s="78"/>
      <c r="G73" s="23">
        <f t="shared" si="29"/>
        <v>-267.50791512202295</v>
      </c>
      <c r="H73" s="78"/>
      <c r="I73" s="78"/>
      <c r="J73" s="78"/>
      <c r="K73" s="78">
        <f>$AO$73*Nøgletal!V650/IF(Nøgletal!V403&gt;0,Nøgletal!V403,1)*-1</f>
        <v>-258.65655028342661</v>
      </c>
      <c r="L73" s="78"/>
      <c r="M73" s="78">
        <f>AO73*Nøgletal!V651/IF(Nøgletal!V403&gt;0,Nøgletal!V403,1)*-1</f>
        <v>-8.8513648385963482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-18.686214659258958</v>
      </c>
      <c r="U73" s="78">
        <f>AO73*Nøgletal!V653/IF(Nøgletal!V403&gt;0,Nøgletal!V403,1)*-1</f>
        <v>0</v>
      </c>
      <c r="V73" s="78">
        <f>AO73*Nøgletal!V655/IF(Nøgletal!V403&gt;0,Nøgletal!V403,1)*-1</f>
        <v>-18.686214659258958</v>
      </c>
      <c r="W73" s="78"/>
      <c r="X73" s="78"/>
      <c r="Y73" s="78"/>
      <c r="Z73" s="78"/>
      <c r="AA73" s="78"/>
      <c r="AB73" s="78">
        <f>AO73*Nøgletal!V652/IF(Nøgletal!V403&gt;0,Nøgletal!V403,1)*-1</f>
        <v>0</v>
      </c>
      <c r="AC73" s="32">
        <f>AO73*Nøgletal!V657/IF(Nøgletal!V410&gt;0,Nøgletal!V410,1)*-1</f>
        <v>-1.1570411553720719</v>
      </c>
      <c r="AD73" s="32"/>
      <c r="AE73" s="32">
        <f>AO73*Nøgletal!V656/IF(Nøgletal!V403&gt;0,Nøgletal!V403,1)*-1</f>
        <v>0</v>
      </c>
      <c r="AF73" s="32"/>
      <c r="AG73" s="32"/>
      <c r="AH73" s="32"/>
      <c r="AI73" s="32"/>
      <c r="AJ73" s="105">
        <f t="shared" si="56"/>
        <v>-287.351170936654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72.532017427386734</v>
      </c>
      <c r="AP73" s="37">
        <f t="shared" si="6"/>
        <v>0.25241594523857458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Nøgletal!V$282*Nøgletal!V288</f>
        <v>72.532017427386734</v>
      </c>
      <c r="BX73" s="78"/>
      <c r="BY73" s="127">
        <f t="shared" si="67"/>
        <v>214.81915350926727</v>
      </c>
      <c r="BZ73" s="123">
        <f>(C73*Emissionsfaktorer!$K$4+E73*Emissionsfaktorer!$K$3+F73*Emissionsfaktorer!$K$5+H73*Emissionsfaktorer!$K$7+I73*Emissionsfaktorer!$K$8+J73*Emissionsfaktorer!$K$9+K73*Emissionsfaktorer!$K$10+L73*Emissionsfaktorer!$K$11+M73*Emissionsfaktorer!$K$12)*-1</f>
        <v>19.7867343541911</v>
      </c>
    </row>
    <row r="74" spans="2:81" x14ac:dyDescent="0.25">
      <c r="B74" s="31"/>
      <c r="C74" s="78"/>
      <c r="D74" s="78"/>
      <c r="E74" s="78">
        <f>AO74*Nøgletal!V662/Nøgletal!V404*-1</f>
        <v>-3.7253219017661392</v>
      </c>
      <c r="F74" s="78"/>
      <c r="G74" s="23">
        <f t="shared" si="29"/>
        <v>-29.802575214129114</v>
      </c>
      <c r="H74" s="78"/>
      <c r="I74" s="78"/>
      <c r="J74" s="78"/>
      <c r="K74" s="78">
        <f>AO74*Nøgletal!V659/Nøgletal!V404*-1</f>
        <v>-29.802575214129114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-11.921030085651646</v>
      </c>
      <c r="U74" s="78">
        <f>AO75*Nøgletal!V661/Nøgletal!V404*-1</f>
        <v>0</v>
      </c>
      <c r="V74" s="78">
        <f>AO74*Nøgletal!V663/Nøgletal!V404*-1</f>
        <v>-11.921030085651646</v>
      </c>
      <c r="W74" s="78"/>
      <c r="X74" s="78"/>
      <c r="Y74" s="78"/>
      <c r="Z74" s="78"/>
      <c r="AA74" s="78"/>
      <c r="AB74" s="78">
        <f>AO74*Nøgletal!V660/Nøgletal!V404*-1</f>
        <v>0</v>
      </c>
      <c r="AC74" s="269">
        <f>AO74*Nøgletal!V665/Nøgletal!V410*-1</f>
        <v>-0.86778086652905373</v>
      </c>
      <c r="AD74" s="32"/>
      <c r="AE74" s="32">
        <f>AO74*Nøgletal!V664/Nøgletal!V404*-1</f>
        <v>0</v>
      </c>
      <c r="AF74" s="32"/>
      <c r="AG74" s="32"/>
      <c r="AH74" s="32"/>
      <c r="AI74" s="32"/>
      <c r="AJ74" s="105">
        <f t="shared" si="56"/>
        <v>-46.316708068075947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15.735759713060174</v>
      </c>
      <c r="AP74" s="37">
        <f t="shared" ref="AP74:AP89" si="68">IF(AJ74=0,0,AO74/AJ74*-1)</f>
        <v>0.33974261922785776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Nøgletal!V$282*Nøgletal!V289</f>
        <v>15.735759713060174</v>
      </c>
      <c r="BX74" s="78"/>
      <c r="BY74" s="127">
        <f t="shared" si="67"/>
        <v>30.580948355015771</v>
      </c>
      <c r="BZ74" s="123">
        <f>(C74*Emissionsfaktorer!$K$4+E74*Emissionsfaktorer!$K$3+F74*Emissionsfaktorer!$K$5+H74*Emissionsfaktorer!$K$7+I74*Emissionsfaktorer!$K$8+J74*Emissionsfaktorer!$K$9+K74*Emissionsfaktorer!$K$10+L74*Emissionsfaktorer!$K$11+M74*Emissionsfaktorer!$K$12)*-1</f>
        <v>2.4177339142462242</v>
      </c>
    </row>
    <row r="75" spans="2:81" x14ac:dyDescent="0.25">
      <c r="B75" s="31"/>
      <c r="C75" s="78"/>
      <c r="D75" s="78"/>
      <c r="E75" s="78">
        <f>AO75*Nøgletal!V670/Nøgletal!V405*-1</f>
        <v>0</v>
      </c>
      <c r="F75" s="78"/>
      <c r="G75" s="23">
        <f t="shared" si="29"/>
        <v>-155.38041702496068</v>
      </c>
      <c r="H75" s="78"/>
      <c r="I75" s="78"/>
      <c r="J75" s="78"/>
      <c r="K75" s="78">
        <f>AO75*Nøgletal!V667/Nøgletal!V405*-1</f>
        <v>-155.38041702496068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-10.768939793809153</v>
      </c>
      <c r="U75" s="78">
        <f>AO76*Nøgletal!V669/Nøgletal!V405*-1</f>
        <v>0</v>
      </c>
      <c r="V75" s="78">
        <f>AO75*Nøgletal!V671/Nøgletal!V405*-1</f>
        <v>-10.768939793809153</v>
      </c>
      <c r="W75" s="78"/>
      <c r="X75" s="78"/>
      <c r="Y75" s="78"/>
      <c r="Z75" s="78"/>
      <c r="AA75" s="78"/>
      <c r="AB75" s="78">
        <f>AO75*Nøgletal!V668/Nøgletal!V405*-1</f>
        <v>0</v>
      </c>
      <c r="AC75" s="269">
        <f>AO75*Nøgletal!V673/Nøgletal!V410*-1</f>
        <v>0</v>
      </c>
      <c r="AD75" s="32"/>
      <c r="AE75" s="32">
        <f>AO75*Nøgletal!V672/Nøgletal!V405*-1</f>
        <v>0</v>
      </c>
      <c r="AF75" s="32"/>
      <c r="AG75" s="32"/>
      <c r="AH75" s="32"/>
      <c r="AI75" s="32"/>
      <c r="AJ75" s="105">
        <f t="shared" si="56"/>
        <v>-166.14935681876983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54.829287750194041</v>
      </c>
      <c r="AP75" s="37">
        <f t="shared" si="68"/>
        <v>0.32999999999999996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Nøgletal!V$282*Nøgletal!V290</f>
        <v>54.829287750194041</v>
      </c>
      <c r="BX75" s="78"/>
      <c r="BY75" s="127">
        <f t="shared" si="67"/>
        <v>111.32006906857579</v>
      </c>
      <c r="BZ75" s="123">
        <f>(C75*Emissionsfaktorer!$K$4+E75*Emissionsfaktorer!$K$3+F75*Emissionsfaktorer!$K$5+H75*Emissionsfaktorer!$K$7+I75*Emissionsfaktorer!$K$8+J75*Emissionsfaktorer!$K$9+K75*Emissionsfaktorer!$K$10+L75*Emissionsfaktorer!$K$11+M75*Emissionsfaktorer!$K$12)*-1</f>
        <v>11.49815085984709</v>
      </c>
    </row>
    <row r="76" spans="2:81" x14ac:dyDescent="0.25">
      <c r="B76" s="31"/>
      <c r="C76" s="78"/>
      <c r="D76" s="78"/>
      <c r="E76" s="78"/>
      <c r="F76" s="78"/>
      <c r="G76" s="23">
        <f t="shared" si="29"/>
        <v>-6.7055794231790538</v>
      </c>
      <c r="H76" s="78"/>
      <c r="I76" s="78"/>
      <c r="J76" s="78"/>
      <c r="K76" s="78">
        <f>AO76*Nøgletal!V675/Nøgletal!V407*-1</f>
        <v>-6.7055794231790538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AO76*Nøgletal!V676/Nøgletal!V407*-1</f>
        <v>0</v>
      </c>
      <c r="W76" s="78"/>
      <c r="X76" s="78"/>
      <c r="Y76" s="78"/>
      <c r="Z76" s="78"/>
      <c r="AA76" s="78"/>
      <c r="AB76" s="78"/>
      <c r="AC76" s="269">
        <f>AO76*Nøgletal!V678/Nøgletal!V410*-1</f>
        <v>-10.991890976034682</v>
      </c>
      <c r="AD76" s="32"/>
      <c r="AE76" s="32">
        <f>AO76*Nøgletal!V677/Nøgletal!V407*-1</f>
        <v>0</v>
      </c>
      <c r="AF76" s="32"/>
      <c r="AG76" s="32"/>
      <c r="AH76" s="32"/>
      <c r="AI76" s="32"/>
      <c r="AJ76" s="105">
        <f t="shared" si="56"/>
        <v>-17.697470399213735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11.555948539278567</v>
      </c>
      <c r="AP76" s="37">
        <f t="shared" si="68"/>
        <v>0.65297176820208025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Nøgletal!V$282*Nøgletal!V291</f>
        <v>11.555948539278567</v>
      </c>
      <c r="BX76" s="78"/>
      <c r="BY76" s="127">
        <f t="shared" si="67"/>
        <v>6.1415218599351675</v>
      </c>
      <c r="BZ76" s="123">
        <f>(C76*Emissionsfaktorer!$K$4+E76*Emissionsfaktorer!$K$3+F76*Emissionsfaktorer!$K$5+H76*Emissionsfaktorer!$K$7+I76*Emissionsfaktorer!$K$8+J76*Emissionsfaktorer!$K$9+K76*Emissionsfaktorer!$K$10+L76*Emissionsfaktorer!$K$11+M76*Emissionsfaktorer!$K$12)*-1</f>
        <v>0.49621287731524993</v>
      </c>
    </row>
    <row r="77" spans="2:81" x14ac:dyDescent="0.25">
      <c r="B77" s="31"/>
      <c r="C77" s="78"/>
      <c r="D77" s="78"/>
      <c r="E77" s="78"/>
      <c r="F77" s="78"/>
      <c r="G77" s="23">
        <f t="shared" si="29"/>
        <v>-339.00429306071874</v>
      </c>
      <c r="H77" s="78"/>
      <c r="I77" s="78"/>
      <c r="J77" s="78"/>
      <c r="K77" s="78"/>
      <c r="L77" s="78">
        <f>AO77*Nøgletal!V680/Nøgletal!V408*-1</f>
        <v>-339.00429306071874</v>
      </c>
      <c r="M77" s="78">
        <f>AO77*Nøgletal!V681/Nøgletal!V408*-1</f>
        <v>0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AO77*Nøgletal!V682/Nøgletal!V407*-1</f>
        <v>0</v>
      </c>
      <c r="W77" s="78"/>
      <c r="X77" s="78"/>
      <c r="Y77" s="78"/>
      <c r="Z77" s="78"/>
      <c r="AA77" s="78"/>
      <c r="AB77" s="78"/>
      <c r="AC77" s="269">
        <f>AO77*Nøgletal!V684/Nøgletal!V410</f>
        <v>0</v>
      </c>
      <c r="AD77" s="32"/>
      <c r="AE77" s="32">
        <f>AO77*Nøgletal!V683/Nøgletal!V408*-1</f>
        <v>0</v>
      </c>
      <c r="AF77" s="32"/>
      <c r="AG77" s="32"/>
      <c r="AH77" s="32"/>
      <c r="AI77" s="32"/>
      <c r="AJ77" s="105">
        <f t="shared" si="56"/>
        <v>-339.00429306071874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111.87141671003718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Nøgletal!V$282*Nøgletal!V292</f>
        <v>111.87141671003718</v>
      </c>
      <c r="BX77" s="78"/>
      <c r="BY77" s="127">
        <f t="shared" si="67"/>
        <v>227.13287635068156</v>
      </c>
      <c r="BZ77" s="123">
        <f>(C77*Emissionsfaktorer!$K$4+E77*Emissionsfaktorer!$K$3+F77*Emissionsfaktorer!$K$5+H77*Emissionsfaktorer!$K$7+I77*Emissionsfaktorer!$K$8+J77*Emissionsfaktorer!$K$9+K77*Emissionsfaktorer!$K$10+L77*Emissionsfaktorer!$K$11+M77*Emissionsfaktorer!$K$12)*-1</f>
        <v>24.408309100371746</v>
      </c>
    </row>
    <row r="78" spans="2:81" x14ac:dyDescent="0.25">
      <c r="B78" s="31"/>
      <c r="C78" s="78"/>
      <c r="D78" s="78"/>
      <c r="E78" s="78"/>
      <c r="F78" s="78"/>
      <c r="G78" s="23">
        <f t="shared" si="29"/>
        <v>-43.958798440840454</v>
      </c>
      <c r="H78" s="78"/>
      <c r="I78" s="78">
        <f>-AO78/Nøgletal!V409*Nøgletal!V686</f>
        <v>2.636660570294229E-15</v>
      </c>
      <c r="J78" s="78"/>
      <c r="K78" s="78">
        <f>AO78*Nøgletal!V687/Nøgletal!V409*-1</f>
        <v>-43.958798440840454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AO78*Nøgletal!V688/Nøgletal!V409*-1</f>
        <v>0</v>
      </c>
      <c r="W78" s="78"/>
      <c r="X78" s="78"/>
      <c r="Y78" s="78"/>
      <c r="Z78" s="78"/>
      <c r="AA78" s="78"/>
      <c r="AB78" s="78"/>
      <c r="AC78" s="269">
        <f>AO78*Nøgletal!V690/Nøgletal!V410*-1</f>
        <v>-0.28926028884301791</v>
      </c>
      <c r="AD78" s="32"/>
      <c r="AE78" s="32">
        <f>AO78*Nøgletal!V689/Nøgletal!V409*-1</f>
        <v>0</v>
      </c>
      <c r="AF78" s="32"/>
      <c r="AG78" s="32"/>
      <c r="AH78" s="32"/>
      <c r="AI78" s="32"/>
      <c r="AJ78" s="105">
        <f t="shared" si="56"/>
        <v>-44.248058729683471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14.752274730993914</v>
      </c>
      <c r="AP78" s="37">
        <f t="shared" si="68"/>
        <v>0.33339936608557841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Nøgletal!V$282*Nøgletal!V293</f>
        <v>14.752274730993914</v>
      </c>
      <c r="BX78" s="78"/>
      <c r="BY78" s="127">
        <f t="shared" si="67"/>
        <v>29.495783998689557</v>
      </c>
      <c r="BZ78" s="123">
        <f>(C78*Emissionsfaktorer!$K$4+E78*Emissionsfaktorer!$K$3+F78*Emissionsfaktorer!$K$5+H78*Emissionsfaktorer!$K$7+I78*Emissionsfaktorer!$K$8+J78*Emissionsfaktorer!$K$9+K78*Emissionsfaktorer!$K$10+L78*Emissionsfaktorer!$K$11+M78*Emissionsfaktorer!$K$12)*-1</f>
        <v>3.2529510846221936</v>
      </c>
    </row>
    <row r="79" spans="2:81" x14ac:dyDescent="0.25">
      <c r="B79" s="31"/>
      <c r="C79" s="21"/>
      <c r="D79" s="21"/>
      <c r="E79" s="21">
        <f>Nøgletal!V37*Nøgletal!V38*Nøgletal!V43/Nøgletal!W391*-1</f>
        <v>-62.06240920607636</v>
      </c>
      <c r="F79" s="21"/>
      <c r="G79" s="20">
        <f t="shared" si="29"/>
        <v>-12.082096039520385</v>
      </c>
      <c r="H79" s="21">
        <f>Nøgletal!V34/Nøgletal!W389*-1</f>
        <v>-4.45</v>
      </c>
      <c r="I79" s="21"/>
      <c r="J79" s="21">
        <f>Nøgletal!V37*Nøgletal!V38*Nøgletal!V42/Nøgletal!W390*-1</f>
        <v>-7.632096039520385</v>
      </c>
      <c r="K79" s="21"/>
      <c r="L79" s="21"/>
      <c r="M79" s="21"/>
      <c r="N79" s="20">
        <f t="shared" si="32"/>
        <v>-28.00470440101347</v>
      </c>
      <c r="O79" s="21"/>
      <c r="P79" s="21"/>
      <c r="Q79" s="21">
        <f>Nøgletal!V37*Nøgletal!V38*Nøgletal!V47/Nøgletal!W395*-1</f>
        <v>0</v>
      </c>
      <c r="R79" s="21"/>
      <c r="S79" s="21">
        <f>Nøgletal!V37*Nøgletal!V38*Nøgletal!V41*(1-1/Nøgletal!W388)*-1</f>
        <v>-28.00470440101347</v>
      </c>
      <c r="T79" s="20">
        <f t="shared" si="30"/>
        <v>-120.44778274800832</v>
      </c>
      <c r="U79" s="21"/>
      <c r="V79" s="21"/>
      <c r="W79" s="21">
        <f>Nøgletal!V37*Nøgletal!V38*Nøgletal!V46/Nøgletal!W394*-1</f>
        <v>0</v>
      </c>
      <c r="X79" s="21">
        <f>Nøgletal!V37*Nøgletal!V38*Nøgletal!V45/Nøgletal!W393*-1</f>
        <v>-89.837989565505225</v>
      </c>
      <c r="Y79" s="21">
        <f>Nøgletal!V37*Nøgletal!V38*Nøgletal!V44/Nøgletal!W392*-1</f>
        <v>-30.609793182503093</v>
      </c>
      <c r="Z79" s="21"/>
      <c r="AA79" s="21"/>
      <c r="AB79" s="21"/>
      <c r="AC79" s="79">
        <f>-(Nøgletal!V31/Nøgletal!V$385+Nøgletal!V32/Nøgletal!V$386+Nøgletal!V33/Nøgletal!V$387+Nøgletal!V30/Nøgletal!V382+Nøgletal!V37*Nøgletal!V38*Nøgletal!V48/Nøgletal!V384+Nøgletal!V37*Nøgletal!V38*Nøgletal!V49/Nøgletal!V383+Nøgletal!V37*Nøgletal!V38*Nøgletal!V41/Nøgletal!W388)</f>
        <v>-271.71135355765716</v>
      </c>
      <c r="AD79" s="21">
        <f>Nøgletal!V37*Nøgletal!V39*-1</f>
        <v>-975.94184816316192</v>
      </c>
      <c r="AE79" s="21"/>
      <c r="AF79" s="21"/>
      <c r="AG79" s="21"/>
      <c r="AH79" s="21"/>
      <c r="AI79" s="21"/>
      <c r="AJ79" s="105">
        <f t="shared" si="56"/>
        <v>-1470.2501941154376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1383.8842979544149</v>
      </c>
      <c r="AP79" s="37">
        <f t="shared" si="68"/>
        <v>0.94125768763255702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Nøgletal!V28</f>
        <v>1383.8842979544149</v>
      </c>
      <c r="BX79" s="79"/>
      <c r="BY79" s="127">
        <f t="shared" si="67"/>
        <v>86.365896161022647</v>
      </c>
      <c r="BZ79" s="123">
        <f>(C79*Emissionsfaktorer!$K$4+E79*Emissionsfaktorer!$K$3+F79*Emissionsfaktorer!$K$5+H79*Emissionsfaktorer!$K$7+I79*Emissionsfaktorer!$K$8+J79*Emissionsfaktorer!$K$9+K79*Emissionsfaktorer!$K$10+L79*Emissionsfaktorer!$K$11+M79*Emissionsfaktorer!$K$12)*-1</f>
        <v>4.3831274316708608</v>
      </c>
    </row>
    <row r="80" spans="2:81" x14ac:dyDescent="0.25"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-319.39971964888792</v>
      </c>
      <c r="AD80" s="21">
        <f>SUM(AD81:AD83)</f>
        <v>-507.82483984224677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-827.22455949113464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782.01324750711763</v>
      </c>
      <c r="AP80" s="37">
        <f t="shared" si="68"/>
        <v>0.9453457813053463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782.01324750711763</v>
      </c>
      <c r="BX80" s="79"/>
      <c r="BY80" s="230">
        <f>SUM(BY81:BY83)</f>
        <v>45.211311984017186</v>
      </c>
      <c r="BZ80" s="123">
        <f>(C80*Emissionsfaktorer!$K$4+E80*Emissionsfaktorer!$K$3+F80*Emissionsfaktorer!$K$5+H80*Emissionsfaktorer!$K$7+I80*Emissionsfaktorer!$K$8+J80*Emissionsfaktorer!$K$9+K80*Emissionsfaktorer!$K$10+L80*Emissionsfaktorer!$K$11+M80*Emissionsfaktorer!$K$12)*-1</f>
        <v>0</v>
      </c>
    </row>
    <row r="81" spans="2:80" x14ac:dyDescent="0.25">
      <c r="B81" s="31"/>
      <c r="C81" s="32"/>
      <c r="D81" s="32"/>
      <c r="E81" s="32">
        <f>Nøgletal!V65*Nøgletal!V66*Nøgletal!V71/Nøgletal!W391*-1</f>
        <v>0</v>
      </c>
      <c r="F81" s="32"/>
      <c r="G81" s="23">
        <f t="shared" si="29"/>
        <v>0</v>
      </c>
      <c r="H81" s="32">
        <f>Nøgletal!V62/Nøgletal!W389*-1</f>
        <v>0</v>
      </c>
      <c r="I81" s="32"/>
      <c r="J81" s="32">
        <f>Nøgletal!V65*Nøgletal!V66*Nøgletal!V70/Nøgletal!W390*-1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Nøgletal!V65*Nøgletal!V66*Nøgletal!V75/Nøgletal!W395*-1</f>
        <v>0</v>
      </c>
      <c r="R81" s="32"/>
      <c r="S81" s="32">
        <f>Nøgletal!V65*Nøgletal!V66*Nøgletal!V69*(1-1/Nøgletal!W388)*-1</f>
        <v>0</v>
      </c>
      <c r="T81" s="23">
        <f t="shared" si="30"/>
        <v>0</v>
      </c>
      <c r="U81" s="32"/>
      <c r="V81" s="32"/>
      <c r="W81" s="32">
        <f>Nøgletal!V65*Nøgletal!V66*Nøgletal!V74/Nøgletal!W394*-1</f>
        <v>0</v>
      </c>
      <c r="X81" s="32">
        <f>Nøgletal!V65*Nøgletal!V66*Nøgletal!V73/Nøgletal!W393*-1</f>
        <v>0</v>
      </c>
      <c r="Y81" s="32">
        <f>Nøgletal!V65*Nøgletal!V66*Nøgletal!V72/Nøgletal!W392*-1</f>
        <v>0</v>
      </c>
      <c r="Z81" s="32"/>
      <c r="AA81" s="32"/>
      <c r="AB81" s="32"/>
      <c r="AC81" s="78">
        <f>-(Nøgletal!V59/Nøgletal!V$385+Nøgletal!V60/Nøgletal!V$386+Nøgletal!V61/Nøgletal!V$387+Nøgletal!V65*Nøgletal!V66*Nøgletal!V76/Nøgletal!V384+Nøgletal!V65*Nøgletal!V66*Nøgletal!V69/Nøgletal!W388+Nøgletal!V77*Nøgletal!V65*Nøgletal!V66/Nøgletal!V383)</f>
        <v>-144.96137877376239</v>
      </c>
      <c r="AD81" s="32">
        <f>Nøgletal!V65*Nøgletal!V67*-1</f>
        <v>-162.83024413895004</v>
      </c>
      <c r="AE81" s="32"/>
      <c r="AF81" s="32"/>
      <c r="AG81" s="32"/>
      <c r="AH81" s="32"/>
      <c r="AI81" s="32"/>
      <c r="AJ81" s="105">
        <f t="shared" si="56"/>
        <v>-307.79162291271246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272.36129104214177</v>
      </c>
      <c r="AP81" s="37">
        <f t="shared" si="68"/>
        <v>0.8848885764489488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Nøgletal!V57</f>
        <v>272.36129104214177</v>
      </c>
      <c r="BX81" s="78"/>
      <c r="BY81" s="127">
        <f>(AJ81+BW81)*-1</f>
        <v>35.430331870570683</v>
      </c>
      <c r="BZ81" s="123">
        <f>(C81*Emissionsfaktorer!$K$4+E81*Emissionsfaktorer!$K$3+F81*Emissionsfaktorer!$K$5+H81*Emissionsfaktorer!$K$7+I81*Emissionsfaktorer!$K$8+J81*Emissionsfaktorer!$K$9+K81*Emissionsfaktorer!$K$10+L81*Emissionsfaktorer!$K$11+M81*Emissionsfaktorer!$K$12)*-1</f>
        <v>0</v>
      </c>
    </row>
    <row r="82" spans="2:80" x14ac:dyDescent="0.25">
      <c r="B82" s="31"/>
      <c r="C82" s="32"/>
      <c r="D82" s="32"/>
      <c r="E82" s="32">
        <f>Nøgletal!V93*Nøgletal!V94*Nøgletal!V99/Nøgletal!W391*-1</f>
        <v>0</v>
      </c>
      <c r="F82" s="32"/>
      <c r="G82" s="23">
        <f t="shared" si="29"/>
        <v>0</v>
      </c>
      <c r="H82" s="32">
        <f>Nøgletal!V90/Nøgletal!W389*-1</f>
        <v>0</v>
      </c>
      <c r="I82" s="32"/>
      <c r="J82" s="32">
        <f>Nøgletal!V93*Nøgletal!V94*Nøgletal!V98/Nøgletal!W390*-1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Nøgletal!V93*Nøgletal!V94*Nøgletal!V103/Nøgletal!W395*-1</f>
        <v>0</v>
      </c>
      <c r="R82" s="32"/>
      <c r="S82" s="32">
        <f>Nøgletal!V93*Nøgletal!V94*Nøgletal!V97*(1-1/Nøgletal!W388)*-1</f>
        <v>0</v>
      </c>
      <c r="T82" s="23">
        <f t="shared" si="30"/>
        <v>0</v>
      </c>
      <c r="U82" s="32"/>
      <c r="V82" s="32"/>
      <c r="W82" s="32">
        <f>Nøgletal!V93*Nøgletal!V94*Nøgletal!V102/Nøgletal!W394*-1</f>
        <v>0</v>
      </c>
      <c r="X82" s="32">
        <f>Nøgletal!V93*Nøgletal!V94*Nøgletal!V101/Nøgletal!W393*-1</f>
        <v>0</v>
      </c>
      <c r="Y82" s="32">
        <f>Nøgletal!V93*Nøgletal!V94*Nøgletal!V100/Nøgletal!W392*-1</f>
        <v>0</v>
      </c>
      <c r="Z82" s="32"/>
      <c r="AA82" s="32"/>
      <c r="AB82" s="32"/>
      <c r="AC82" s="78">
        <f>-(Nøgletal!V87/Nøgletal!V$385+Nøgletal!V88/Nøgletal!V$386+Nøgletal!V89/Nøgletal!V$387+Nøgletal!V93*Nøgletal!V94*(Nøgletal!V97/Nøgletal!W388+Nøgletal!V104/Nøgletal!V384+Nøgletal!V105/Nøgletal!V383))</f>
        <v>-82.609426093988176</v>
      </c>
      <c r="AD82" s="32">
        <f>Nøgletal!V93*Nøgletal!V95*-1</f>
        <v>-226.03094201250474</v>
      </c>
      <c r="AE82" s="32"/>
      <c r="AF82" s="32"/>
      <c r="AG82" s="32"/>
      <c r="AH82" s="32"/>
      <c r="AI82" s="32"/>
      <c r="AJ82" s="105">
        <f t="shared" si="56"/>
        <v>-308.64036810649293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304.01307715584653</v>
      </c>
      <c r="AP82" s="37">
        <f t="shared" si="68"/>
        <v>0.98500749924893238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Nøgletal!V85</f>
        <v>304.01307715584653</v>
      </c>
      <c r="BX82" s="78"/>
      <c r="BY82" s="127">
        <f>(AJ82+BW82)*-1</f>
        <v>4.6272909506463975</v>
      </c>
      <c r="BZ82" s="123">
        <f>(C82*Emissionsfaktorer!$K$4+E82*Emissionsfaktorer!$K$3+F82*Emissionsfaktorer!$K$5+H82*Emissionsfaktorer!$K$7+I82*Emissionsfaktorer!$K$8+J82*Emissionsfaktorer!$K$9+K82*Emissionsfaktorer!$K$10+L82*Emissionsfaktorer!$K$11+M82*Emissionsfaktorer!$K$12)*-1</f>
        <v>0</v>
      </c>
    </row>
    <row r="83" spans="2:80" x14ac:dyDescent="0.25">
      <c r="B83" s="31"/>
      <c r="C83" s="32"/>
      <c r="D83" s="32"/>
      <c r="E83" s="32">
        <f>Nøgletal!V121*Nøgletal!V122*Nøgletal!V127/Nøgletal!W391*-1</f>
        <v>0</v>
      </c>
      <c r="F83" s="32"/>
      <c r="G83" s="23">
        <f t="shared" si="29"/>
        <v>0</v>
      </c>
      <c r="H83" s="32">
        <f>Nøgletal!V118/Nøgletal!W389*-1</f>
        <v>0</v>
      </c>
      <c r="I83" s="32"/>
      <c r="J83" s="32">
        <f>Nøgletal!V121*Nøgletal!V122*Nøgletal!V126/Nøgletal!W390*-1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Nøgletal!V121*Nøgletal!V122*Nøgletal!V131/Nøgletal!W395*-1</f>
        <v>0</v>
      </c>
      <c r="R83" s="32"/>
      <c r="S83" s="32">
        <f>Nøgletal!V121*Nøgletal!V122*Nøgletal!V125*(1-1/Nøgletal!W388)*-1</f>
        <v>0</v>
      </c>
      <c r="T83" s="23">
        <f t="shared" si="30"/>
        <v>0</v>
      </c>
      <c r="U83" s="32"/>
      <c r="V83" s="32"/>
      <c r="W83" s="32">
        <f>Nøgletal!V121*Nøgletal!V122*Nøgletal!V130/Nøgletal!W394*-1</f>
        <v>0</v>
      </c>
      <c r="X83" s="32">
        <f>Nøgletal!V121*Nøgletal!V122*Nøgletal!V129/Nøgletal!W392*-1</f>
        <v>0</v>
      </c>
      <c r="Y83" s="32">
        <f>Nøgletal!V121*Nøgletal!V122*Nøgletal!V128/Nøgletal!W392*-1</f>
        <v>0</v>
      </c>
      <c r="Z83" s="32"/>
      <c r="AA83" s="32"/>
      <c r="AB83" s="32"/>
      <c r="AC83" s="78">
        <f>-(Nøgletal!V115/Nøgletal!V$385+Nøgletal!V116/Nøgletal!V$386+Nøgletal!V117/Nøgletal!V$387+Nøgletal!V121*Nøgletal!V122*(Nøgletal!V125/Nøgletal!W388+Nøgletal!V132/Nøgletal!V384+Nøgletal!V133/Nøgletal!V383))</f>
        <v>-91.828914781137371</v>
      </c>
      <c r="AD83" s="32">
        <f>Nøgletal!V121*Nøgletal!V123*-1</f>
        <v>-118.96365369079199</v>
      </c>
      <c r="AE83" s="32"/>
      <c r="AF83" s="32"/>
      <c r="AG83" s="32"/>
      <c r="AH83" s="32"/>
      <c r="AI83" s="32"/>
      <c r="AJ83" s="105">
        <f t="shared" si="56"/>
        <v>-210.79256847192937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205.63887930912927</v>
      </c>
      <c r="AP83" s="37">
        <f t="shared" si="68"/>
        <v>0.97555089726283961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Nøgletal!V113</f>
        <v>205.63887930912927</v>
      </c>
      <c r="BX83" s="78"/>
      <c r="BY83" s="127">
        <f>(AJ83+BW83)*-1</f>
        <v>5.1536891628001058</v>
      </c>
      <c r="BZ83" s="123">
        <f>(C83*Emissionsfaktorer!$K$4+E83*Emissionsfaktorer!$K$3+F83*Emissionsfaktorer!$K$5+H83*Emissionsfaktorer!$K$7+I83*Emissionsfaktorer!$K$8+J83*Emissionsfaktorer!$K$9+K83*Emissionsfaktorer!$K$10+L83*Emissionsfaktorer!$K$11+M83*Emissionsfaktorer!$K$12)*-1</f>
        <v>0</v>
      </c>
    </row>
    <row r="84" spans="2:80" x14ac:dyDescent="0.25"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-305.78327991034553</v>
      </c>
      <c r="F84" s="266">
        <f t="shared" si="71"/>
        <v>0</v>
      </c>
      <c r="G84" s="266">
        <f t="shared" si="71"/>
        <v>-54.244116592324474</v>
      </c>
      <c r="H84" s="266">
        <f t="shared" si="71"/>
        <v>-12.721229467666367</v>
      </c>
      <c r="I84" s="266">
        <f t="shared" si="71"/>
        <v>0</v>
      </c>
      <c r="J84" s="266">
        <f t="shared" si="71"/>
        <v>-5.8796136643019468</v>
      </c>
      <c r="K84" s="266">
        <f t="shared" si="71"/>
        <v>-35.643273460356156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-510.65050210201144</v>
      </c>
      <c r="U84" s="266">
        <f t="shared" si="71"/>
        <v>0</v>
      </c>
      <c r="V84" s="266">
        <f t="shared" si="71"/>
        <v>0</v>
      </c>
      <c r="W84" s="266">
        <f t="shared" si="71"/>
        <v>0</v>
      </c>
      <c r="X84" s="266">
        <f t="shared" si="71"/>
        <v>-510.65050210201144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-686.73402059895409</v>
      </c>
      <c r="AD84" s="266">
        <f t="shared" si="71"/>
        <v>-67.445697604983664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-154.2187045550657</v>
      </c>
      <c r="AI84" s="266">
        <f t="shared" si="71"/>
        <v>0</v>
      </c>
      <c r="AJ84" s="105">
        <f>SUM(AJ85:AJ88)</f>
        <v>-1624.857616808619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1582.69311947605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1582.69311947605</v>
      </c>
      <c r="BX84" s="266">
        <f t="shared" si="72"/>
        <v>0</v>
      </c>
      <c r="BY84" s="123">
        <f t="shared" si="72"/>
        <v>42.164497332569098</v>
      </c>
      <c r="BZ84" s="123">
        <f t="shared" si="72"/>
        <v>21.305050181524141</v>
      </c>
    </row>
    <row r="85" spans="2:80" x14ac:dyDescent="0.25">
      <c r="B85" s="31"/>
      <c r="C85" s="32"/>
      <c r="D85" s="32"/>
      <c r="E85" s="32">
        <f>Nøgletal!V149*Nøgletal!V150*Nøgletal!V155/Nøgletal!W391*-1</f>
        <v>0</v>
      </c>
      <c r="F85" s="32"/>
      <c r="G85" s="23">
        <f>SUM(H85:M85)</f>
        <v>0</v>
      </c>
      <c r="H85" s="32">
        <f>Nøgletal!V146/Nøgletal!W389*-1</f>
        <v>0</v>
      </c>
      <c r="I85" s="32"/>
      <c r="J85" s="32">
        <f>Nøgletal!V149*Nøgletal!V150*Nøgletal!V154/Nøgletal!W390*-1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Nøgletal!V149*Nøgletal!V150*Nøgletal!V159/Nøgletal!W395*-1</f>
        <v>0</v>
      </c>
      <c r="R85" s="32"/>
      <c r="S85" s="32">
        <f>Nøgletal!V149*Nøgletal!V150*Nøgletal!V153*(1-1/Nøgletal!W388)*-1</f>
        <v>0</v>
      </c>
      <c r="T85" s="23">
        <f>SUM(U85:AB85)</f>
        <v>0</v>
      </c>
      <c r="U85" s="32"/>
      <c r="V85" s="32"/>
      <c r="W85" s="32">
        <f>Nøgletal!V149*Nøgletal!V150*Nøgletal!V158/Nøgletal!W394*-1</f>
        <v>0</v>
      </c>
      <c r="X85" s="32">
        <f>Nøgletal!V149*Nøgletal!V150*Nøgletal!V157/Nøgletal!W393*-1</f>
        <v>0</v>
      </c>
      <c r="Y85" s="32">
        <f>Nøgletal!V149*Nøgletal!V150*Nøgletal!V156/Nøgletal!W392*-1</f>
        <v>0</v>
      </c>
      <c r="Z85" s="32"/>
      <c r="AA85" s="32"/>
      <c r="AB85" s="32"/>
      <c r="AC85" s="78">
        <f>-(Nøgletal!V143/Nøgletal!V$385+Nøgletal!V144/Nøgletal!V$386+Nøgletal!V145/Nøgletal!V$387+Nøgletal!V149*Nøgletal!V150*(Nøgletal!V153/Nøgletal!W388+Nøgletal!V160/Nøgletal!V384+Nøgletal!V161/Nøgletal!V383))</f>
        <v>-5.3665431087642954</v>
      </c>
      <c r="AD85" s="32">
        <f>Nøgletal!V149*Nøgletal!V151*-1</f>
        <v>0</v>
      </c>
      <c r="AE85" s="32"/>
      <c r="AF85" s="32"/>
      <c r="AG85" s="32"/>
      <c r="AH85" s="32"/>
      <c r="AI85" s="32"/>
      <c r="AJ85" s="105">
        <f>SUM(C85:G85,N85,T85,AC85:AG85)</f>
        <v>-5.3665431087642954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4.6865359340236132</v>
      </c>
      <c r="AP85" s="37">
        <f t="shared" si="68"/>
        <v>0.87328767123287654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Nøgletal!V141</f>
        <v>4.6865359340236132</v>
      </c>
      <c r="BX85" s="78"/>
      <c r="BY85" s="127">
        <f>(AJ85+BW85)*-1</f>
        <v>0.68000717474068217</v>
      </c>
      <c r="BZ85" s="123">
        <f>(C85*Emissionsfaktorer!$K$4+E85*Emissionsfaktorer!$K$3+F85*Emissionsfaktorer!$K$5+H85*Emissionsfaktorer!$K$7+I85*Emissionsfaktorer!$K$8+J85*Emissionsfaktorer!$K$9+K85*Emissionsfaktorer!$K$10+L85*Emissionsfaktorer!$K$11+M85*Emissionsfaktorer!$K$12)*-1</f>
        <v>0</v>
      </c>
    </row>
    <row r="86" spans="2:80" x14ac:dyDescent="0.25">
      <c r="B86" s="31"/>
      <c r="C86" s="32"/>
      <c r="D86" s="32"/>
      <c r="E86" s="78">
        <f>Nøgletal!V181*Nøgletal!V182*Nøgletal!V187/Nøgletal!W391*-1+Nøgletal!V177/Nøgletal!W397*Nøgletal!V413*-1+Nøgletal!V178/Nøgletal!W398*Nøgletal!V424*-1</f>
        <v>-305.78327991034553</v>
      </c>
      <c r="F86" s="32">
        <f>Nøgletal!V178/Nøgletal!W398*Nøgletal!V427*-1</f>
        <v>0</v>
      </c>
      <c r="G86" s="23">
        <f>SUM(H86:M86)</f>
        <v>-18.600843131968315</v>
      </c>
      <c r="H86" s="32">
        <f>Nøgletal!V175/Nøgletal!W389*-1</f>
        <v>-12.721229467666367</v>
      </c>
      <c r="I86" s="32">
        <f>Nøgletal!V178/Nøgletal!W398*Nøgletal!V425*-1</f>
        <v>0</v>
      </c>
      <c r="J86" s="32">
        <f>Nøgletal!V181*Nøgletal!V182*Nøgletal!V186/Nøgletal!W390*-1+Nøgletal!V176/Nøgletal!W396*Nøgletal!V416*-1</f>
        <v>-5.8796136643019468</v>
      </c>
      <c r="K86" s="32"/>
      <c r="L86" s="32"/>
      <c r="M86" s="32"/>
      <c r="N86" s="23">
        <f>SUM(O86:S86)</f>
        <v>0</v>
      </c>
      <c r="O86" s="32"/>
      <c r="P86" s="32"/>
      <c r="Q86" s="32">
        <f>Nøgletal!V181*Nøgletal!V182*Nøgletal!V191/Nøgletal!W395*-1</f>
        <v>0</v>
      </c>
      <c r="R86" s="32"/>
      <c r="S86" s="32">
        <f>Nøgletal!V181*Nøgletal!V182*Nøgletal!V185*(1-1/Nøgletal!W388)*-1</f>
        <v>0</v>
      </c>
      <c r="T86" s="23">
        <f>SUM(U86:AB86)</f>
        <v>-510.65050210201144</v>
      </c>
      <c r="U86" s="32"/>
      <c r="V86" s="32"/>
      <c r="W86" s="32">
        <f>Nøgletal!V181*Nøgletal!V182*Nøgletal!V190/Nøgletal!W394*-1</f>
        <v>0</v>
      </c>
      <c r="X86" s="32">
        <f>Nøgletal!$V$177/Nøgletal!$W$397*Nøgletal!$V$414*-1+Nøgletal!V176/Nøgletal!W396*Nøgletal!V417*-1</f>
        <v>-510.65050210201144</v>
      </c>
      <c r="Y86" s="32">
        <f>Nøgletal!V178/Nøgletal!W398*Nøgletal!V426*-1</f>
        <v>0</v>
      </c>
      <c r="Z86" s="32"/>
      <c r="AA86" s="32"/>
      <c r="AB86" s="32"/>
      <c r="AC86" s="78">
        <f>-(Nøgletal!V171/Nøgletal!V$385+Nøgletal!V172/Nøgletal!V$386+Nøgletal!V173/Nøgletal!V$387+Nøgletal!V181*Nøgletal!V182*(Nøgletal!V185/Nøgletal!W388+Nøgletal!V192/Nøgletal!V384+Nøgletal!V193/Nøgletal!V383))</f>
        <v>-671.55788555190804</v>
      </c>
      <c r="AD86" s="32">
        <f>(Nøgletal!V181*Nøgletal!V183+Nøgletal!V202)*-1</f>
        <v>-47.614134579549741</v>
      </c>
      <c r="AE86" s="32"/>
      <c r="AF86" s="32"/>
      <c r="AG86" s="32"/>
      <c r="AH86" s="269">
        <f>AH68</f>
        <v>-154.2187045550657</v>
      </c>
      <c r="AI86" s="32"/>
      <c r="AJ86" s="105">
        <f>SUM(C86:G86,N86,T86,AC86:AG86)</f>
        <v>-1554.2066452757829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1538.3882998198151</v>
      </c>
      <c r="AP86" s="37">
        <f t="shared" si="68"/>
        <v>0.98982223792180424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Nøgletal!V169</f>
        <v>1538.3882998198151</v>
      </c>
      <c r="BX86" s="78"/>
      <c r="BY86" s="127">
        <f>(AJ86+BW86)*-1</f>
        <v>15.818345455967801</v>
      </c>
      <c r="BZ86" s="123">
        <f>(C86*Emissionsfaktorer!$K$4+E86*Emissionsfaktorer!$K$3+F86*Emissionsfaktorer!$K$5+H86*Emissionsfaktorer!$K$7+I86*Emissionsfaktorer!$K$8+J86*Emissionsfaktorer!$K$9+K86*Emissionsfaktorer!$K$10+L86*Emissionsfaktorer!$K$11+M86*Emissionsfaktorer!$K$12)*-1</f>
        <v>18.667447945457784</v>
      </c>
    </row>
    <row r="87" spans="2:80" x14ac:dyDescent="0.25">
      <c r="B87" s="31"/>
      <c r="C87" s="32"/>
      <c r="D87" s="32"/>
      <c r="E87" s="32">
        <f>Nøgletal!V211*Nøgletal!V212*Nøgletal!V217/Nøgletal!W391*-1</f>
        <v>0</v>
      </c>
      <c r="F87" s="32"/>
      <c r="G87" s="23">
        <f>SUM(H87:M87)</f>
        <v>0</v>
      </c>
      <c r="H87" s="32">
        <f>Nøgletal!V208/Nøgletal!W389*-1</f>
        <v>0</v>
      </c>
      <c r="I87" s="149"/>
      <c r="J87" s="32">
        <f>Nøgletal!V211*Nøgletal!V212*Nøgletal!V216/Nøgletal!W390*-1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Nøgletal!V211*Nøgletal!V212*Nøgletal!V221/Nøgletal!W395*-1</f>
        <v>0</v>
      </c>
      <c r="R87" s="32"/>
      <c r="S87" s="32">
        <f>Nøgletal!V211*Nøgletal!V212*Nøgletal!V215*(1-1/Nøgletal!W388)*-1</f>
        <v>0</v>
      </c>
      <c r="T87" s="23">
        <f>SUM(U87:AB87)</f>
        <v>0</v>
      </c>
      <c r="U87" s="32"/>
      <c r="V87" s="32"/>
      <c r="W87" s="32">
        <f>Nøgletal!V211*Nøgletal!V212*Nøgletal!V220/Nøgletal!W394*-1</f>
        <v>0</v>
      </c>
      <c r="X87" s="32">
        <f>Nøgletal!V211*Nøgletal!V212*Nøgletal!V219/Nøgletal!W393*-1</f>
        <v>0</v>
      </c>
      <c r="Y87" s="32">
        <f>Nøgletal!V211*Nøgletal!V212*Nøgletal!V218/Nøgletal!W392*-1</f>
        <v>0</v>
      </c>
      <c r="Z87" s="32"/>
      <c r="AA87" s="32"/>
      <c r="AB87" s="32"/>
      <c r="AC87" s="78">
        <f>-(Nøgletal!V205/Nøgletal!V$385+Nøgletal!V206/Nøgletal!V$386+Nøgletal!V207/Nøgletal!V$387+Nøgletal!V211*Nøgletal!V212*(Nøgletal!V215/Nøgletal!W388+Nøgletal!V222/Nøgletal!V384+Nøgletal!V223/Nøgletal!V383))</f>
        <v>-0.46619842875002926</v>
      </c>
      <c r="AD87" s="32">
        <f>Nøgletal!V211*Nøgletal!V213*-1</f>
        <v>-19.831563025433926</v>
      </c>
      <c r="AE87" s="32"/>
      <c r="AF87" s="32"/>
      <c r="AG87" s="32"/>
      <c r="AH87" s="32"/>
      <c r="AI87" s="32"/>
      <c r="AJ87" s="105">
        <f>SUM(C87:G87,N87,T87,AC87:AG87)</f>
        <v>-20.297761454183956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20.227831689871451</v>
      </c>
      <c r="AP87" s="37">
        <f t="shared" si="68"/>
        <v>0.99655480411126374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Nøgletal!V203</f>
        <v>20.227831689871451</v>
      </c>
      <c r="BX87" s="78"/>
      <c r="BY87" s="127">
        <f>(AJ87+BW87)*-1</f>
        <v>6.9929764312504972E-2</v>
      </c>
      <c r="BZ87" s="123">
        <f>(C87*Emissionsfaktorer!$K$4+E87*Emissionsfaktorer!$K$3+F87*Emissionsfaktorer!$K$5+H87*Emissionsfaktorer!$K$7+I87*Emissionsfaktorer!$K$8+J87*Emissionsfaktorer!$K$9+K87*Emissionsfaktorer!$K$10+L87*Emissionsfaktorer!$K$11+M87*Emissionsfaktorer!$K$12)*-1</f>
        <v>0</v>
      </c>
    </row>
    <row r="88" spans="2:80" x14ac:dyDescent="0.25">
      <c r="B88" s="31"/>
      <c r="C88" s="32"/>
      <c r="D88" s="32"/>
      <c r="E88" s="32">
        <f>(Nøgletal!V236/Nøgletal!V406*Nøgletal!V696+Nøgletal!V240*Nøgletal!V241*Nøgletal!V246/Nøgletal!W391)*-1</f>
        <v>0</v>
      </c>
      <c r="F88" s="32"/>
      <c r="G88" s="23">
        <f>SUM(H88:M88)</f>
        <v>-35.643273460356156</v>
      </c>
      <c r="H88" s="32">
        <f>Nøgletal!V237/Nøgletal!W389*-1</f>
        <v>0</v>
      </c>
      <c r="I88" s="32"/>
      <c r="J88" s="32">
        <f>Nøgletal!V240*Nøgletal!V241*Nøgletal!V245/Nøgletal!W390*-1</f>
        <v>0</v>
      </c>
      <c r="K88" s="78">
        <f>Nøgletal!V236/Nøgletal!V406*Nøgletal!V692*-1</f>
        <v>-35.643273460356156</v>
      </c>
      <c r="L88" s="32"/>
      <c r="M88" s="32">
        <f>Nøgletal!V236/Nøgletal!V406*Nøgletal!V693*-1</f>
        <v>0</v>
      </c>
      <c r="N88" s="23">
        <f>SUM(O88:S88)</f>
        <v>0</v>
      </c>
      <c r="O88" s="32"/>
      <c r="P88" s="32"/>
      <c r="Q88" s="32">
        <f>Nøgletal!V240*Nøgletal!V241*Nøgletal!V250/Nøgletal!W395*-1</f>
        <v>0</v>
      </c>
      <c r="R88" s="32"/>
      <c r="S88" s="32">
        <f>Nøgletal!V240*Nøgletal!V241*Nøgletal!V244*(1-1/Nøgletal!W388)*-1</f>
        <v>0</v>
      </c>
      <c r="T88" s="23">
        <f>SUM(U88:AB88)</f>
        <v>0</v>
      </c>
      <c r="U88" s="32">
        <f>Nøgletal!V236*Nøgletal!V695/Nøgletal!V406*-1</f>
        <v>0</v>
      </c>
      <c r="V88" s="32">
        <f>Nøgletal!V236*Nøgletal!V697/Nøgletal!V406*-1</f>
        <v>0</v>
      </c>
      <c r="W88" s="32">
        <f>Nøgletal!V240*Nøgletal!V241*Nøgletal!V249/Nøgletal!W394*-1</f>
        <v>0</v>
      </c>
      <c r="X88" s="32">
        <f>Nøgletal!V240*Nøgletal!V241*Nøgletal!V248/Nøgletal!W393*-1</f>
        <v>0</v>
      </c>
      <c r="Y88" s="32">
        <f>Nøgletal!V240*Nøgletal!V241*Nøgletal!V247/Nøgletal!W392*-1</f>
        <v>0</v>
      </c>
      <c r="Z88" s="32"/>
      <c r="AA88" s="32"/>
      <c r="AB88" s="32">
        <f>Nøgletal!V236*Nøgletal!V694/Nøgletal!V406*-1</f>
        <v>0</v>
      </c>
      <c r="AC88" s="78">
        <f>-(Nøgletal!V233/Nøgletal!V$385+Nøgletal!V234/Nøgletal!V$386+Nøgletal!V235/Nøgletal!V$387+Nøgletal!V236*Nøgletal!V698/Nøgletal!V406+Nøgletal!V240*Nøgletal!V241*(Nøgletal!V244/Nøgletal!W388+Nøgletal!V251/Nøgletal!V384+Nøgletal!V252/Nøgletal!V383))</f>
        <v>-9.3433935095318343</v>
      </c>
      <c r="AD88" s="32">
        <f>Nøgletal!V240*Nøgletal!V242</f>
        <v>0</v>
      </c>
      <c r="AE88" s="32"/>
      <c r="AF88" s="32"/>
      <c r="AG88" s="32"/>
      <c r="AH88" s="32"/>
      <c r="AI88" s="32"/>
      <c r="AJ88" s="105">
        <f>SUM(C88:G88,N88,T88,AC88:AG88)</f>
        <v>-44.986666969887992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19.390452032339883</v>
      </c>
      <c r="AP88" s="37">
        <f t="shared" si="68"/>
        <v>0.43102664274548191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Nøgletal!V231</f>
        <v>19.390452032339883</v>
      </c>
      <c r="BX88" s="78"/>
      <c r="BY88" s="127">
        <f>(AJ88+BW88)*-1</f>
        <v>25.596214937548108</v>
      </c>
      <c r="BZ88" s="123">
        <f>(C88*Emissionsfaktorer!$K$4+E88*Emissionsfaktorer!$K$3+F88*Emissionsfaktorer!$K$5+H88*Emissionsfaktorer!$K$7+I88*Emissionsfaktorer!$K$8+J88*Emissionsfaktorer!$K$9+K88*Emissionsfaktorer!$K$10+L88*Emissionsfaktorer!$K$11+M88*Emissionsfaktorer!$K$12)*-1</f>
        <v>2.6376022360663556</v>
      </c>
    </row>
    <row r="89" spans="2:80" x14ac:dyDescent="0.25"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-6130.9193853093893</v>
      </c>
      <c r="AJ89" s="155">
        <f>AJ90+AJ101+AJ112+AJ117</f>
        <v>-6130.9193853093893</v>
      </c>
      <c r="AK89" s="88" t="s">
        <v>274</v>
      </c>
      <c r="AL89" s="89" t="s">
        <v>275</v>
      </c>
      <c r="AM89" s="89"/>
      <c r="AN89" s="37"/>
      <c r="AO89" s="38">
        <f t="shared" si="61"/>
        <v>4282.9299414131601</v>
      </c>
      <c r="AP89" s="37">
        <f t="shared" si="68"/>
        <v>0.69857874035592582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4282.9299414131601</v>
      </c>
      <c r="BX89" s="82"/>
      <c r="BY89" s="128">
        <f>BY90+BY101+BY112+BY117</f>
        <v>1873.5893999099185</v>
      </c>
      <c r="BZ89" s="128">
        <f>BZ90+BZ101+BZ112+BZ117</f>
        <v>0</v>
      </c>
      <c r="CB89" s="301"/>
    </row>
    <row r="90" spans="2:80" x14ac:dyDescent="0.25"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-2054.3683103391318</v>
      </c>
      <c r="AJ90" s="156">
        <f>SUM(AJ91:AJ100)</f>
        <v>-2054.3683103391318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534.33927647557744</v>
      </c>
      <c r="AP90" s="146">
        <f t="shared" ref="AP90:AP127" si="73">BW90/IF(AJ90&lt;0,AJ90,1)*-1</f>
        <v>0.26009906489813872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534.33927647557744</v>
      </c>
      <c r="BX90" s="108"/>
      <c r="BY90" s="129">
        <f>SUM(BY91:BY100)</f>
        <v>1518.770751607087</v>
      </c>
      <c r="BZ90" s="129">
        <f>SUM(BZ91:BZ100)</f>
        <v>0</v>
      </c>
    </row>
    <row r="91" spans="2:80" x14ac:dyDescent="0.25"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-697.81405697330638</v>
      </c>
      <c r="AJ91" s="156">
        <f>AO91/Nøgletal!V401*-1</f>
        <v>-697.81405697330638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139.56281139466128</v>
      </c>
      <c r="AP91" s="146">
        <f t="shared" si="73"/>
        <v>0.2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W91" s="78">
        <f>Nøgletal!V$282*Nøgletal!V286</f>
        <v>139.56281139466128</v>
      </c>
      <c r="BX91" s="119"/>
      <c r="BY91" s="127">
        <f t="shared" ref="BY91:BY98" si="76">(AJ91+BW91)*-1</f>
        <v>558.25124557864513</v>
      </c>
      <c r="BZ91" s="125">
        <v>0</v>
      </c>
      <c r="CB91" s="151"/>
    </row>
    <row r="92" spans="2:80" x14ac:dyDescent="0.25"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-425.47797635994027</v>
      </c>
      <c r="AJ92" s="156">
        <f>AO92/Nøgletal!V402*-1</f>
        <v>-425.47797635994027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106.36949408998507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W92" s="78">
        <f>Nøgletal!V$282*Nøgletal!V287</f>
        <v>106.36949408998507</v>
      </c>
      <c r="BX92" s="119"/>
      <c r="BY92" s="127">
        <f t="shared" si="76"/>
        <v>319.10848226995518</v>
      </c>
      <c r="BZ92" s="125">
        <v>0</v>
      </c>
      <c r="CB92" s="151"/>
    </row>
    <row r="93" spans="2:80" x14ac:dyDescent="0.25"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-290.12806970954693</v>
      </c>
      <c r="AJ93" s="156">
        <f>AO93/IF(Nøgletal!V403&gt;0,Nøgletal!V403,1)*-1</f>
        <v>-290.12806970954693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72.532017427386734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W93" s="78">
        <f>Nøgletal!V$282*Nøgletal!V288</f>
        <v>72.532017427386734</v>
      </c>
      <c r="BX93" s="119"/>
      <c r="BY93" s="127">
        <f t="shared" si="76"/>
        <v>217.5960522821602</v>
      </c>
      <c r="BZ93" s="125">
        <v>0</v>
      </c>
      <c r="CB93" s="151"/>
    </row>
    <row r="94" spans="2:80" x14ac:dyDescent="0.25"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-47.684120342606583</v>
      </c>
      <c r="AJ94" s="156">
        <f>AO94/Nøgletal!V404*-1</f>
        <v>-47.684120342606583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15.735759713060174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W94" s="78">
        <f>Nøgletal!V$282*Nøgletal!V289</f>
        <v>15.735759713060174</v>
      </c>
      <c r="BX94" s="119"/>
      <c r="BY94" s="127">
        <f t="shared" si="76"/>
        <v>31.948360629546407</v>
      </c>
      <c r="BZ94" s="125">
        <v>0</v>
      </c>
      <c r="CB94" s="151"/>
    </row>
    <row r="95" spans="2:80" x14ac:dyDescent="0.25"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-166.1493568187698</v>
      </c>
      <c r="AJ95" s="156">
        <f>AO95/Nøgletal!V405*-1</f>
        <v>-166.1493568187698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54.829287750194041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W95" s="78">
        <f>Nøgletal!V$282*Nøgletal!V290</f>
        <v>54.829287750194041</v>
      </c>
      <c r="BX95" s="119"/>
      <c r="BY95" s="127">
        <f t="shared" si="76"/>
        <v>111.32006906857576</v>
      </c>
      <c r="BZ95" s="125">
        <v>0</v>
      </c>
      <c r="CB95" s="151"/>
    </row>
    <row r="96" spans="2:80" x14ac:dyDescent="0.25"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-35.018025876601719</v>
      </c>
      <c r="AJ96" s="156">
        <f>AO96/Nøgletal!V407*-1</f>
        <v>-35.018025876601719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11.555948539278567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W96" s="78">
        <f>Nøgletal!V$282*Nøgletal!V291</f>
        <v>11.555948539278567</v>
      </c>
      <c r="BX96" s="119"/>
      <c r="BY96" s="127">
        <f t="shared" si="76"/>
        <v>23.462077337323151</v>
      </c>
      <c r="BZ96" s="125">
        <v>0</v>
      </c>
      <c r="CB96" s="151"/>
    </row>
    <row r="97" spans="2:80" x14ac:dyDescent="0.25"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-339.00429306071874</v>
      </c>
      <c r="AJ97" s="156">
        <f>AO97/Nøgletal!V408*-1</f>
        <v>-339.00429306071874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111.87141671003718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W97" s="78">
        <f>Nøgletal!V$282*Nøgletal!V292</f>
        <v>111.87141671003718</v>
      </c>
      <c r="BX97" s="119"/>
      <c r="BY97" s="127">
        <f t="shared" si="76"/>
        <v>227.13287635068156</v>
      </c>
      <c r="BZ97" s="125">
        <v>0</v>
      </c>
      <c r="CB97" s="151"/>
    </row>
    <row r="98" spans="2:80" x14ac:dyDescent="0.25"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-44.703862821193674</v>
      </c>
      <c r="AJ98" s="156">
        <f>AO98/Nøgletal!V409*-1</f>
        <v>-44.703862821193674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14.752274730993914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W98" s="78">
        <f>Nøgletal!V$282*Nøgletal!V293</f>
        <v>14.752274730993914</v>
      </c>
      <c r="BX98" s="119"/>
      <c r="BY98" s="127">
        <f t="shared" si="76"/>
        <v>29.95158809019976</v>
      </c>
      <c r="BZ98" s="125">
        <v>0</v>
      </c>
      <c r="CB98" s="151"/>
    </row>
    <row r="99" spans="2:80" x14ac:dyDescent="0.25"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-8.3885483764475275</v>
      </c>
      <c r="AJ99" s="156">
        <f>AO99/Nøgletal!V410*-1</f>
        <v>-8.3885483764475275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7.1302661199803978</v>
      </c>
      <c r="AP99" s="146">
        <f t="shared" si="73"/>
        <v>0.85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W99" s="78">
        <f>Nøgletal!V$282*Nøgletal!V284</f>
        <v>7.1302661199803978</v>
      </c>
      <c r="BX99" s="119"/>
      <c r="BY99" s="147">
        <v>0</v>
      </c>
      <c r="BZ99" s="125">
        <v>0</v>
      </c>
      <c r="CB99" s="151"/>
    </row>
    <row r="100" spans="2:80" x14ac:dyDescent="0.25"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0</v>
      </c>
      <c r="AJ100" s="156">
        <f>AO100/Nøgletal!V411*-1</f>
        <v>0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0</v>
      </c>
      <c r="AP100" s="146">
        <f t="shared" si="73"/>
        <v>0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W100" s="78">
        <f>Nøgletal!V$282*Nøgletal!V285</f>
        <v>0</v>
      </c>
      <c r="BX100" s="119"/>
      <c r="BY100" s="147">
        <v>0</v>
      </c>
      <c r="BZ100" s="125">
        <v>0</v>
      </c>
      <c r="CB100" s="151"/>
    </row>
    <row r="101" spans="2:80" x14ac:dyDescent="0.25"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-1660.6171313064199</v>
      </c>
      <c r="AJ101" s="156">
        <f>SUM(AJ102:AJ111)</f>
        <v>-1660.6171313064199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1484.0837667795654</v>
      </c>
      <c r="AP101" s="146">
        <f t="shared" si="73"/>
        <v>0.89369412057794784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1484.0837667795654</v>
      </c>
      <c r="BX101" s="108"/>
      <c r="BY101" s="129">
        <f>SUM(BY102:BY111)</f>
        <v>203.39160279701156</v>
      </c>
      <c r="BZ101" s="129">
        <f>SUM(BZ102:BZ111)</f>
        <v>0</v>
      </c>
      <c r="CB101" s="19"/>
    </row>
    <row r="102" spans="2:80" x14ac:dyDescent="0.25"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-53.716476540313501</v>
      </c>
      <c r="AJ102" s="156">
        <f>AO102/Nøgletal!V386*-1</f>
        <v>-53.716476540313501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80.574714810470255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Nøgletal!V172</f>
        <v>80.574714810470255</v>
      </c>
      <c r="BX102" s="119"/>
      <c r="BY102" s="127">
        <v>0</v>
      </c>
      <c r="BZ102" s="125">
        <v>0</v>
      </c>
      <c r="CB102" s="19"/>
    </row>
    <row r="103" spans="2:80" x14ac:dyDescent="0.25"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-577.55405160635939</v>
      </c>
      <c r="AJ103" s="156">
        <f>AO103/Nøgletal!V387*-1</f>
        <v>-577.55405160635939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490.92094386540543</v>
      </c>
      <c r="AP103" s="146">
        <f t="shared" si="73"/>
        <v>0.84999999999999987</v>
      </c>
      <c r="AQ103" s="49"/>
      <c r="AR103" s="19"/>
      <c r="AS103" s="19"/>
      <c r="AT103" s="19"/>
      <c r="AU103" s="19"/>
      <c r="AV103" s="19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Nøgletal!V173</f>
        <v>490.92094386540543</v>
      </c>
      <c r="BX103" s="119"/>
      <c r="BY103" s="127">
        <f t="shared" ref="BY103:BY111" si="77">(AJ103+BW103)*-1</f>
        <v>86.63310774095396</v>
      </c>
      <c r="BZ103" s="125">
        <v>0</v>
      </c>
      <c r="CB103" s="19"/>
    </row>
    <row r="104" spans="2:80" x14ac:dyDescent="0.25"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-22.122918621958103</v>
      </c>
      <c r="AJ104" s="156">
        <f>AO104/Nøgletal!W396*-1</f>
        <v>-22.122918621958103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19.910626759762295</v>
      </c>
      <c r="AP104" s="146">
        <f t="shared" si="73"/>
        <v>0.90000000000000013</v>
      </c>
      <c r="AQ104" s="49"/>
      <c r="AR104" s="19"/>
      <c r="AS104" s="19"/>
      <c r="AT104" s="19"/>
      <c r="AU104" s="19"/>
      <c r="AV104" s="19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Nøgletal!V176</f>
        <v>19.910626759762295</v>
      </c>
      <c r="BX104" s="119"/>
      <c r="BY104" s="127">
        <f t="shared" si="77"/>
        <v>2.2122918621958085</v>
      </c>
      <c r="BZ104" s="125">
        <v>0</v>
      </c>
      <c r="CB104" s="19"/>
    </row>
    <row r="105" spans="2:80" x14ac:dyDescent="0.25"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-800.19047705470086</v>
      </c>
      <c r="AJ105" s="156">
        <f>AO105/IF(Nøgletal!W397&gt;0,Nøgletal!W397,1)*-1</f>
        <v>-800.19047705470086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720.17142934923083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Nøgletal!V177</f>
        <v>720.17142934923083</v>
      </c>
      <c r="BX105" s="119"/>
      <c r="BY105" s="127">
        <f t="shared" si="77"/>
        <v>80.01904770547003</v>
      </c>
      <c r="BZ105" s="125">
        <v>0</v>
      </c>
      <c r="CB105" s="19"/>
    </row>
    <row r="106" spans="2:80" x14ac:dyDescent="0.25"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'2025'!AO106/Nøgletal!W398*-1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Nøgletal!V178</f>
        <v>0</v>
      </c>
      <c r="BX106" s="119"/>
      <c r="BY106" s="127">
        <f t="shared" si="77"/>
        <v>0</v>
      </c>
      <c r="BZ106" s="125">
        <v>0</v>
      </c>
      <c r="CB106" s="19"/>
    </row>
    <row r="107" spans="2:80" x14ac:dyDescent="0.25"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-4.45</v>
      </c>
      <c r="AJ107" s="156">
        <f>AO107/Nøgletal!W389*-1</f>
        <v>-4.45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1.6910000000000001</v>
      </c>
      <c r="AP107" s="146">
        <f t="shared" si="73"/>
        <v>0.38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Nøgletal!V34+Nøgletal!V62+Nøgletal!V90+Nøgletal!V118+Nøgletal!V146+Nøgletal!V208+Nøgletal!V237</f>
        <v>1.6910000000000001</v>
      </c>
      <c r="BX107" s="119"/>
      <c r="BY107" s="127">
        <f t="shared" si="77"/>
        <v>2.7590000000000003</v>
      </c>
      <c r="BZ107" s="125">
        <v>0</v>
      </c>
      <c r="CB107" s="19"/>
    </row>
    <row r="108" spans="2:80" x14ac:dyDescent="0.25"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-12.721229467666367</v>
      </c>
      <c r="AJ108" s="156">
        <f>AO108/Nøgletal!W389*-1</f>
        <v>-12.721229467666367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4.8340671977132192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Nøgletal!V175</f>
        <v>4.8340671977132192</v>
      </c>
      <c r="BX108" s="119"/>
      <c r="BY108" s="127">
        <f t="shared" si="77"/>
        <v>7.8871622699531478</v>
      </c>
      <c r="BZ108" s="125">
        <v>0</v>
      </c>
      <c r="CB108" s="19"/>
    </row>
    <row r="109" spans="2:80" x14ac:dyDescent="0.25"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-154.2187045550657</v>
      </c>
      <c r="AJ109" s="156">
        <f>AO109*-1</f>
        <v>-154.2187045550657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154.2187045550657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Nøgletal!V201</f>
        <v>154.2187045550657</v>
      </c>
      <c r="BX109" s="119"/>
      <c r="BY109" s="127">
        <f t="shared" si="77"/>
        <v>0</v>
      </c>
      <c r="BZ109" s="125">
        <v>0</v>
      </c>
      <c r="CB109" s="19"/>
    </row>
    <row r="110" spans="2:80" x14ac:dyDescent="0.25"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-35.643273460356156</v>
      </c>
      <c r="AJ110" s="156">
        <f>AO110/Nøgletal!V406*-1</f>
        <v>-35.643273460356156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11.762280241917532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W110" s="78">
        <f>Nøgletal!V236</f>
        <v>11.762280241917532</v>
      </c>
      <c r="BX110" s="119"/>
      <c r="BY110" s="127">
        <f t="shared" si="77"/>
        <v>23.880993218438626</v>
      </c>
      <c r="BZ110" s="125">
        <v>0</v>
      </c>
      <c r="CB110" s="151"/>
    </row>
    <row r="111" spans="2:80" x14ac:dyDescent="0.25"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Nøgletal!V202</f>
        <v>0</v>
      </c>
      <c r="BX111" s="119"/>
      <c r="BY111" s="127">
        <f t="shared" si="77"/>
        <v>0</v>
      </c>
      <c r="BZ111" s="125">
        <v>0</v>
      </c>
      <c r="CB111" s="19"/>
    </row>
    <row r="112" spans="2:80" x14ac:dyDescent="0.25"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-612.32578908467985</v>
      </c>
      <c r="AJ112" s="157">
        <f>SUM(AJ113:AJ116)</f>
        <v>-612.32578908467985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510.83026881122805</v>
      </c>
      <c r="AP112" s="146">
        <f t="shared" si="73"/>
        <v>0.83424588334721317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510.83026881122805</v>
      </c>
      <c r="BX112" s="108"/>
      <c r="BY112" s="129">
        <f>SUM(BY113:BY116)</f>
        <v>101.49552027345189</v>
      </c>
      <c r="BZ112" s="129">
        <f>SUM(BZ113:BZ116)</f>
        <v>0</v>
      </c>
    </row>
    <row r="113" spans="1:78" x14ac:dyDescent="0.25"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-156.14746257883718</v>
      </c>
      <c r="AJ113" s="157">
        <f>AO113/Nøgletal!V385*-1</f>
        <v>-156.14746257883718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78.073731289418589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Nøgletal!V31+Nøgletal!V59+Nøgletal!V87+Nøgletal!V115+Nøgletal!V143+Nøgletal!V171+Nøgletal!V205+Nøgletal!V233</f>
        <v>78.073731289418589</v>
      </c>
      <c r="BX113" s="119"/>
      <c r="BY113" s="127">
        <f>(AJ113+BW113)*-1</f>
        <v>78.073731289418589</v>
      </c>
      <c r="BZ113" s="125">
        <v>0</v>
      </c>
    </row>
    <row r="114" spans="1:78" x14ac:dyDescent="0.25"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-38.939381945198718</v>
      </c>
      <c r="AJ114" s="157">
        <f>AO114/Nøgletal!V382*-1</f>
        <v>-38.939381945198718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17.133328055887436</v>
      </c>
      <c r="AP114" s="146">
        <f t="shared" si="73"/>
        <v>0.44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Nøgletal!V30</f>
        <v>17.133328055887436</v>
      </c>
      <c r="BX114" s="119"/>
      <c r="BY114" s="127">
        <f>(AJ114+BW114)*-1</f>
        <v>21.806053889311283</v>
      </c>
      <c r="BZ114" s="125">
        <v>0</v>
      </c>
    </row>
    <row r="115" spans="1:78" x14ac:dyDescent="0.25"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-93.800163983653206</v>
      </c>
      <c r="AJ115" s="157">
        <f>AO115/Nøgletal!V386*-1</f>
        <v>-93.800163983653206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140.70024597547982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Nøgletal!V32+Nøgletal!V60+Nøgletal!V88+Nøgletal!V116+Nøgletal!V144+Nøgletal!V206+Nøgletal!V234</f>
        <v>140.70024597547982</v>
      </c>
      <c r="BX115" s="119"/>
      <c r="BY115" s="127">
        <f>(AJ115+BW115)*-1</f>
        <v>-46.90008199182661</v>
      </c>
      <c r="BZ115" s="125">
        <v>0</v>
      </c>
    </row>
    <row r="116" spans="1:78" x14ac:dyDescent="0.25"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-323.43878057699084</v>
      </c>
      <c r="AJ116" s="157">
        <f>AO116/Nøgletal!V387*-1</f>
        <v>-323.43878057699084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274.92296349044221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Nøgletal!V33+Nøgletal!V61+Nøgletal!V89+Nøgletal!V117+Nøgletal!V145+Nøgletal!V207+Nøgletal!V235</f>
        <v>274.92296349044221</v>
      </c>
      <c r="BX116" s="119"/>
      <c r="BY116" s="127">
        <f>(AJ116+BW116)*-1</f>
        <v>48.515817086548623</v>
      </c>
      <c r="BZ116" s="125">
        <v>0</v>
      </c>
    </row>
    <row r="117" spans="1:78" x14ac:dyDescent="0.25"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-1803.6081545791574</v>
      </c>
      <c r="AJ117" s="157">
        <f>SUM(AJ118:AJ127)</f>
        <v>-1803.6081545791574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1753.6766293467892</v>
      </c>
      <c r="AP117" s="146">
        <f t="shared" si="73"/>
        <v>0.97231575766299483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1753.6766293467892</v>
      </c>
      <c r="BX117" s="108"/>
      <c r="BY117" s="129">
        <f>SUM(BY118:BY127)</f>
        <v>49.931525232368131</v>
      </c>
      <c r="BZ117" s="129">
        <f>SUM(BZ118:BZ127)</f>
        <v>0</v>
      </c>
    </row>
    <row r="118" spans="1:78" x14ac:dyDescent="0.25"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0</v>
      </c>
      <c r="AJ118" s="157">
        <f>AO118/Nøgletal!V383*-1</f>
        <v>0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0</v>
      </c>
      <c r="AP118" s="146">
        <f t="shared" si="73"/>
        <v>0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V49*Nøgletal!V38*Nøgletal!V37+Nøgletal!V65*Nøgletal!V66*Nøgletal!V77+Nøgletal!V93*Nøgletal!V94*Nøgletal!V105+Nøgletal!V121*Nøgletal!V122*Nøgletal!V133+Nøgletal!V149*Nøgletal!V150*Nøgletal!V161+Nøgletal!V181*Nøgletal!V182*Nøgletal!V193+Nøgletal!V211*Nøgletal!V212*Nøgletal!V223+Nøgletal!V240*Nøgletal!V241*Nøgletal!V252</f>
        <v>0</v>
      </c>
      <c r="BX118" s="119"/>
      <c r="BY118" s="127">
        <f t="shared" ref="BY118:BY127" si="78">(AJ118+BW118)*-1</f>
        <v>0</v>
      </c>
      <c r="BZ118" s="125">
        <v>0</v>
      </c>
    </row>
    <row r="119" spans="1:78" x14ac:dyDescent="0.25"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-20.24642437363968</v>
      </c>
      <c r="AJ119" s="157">
        <f>AO119*Nøgletal!V384*-1</f>
        <v>-20.24642437363968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20.24642437363968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V37*Nøgletal!V38*Nøgletal!V48+Nøgletal!V65*Nøgletal!V66*Nøgletal!V76+Nøgletal!V93*Nøgletal!V94*Nøgletal!V104+Nøgletal!V121*Nøgletal!V122*Nøgletal!V132+Nøgletal!V149*Nøgletal!V150*Nøgletal!V160+Nøgletal!V181*Nøgletal!V182*Nøgletal!V192+Nøgletal!V211*Nøgletal!V212*Nøgletal!V222+Nøgletal!V240*Nøgletal!V241*Nøgletal!V251</f>
        <v>20.24642437363968</v>
      </c>
      <c r="BX119" s="119"/>
      <c r="BY119" s="127">
        <f t="shared" si="78"/>
        <v>0</v>
      </c>
      <c r="BZ119" s="125">
        <v>0</v>
      </c>
    </row>
    <row r="120" spans="1:78" x14ac:dyDescent="0.25"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-42.007056601520198</v>
      </c>
      <c r="AJ120" s="157">
        <f>AO120*-1</f>
        <v>-42.007056601520198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42.007056601520198</v>
      </c>
      <c r="AP120" s="146">
        <f t="shared" si="73"/>
        <v>1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V37*Nøgletal!V38*Nøgletal!V41+Nøgletal!V65*Nøgletal!V66*Nøgletal!V69+Nøgletal!V93*Nøgletal!V94*Nøgletal!V97+Nøgletal!V121*Nøgletal!V122*Nøgletal!V125+Nøgletal!V149*Nøgletal!V150*Nøgletal!V153+Nøgletal!V181*Nøgletal!V182*Nøgletal!V185+Nøgletal!V211*Nøgletal!V212*Nøgletal!V215+Nøgletal!V240*Nøgletal!V241*Nøgletal!V244</f>
        <v>42.007056601520198</v>
      </c>
      <c r="BX120" s="119"/>
      <c r="BY120" s="127">
        <f t="shared" si="78"/>
        <v>0</v>
      </c>
      <c r="BZ120" s="125">
        <v>0</v>
      </c>
    </row>
    <row r="121" spans="1:78" x14ac:dyDescent="0.25"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-7.632096039520385</v>
      </c>
      <c r="AJ121" s="157">
        <f>AO121/Nøgletal!W390*-1</f>
        <v>-7.632096039520385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6.1056768316163081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V$37*Nøgletal!V$38*Nøgletal!V42+Nøgletal!V$65*Nøgletal!V$66*Nøgletal!V70+Nøgletal!V$93*Nøgletal!V$94*Nøgletal!V98+Nøgletal!V$121*Nøgletal!V$122*Nøgletal!V126+Nøgletal!V$149*Nøgletal!V$150*Nøgletal!V154+Nøgletal!V$181*Nøgletal!V$182*Nøgletal!V186+Nøgletal!V$211*Nøgletal!V$212*Nøgletal!V216+Nøgletal!V$240*Nøgletal!V$241*Nøgletal!V245</f>
        <v>6.1056768316163081</v>
      </c>
      <c r="BX121" s="119"/>
      <c r="BY121" s="127">
        <f t="shared" si="78"/>
        <v>1.5264192079040768</v>
      </c>
      <c r="BZ121" s="125">
        <v>0</v>
      </c>
    </row>
    <row r="122" spans="1:78" x14ac:dyDescent="0.25"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-62.06240920607636</v>
      </c>
      <c r="AJ122" s="157">
        <f>AO122/Nøgletal!W391*-1</f>
        <v>-62.06240920607636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52.753047825164906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V$37*Nøgletal!V$38*Nøgletal!V43+Nøgletal!V$65*Nøgletal!V$66*Nøgletal!V71+Nøgletal!V$93*Nøgletal!V$94*Nøgletal!V99+Nøgletal!V$121*Nøgletal!V$122*Nøgletal!V127+Nøgletal!V$149*Nøgletal!V$150*Nøgletal!V155+Nøgletal!V$181*Nøgletal!V$182*Nøgletal!V187+Nøgletal!V$211*Nøgletal!V$212*Nøgletal!V217+Nøgletal!V$240*Nøgletal!V$241*Nøgletal!V246</f>
        <v>52.753047825164906</v>
      </c>
      <c r="BX122" s="119"/>
      <c r="BY122" s="127">
        <f t="shared" si="78"/>
        <v>9.3093613809114544</v>
      </c>
      <c r="BZ122" s="125">
        <v>0</v>
      </c>
    </row>
    <row r="123" spans="1:78" x14ac:dyDescent="0.25"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-30.609793182503093</v>
      </c>
      <c r="AJ123" s="157">
        <f>AO123/Nøgletal!W392*-1</f>
        <v>-30.609793182503093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22.957344886877319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V$37*Nøgletal!V$38*Nøgletal!V44+Nøgletal!V$65*Nøgletal!V$66*Nøgletal!V72+Nøgletal!V$93*Nøgletal!V$94*Nøgletal!V100+Nøgletal!V$121*Nøgletal!V$122*Nøgletal!V128+Nøgletal!V$149*Nøgletal!V$150*Nøgletal!V156+Nøgletal!V$181*Nøgletal!V$182*Nøgletal!V188+Nøgletal!V$211*Nøgletal!V$212*Nøgletal!V218+Nøgletal!V$240*Nøgletal!V$241*Nøgletal!V247</f>
        <v>22.957344886877319</v>
      </c>
      <c r="BX123" s="119"/>
      <c r="BY123" s="127">
        <f t="shared" si="78"/>
        <v>7.6524482956257742</v>
      </c>
      <c r="BZ123" s="125">
        <v>0</v>
      </c>
    </row>
    <row r="124" spans="1:78" x14ac:dyDescent="0.25"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-89.837989565505225</v>
      </c>
      <c r="AJ124" s="157">
        <f>AO124/Nøgletal!W393*-1</f>
        <v>-89.837989565505225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58.3946932175784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V$37*Nøgletal!V$38*Nøgletal!V45+Nøgletal!V$65*Nøgletal!V$66*Nøgletal!V73+Nøgletal!V$93*Nøgletal!V$94*Nøgletal!V101+Nøgletal!V$121*Nøgletal!V$122*Nøgletal!V129+Nøgletal!V$149*Nøgletal!V$150*Nøgletal!V157+Nøgletal!V$181*Nøgletal!V$182*Nøgletal!V189+Nøgletal!V$211*Nøgletal!V$212*Nøgletal!V219+Nøgletal!V$240*Nøgletal!V$241*Nøgletal!V248</f>
        <v>58.3946932175784</v>
      </c>
      <c r="BX124" s="119"/>
      <c r="BY124" s="127">
        <f t="shared" si="78"/>
        <v>31.443296347926825</v>
      </c>
      <c r="BZ124" s="125">
        <v>0</v>
      </c>
    </row>
    <row r="125" spans="1:78" x14ac:dyDescent="0.25"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0</v>
      </c>
      <c r="AJ125" s="157">
        <f>AO125/Nøgletal!W394*-1</f>
        <v>0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0</v>
      </c>
      <c r="AP125" s="146">
        <f t="shared" si="73"/>
        <v>0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V$37*Nøgletal!V$38*Nøgletal!V46+Nøgletal!V$65*Nøgletal!V$66*Nøgletal!V74+Nøgletal!V$93*Nøgletal!V$94*Nøgletal!V102+Nøgletal!V$121*Nøgletal!V$122*Nøgletal!V130+Nøgletal!V$149*Nøgletal!V$150*Nøgletal!V158+Nøgletal!V$181*Nøgletal!V$182*Nøgletal!V190+Nøgletal!V$211*Nøgletal!V$212*Nøgletal!V220+Nøgletal!V$240*Nøgletal!V$241*Nøgletal!V249</f>
        <v>0</v>
      </c>
      <c r="BX125" s="119"/>
      <c r="BY125" s="127">
        <f t="shared" si="78"/>
        <v>0</v>
      </c>
      <c r="BZ125" s="125">
        <v>0</v>
      </c>
    </row>
    <row r="126" spans="1:78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-1551.2123856103924</v>
      </c>
      <c r="AJ126" s="157">
        <f>AO126*-1</f>
        <v>-1551.2123856103924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1551.2123856103924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Nøgletal!V37*Nøgletal!V39+Nøgletal!V65*Nøgletal!V67+Nøgletal!V93*Nøgletal!V95+Nøgletal!V121*Nøgletal!V123+Nøgletal!V149*Nøgletal!V151+Nøgletal!V181*Nøgletal!V183+Nøgletal!V211*Nøgletal!V213+Nøgletal!V240*Nøgletal!V242</f>
        <v>1551.2123856103924</v>
      </c>
      <c r="BX126" s="119"/>
      <c r="BY126" s="127">
        <f t="shared" si="78"/>
        <v>0</v>
      </c>
      <c r="BZ126" s="125">
        <v>0</v>
      </c>
    </row>
    <row r="127" spans="1:78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0</v>
      </c>
      <c r="AJ127" s="157">
        <f>AO127/Nøgletal!W395*-1</f>
        <v>0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0</v>
      </c>
      <c r="AP127" s="146">
        <f t="shared" si="73"/>
        <v>0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V$37*Nøgletal!V$38*Nøgletal!V47+Nøgletal!V$65*Nøgletal!V$66*Nøgletal!V75+Nøgletal!V$93*Nøgletal!V$94*Nøgletal!V103+Nøgletal!V$121*Nøgletal!V$122*Nøgletal!V131+Nøgletal!V$149*Nøgletal!V$150*Nøgletal!V159+Nøgletal!V$181*Nøgletal!V$182*Nøgletal!V191+Nøgletal!V$211*Nøgletal!V$212*Nøgletal!V221+Nøgletal!V$240*Nøgletal!V$241*Nøgletal!V250</f>
        <v>0</v>
      </c>
      <c r="BX127" s="119"/>
      <c r="BY127" s="127">
        <f t="shared" si="78"/>
        <v>0</v>
      </c>
      <c r="BZ127" s="125">
        <v>0</v>
      </c>
    </row>
    <row r="128" spans="1:78" x14ac:dyDescent="0.25">
      <c r="C128" s="40">
        <f>C9+C68+' Plan Energi 2030-S'!C81</f>
        <v>0</v>
      </c>
      <c r="E128" s="40">
        <f>E9+E68+' Plan Energi 2030-S'!I81</f>
        <v>5679.799160498299</v>
      </c>
      <c r="F128" s="40">
        <f>F9+F68+' Plan Energi 2030-S'!W81</f>
        <v>67.382511748983518</v>
      </c>
      <c r="H128" s="40">
        <f>H9+H68+' Plan Energi 2030-S'!B81</f>
        <v>5.0787705323336318</v>
      </c>
      <c r="I128" s="40">
        <f>I9+I68+' Plan Energi 2030-S'!D81</f>
        <v>520.89</v>
      </c>
      <c r="J128" s="40">
        <f>J9+J68+' Plan Energi 2030-S'!E81</f>
        <v>64.402966048996419</v>
      </c>
      <c r="K128" s="40">
        <f>K9+K68+' Plan Energi 2030-S'!F81</f>
        <v>107.17112859996928</v>
      </c>
      <c r="L128" s="40">
        <f>L9+L68+' Plan Energi 2030-S'!G81</f>
        <v>46.505706939281254</v>
      </c>
      <c r="M128" s="40">
        <f>M9+M68+' Plan Energi 2030-S'!H81</f>
        <v>-121.4370258034005</v>
      </c>
      <c r="O128" s="40">
        <f>O9+O68+' Plan Energi 2030-S'!J81</f>
        <v>-191.24171410137933</v>
      </c>
      <c r="P128" s="40">
        <f>P9+P68+' Plan Energi 2030-S'!K81</f>
        <v>0</v>
      </c>
      <c r="Q128" s="40">
        <f>Q9+Q68+' Plan Energi 2030-S'!L81</f>
        <v>-135.46073706279594</v>
      </c>
      <c r="R128" s="40">
        <f>R9+R68+' Plan Energi 2030-S'!M81</f>
        <v>0</v>
      </c>
      <c r="S128" s="40">
        <f>S9+S68+' Plan Energi 2030-S'!N81</f>
        <v>-28.404704401013468</v>
      </c>
      <c r="U128" s="40">
        <f>U9+U68+' Plan Energi 2030-S'!O81</f>
        <v>0</v>
      </c>
      <c r="V128" s="40">
        <f>V9+V68+' Plan Energi 2030-S'!P81</f>
        <v>-66.860879354023623</v>
      </c>
      <c r="W128" s="40">
        <f>W9+W68+' Plan Energi 2030-S'!Q81</f>
        <v>20</v>
      </c>
      <c r="X128" s="40">
        <f>X9+X68+' Plan Energi 2030-S'!R81</f>
        <v>-297.35272852585069</v>
      </c>
      <c r="Y128" s="40">
        <f>Y9+Y68+' Plan Energi 2030-S'!S81</f>
        <v>59.537908631556988</v>
      </c>
      <c r="Z128" s="40">
        <f>Z9+Z68+' Plan Energi 2030-S'!T81</f>
        <v>0</v>
      </c>
      <c r="AA128" s="40">
        <f>AA9+AA68+' Plan Energi 2030-S'!U81</f>
        <v>82.35640324875763</v>
      </c>
      <c r="AB128" s="40">
        <f>AB9+AB68+' Plan Energi 2030-S'!V81</f>
        <v>4.2576032168900806</v>
      </c>
      <c r="AC128" s="143">
        <f>BR10-' Plan Energi 2030-S'!A15</f>
        <v>93.455557915823192</v>
      </c>
      <c r="AD128" s="40">
        <f>AD68+SUM(' Plan Energi 2030-S'!AI39:AP68)+SUM(' Plan Energi 2030-S'!AI70:AP71)</f>
        <v>41.396053909607531</v>
      </c>
      <c r="AK128" s="122"/>
      <c r="AP128" s="102"/>
    </row>
    <row r="129" spans="3:42" x14ac:dyDescent="0.25">
      <c r="C129" s="40"/>
      <c r="D129" s="40"/>
      <c r="E129" s="40"/>
      <c r="F129" s="40"/>
      <c r="AB129" s="231" t="s">
        <v>667</v>
      </c>
      <c r="AC129" s="143">
        <f>AC69-' Plan Energi 2030-S'!A15</f>
        <v>-681.62819960377055</v>
      </c>
      <c r="AD129" s="143">
        <f>BS10+BS11+BS18+BS57+BS65-(SUM(' Plan Energi 2030-S'!AF32:AF38,' Plan Energi 2030-S'!AF40:AF42,' Plan Energi 2030-S'!AF44:AF51,' Plan Energi 2030-S'!AF53:AF54,' Plan Energi 2030-S'!AF56:AF61,' Plan Energi 2030-S'!AF63:AF68))</f>
        <v>20.05441496434355</v>
      </c>
      <c r="AP129" s="1"/>
    </row>
    <row r="130" spans="3:42" x14ac:dyDescent="0.25">
      <c r="AP130" s="1"/>
    </row>
    <row r="131" spans="3:42" x14ac:dyDescent="0.25">
      <c r="AP131" s="1"/>
    </row>
    <row r="132" spans="3:42" x14ac:dyDescent="0.25">
      <c r="AP132" s="1"/>
    </row>
    <row r="133" spans="3:42" x14ac:dyDescent="0.25">
      <c r="AP133" s="1"/>
    </row>
    <row r="134" spans="3:42" x14ac:dyDescent="0.25">
      <c r="AP134" s="1"/>
    </row>
    <row r="135" spans="3:42" x14ac:dyDescent="0.25">
      <c r="AP135" s="1"/>
    </row>
    <row r="136" spans="3:42" x14ac:dyDescent="0.25">
      <c r="AP136" s="1"/>
    </row>
    <row r="137" spans="3:42" x14ac:dyDescent="0.25">
      <c r="AP137" s="1"/>
    </row>
    <row r="138" spans="3:42" x14ac:dyDescent="0.25">
      <c r="AP138" s="1"/>
    </row>
    <row r="139" spans="3:42" x14ac:dyDescent="0.25">
      <c r="AP139" s="1"/>
    </row>
    <row r="140" spans="3:42" x14ac:dyDescent="0.25">
      <c r="AP140" s="1"/>
    </row>
    <row r="141" spans="3:42" x14ac:dyDescent="0.25">
      <c r="AP141" s="1"/>
    </row>
    <row r="142" spans="3:42" x14ac:dyDescent="0.25">
      <c r="AP142" s="1"/>
    </row>
    <row r="143" spans="3:42" x14ac:dyDescent="0.25">
      <c r="AP143" s="1"/>
    </row>
    <row r="144" spans="3:42" x14ac:dyDescent="0.25">
      <c r="AP144" s="1"/>
    </row>
    <row r="145" spans="42:64" x14ac:dyDescent="0.25">
      <c r="AP145" s="1"/>
    </row>
    <row r="146" spans="42:64" x14ac:dyDescent="0.25">
      <c r="AP146" s="1"/>
      <c r="BL146" s="154"/>
    </row>
    <row r="147" spans="42:64" x14ac:dyDescent="0.25">
      <c r="AP147" s="1"/>
    </row>
    <row r="148" spans="42:64" x14ac:dyDescent="0.25">
      <c r="AP148" s="1"/>
    </row>
    <row r="149" spans="42:64" x14ac:dyDescent="0.25">
      <c r="AP149" s="1"/>
    </row>
    <row r="150" spans="42:64" x14ac:dyDescent="0.25">
      <c r="AP150" s="1"/>
    </row>
    <row r="151" spans="42:64" x14ac:dyDescent="0.25">
      <c r="AP151" s="1"/>
    </row>
    <row r="152" spans="42:64" x14ac:dyDescent="0.25">
      <c r="AP152" s="1"/>
    </row>
    <row r="153" spans="42:64" x14ac:dyDescent="0.25">
      <c r="AP153" s="1"/>
    </row>
    <row r="154" spans="42:64" x14ac:dyDescent="0.25">
      <c r="AP154" s="1"/>
    </row>
    <row r="155" spans="42:64" x14ac:dyDescent="0.25">
      <c r="AP155" s="1"/>
    </row>
    <row r="156" spans="42:64" x14ac:dyDescent="0.25">
      <c r="AP156" s="1"/>
    </row>
    <row r="157" spans="42:64" x14ac:dyDescent="0.25">
      <c r="AP157" s="1"/>
    </row>
    <row r="158" spans="42:64" x14ac:dyDescent="0.25">
      <c r="AP158" s="1"/>
    </row>
    <row r="159" spans="42:64" x14ac:dyDescent="0.25">
      <c r="AP159" s="1"/>
    </row>
    <row r="160" spans="42:64" x14ac:dyDescent="0.25">
      <c r="AP160" s="1"/>
    </row>
    <row r="161" spans="42:42" x14ac:dyDescent="0.25">
      <c r="AP161" s="1"/>
    </row>
    <row r="162" spans="42:42" x14ac:dyDescent="0.25">
      <c r="AP162" s="1"/>
    </row>
    <row r="163" spans="42:42" x14ac:dyDescent="0.25">
      <c r="AP163" s="1"/>
    </row>
    <row r="164" spans="42:42" x14ac:dyDescent="0.25">
      <c r="AP164" s="1"/>
    </row>
    <row r="165" spans="42:42" x14ac:dyDescent="0.25">
      <c r="AP165" s="1"/>
    </row>
    <row r="166" spans="42:42" x14ac:dyDescent="0.25">
      <c r="AP166" s="1"/>
    </row>
    <row r="167" spans="42:42" x14ac:dyDescent="0.25">
      <c r="AP167" s="1"/>
    </row>
    <row r="168" spans="42:42" x14ac:dyDescent="0.25">
      <c r="AP168" s="1"/>
    </row>
    <row r="169" spans="42:42" x14ac:dyDescent="0.25">
      <c r="AP169" s="1"/>
    </row>
    <row r="170" spans="42:42" x14ac:dyDescent="0.25">
      <c r="AP170" s="1"/>
    </row>
    <row r="171" spans="42:42" x14ac:dyDescent="0.25">
      <c r="AP171" s="1"/>
    </row>
    <row r="172" spans="42:42" x14ac:dyDescent="0.25">
      <c r="AP172" s="1"/>
    </row>
    <row r="173" spans="42:42" x14ac:dyDescent="0.25">
      <c r="AP173" s="1"/>
    </row>
    <row r="174" spans="42:42" x14ac:dyDescent="0.25">
      <c r="AP174" s="1"/>
    </row>
    <row r="175" spans="42:42" x14ac:dyDescent="0.25">
      <c r="AP175" s="1"/>
    </row>
    <row r="176" spans="42:42" x14ac:dyDescent="0.25">
      <c r="AP176" s="1"/>
    </row>
    <row r="177" spans="42:42" x14ac:dyDescent="0.25">
      <c r="AP177" s="1"/>
    </row>
    <row r="178" spans="42:42" x14ac:dyDescent="0.25">
      <c r="AP178" s="1"/>
    </row>
    <row r="179" spans="42:42" x14ac:dyDescent="0.25">
      <c r="AP179" s="1"/>
    </row>
    <row r="180" spans="42:42" x14ac:dyDescent="0.25">
      <c r="AP180" s="1"/>
    </row>
    <row r="181" spans="42:42" x14ac:dyDescent="0.25">
      <c r="AP181" s="1"/>
    </row>
    <row r="182" spans="42:42" x14ac:dyDescent="0.25">
      <c r="AP182" s="1"/>
    </row>
    <row r="183" spans="42:42" x14ac:dyDescent="0.25">
      <c r="AP183" s="1"/>
    </row>
    <row r="184" spans="42:42" x14ac:dyDescent="0.25">
      <c r="AP184" s="1"/>
    </row>
    <row r="185" spans="42:42" x14ac:dyDescent="0.25">
      <c r="AP185" s="1"/>
    </row>
    <row r="186" spans="42:42" x14ac:dyDescent="0.25">
      <c r="AP186" s="1"/>
    </row>
    <row r="187" spans="42:42" x14ac:dyDescent="0.25">
      <c r="AP187" s="1"/>
    </row>
    <row r="188" spans="42:42" x14ac:dyDescent="0.25">
      <c r="AP188" s="1"/>
    </row>
    <row r="189" spans="42:42" x14ac:dyDescent="0.25">
      <c r="AP189" s="1"/>
    </row>
    <row r="190" spans="42:42" x14ac:dyDescent="0.25">
      <c r="AP190" s="1"/>
    </row>
    <row r="191" spans="42:42" x14ac:dyDescent="0.25">
      <c r="AP191" s="1"/>
    </row>
    <row r="192" spans="42:42" x14ac:dyDescent="0.25">
      <c r="AP192" s="1"/>
    </row>
    <row r="193" spans="42:42" x14ac:dyDescent="0.25">
      <c r="AP193" s="1"/>
    </row>
    <row r="194" spans="42:42" x14ac:dyDescent="0.25">
      <c r="AP194" s="1"/>
    </row>
    <row r="195" spans="42:42" x14ac:dyDescent="0.25">
      <c r="AP195" s="1"/>
    </row>
    <row r="196" spans="42:42" x14ac:dyDescent="0.25">
      <c r="AP196" s="1"/>
    </row>
    <row r="197" spans="42:42" x14ac:dyDescent="0.25">
      <c r="AP197" s="1"/>
    </row>
    <row r="198" spans="42:42" x14ac:dyDescent="0.25">
      <c r="AP198" s="1"/>
    </row>
    <row r="199" spans="42:42" x14ac:dyDescent="0.25">
      <c r="AP199" s="1"/>
    </row>
    <row r="200" spans="42:42" x14ac:dyDescent="0.25">
      <c r="AP200" s="1"/>
    </row>
    <row r="201" spans="42:42" x14ac:dyDescent="0.25">
      <c r="AP201" s="1"/>
    </row>
    <row r="202" spans="42:42" x14ac:dyDescent="0.25">
      <c r="AP202" s="1"/>
    </row>
    <row r="203" spans="42:42" x14ac:dyDescent="0.25">
      <c r="AP203" s="1"/>
    </row>
    <row r="204" spans="42:42" x14ac:dyDescent="0.25">
      <c r="AP204" s="1"/>
    </row>
    <row r="205" spans="42:42" x14ac:dyDescent="0.25">
      <c r="AP205" s="1"/>
    </row>
    <row r="206" spans="42:42" x14ac:dyDescent="0.25">
      <c r="AP206" s="1"/>
    </row>
    <row r="207" spans="42:42" x14ac:dyDescent="0.25">
      <c r="AP207" s="1"/>
    </row>
    <row r="208" spans="42:42" x14ac:dyDescent="0.25">
      <c r="AP208" s="1"/>
    </row>
    <row r="209" spans="42:42" x14ac:dyDescent="0.25">
      <c r="AP209" s="1"/>
    </row>
    <row r="210" spans="42:42" x14ac:dyDescent="0.25">
      <c r="AP210" s="1"/>
    </row>
    <row r="211" spans="42:42" x14ac:dyDescent="0.25">
      <c r="AP211" s="1"/>
    </row>
    <row r="212" spans="42:42" x14ac:dyDescent="0.25">
      <c r="AP212" s="1"/>
    </row>
    <row r="213" spans="42:42" x14ac:dyDescent="0.25">
      <c r="AP213" s="1"/>
    </row>
    <row r="214" spans="42:42" x14ac:dyDescent="0.25">
      <c r="AP214" s="1"/>
    </row>
    <row r="215" spans="42:42" x14ac:dyDescent="0.25">
      <c r="AP215" s="1"/>
    </row>
    <row r="216" spans="42:42" x14ac:dyDescent="0.25">
      <c r="AP216" s="1"/>
    </row>
    <row r="217" spans="42:42" x14ac:dyDescent="0.25">
      <c r="AP217" s="1"/>
    </row>
    <row r="218" spans="42:42" x14ac:dyDescent="0.25">
      <c r="AP218" s="1"/>
    </row>
    <row r="219" spans="42:42" x14ac:dyDescent="0.25">
      <c r="AP219" s="1"/>
    </row>
    <row r="220" spans="42:42" x14ac:dyDescent="0.25">
      <c r="AP220" s="1"/>
    </row>
    <row r="221" spans="42:42" x14ac:dyDescent="0.25">
      <c r="AP221" s="1"/>
    </row>
    <row r="222" spans="42:42" x14ac:dyDescent="0.25">
      <c r="AP222" s="1"/>
    </row>
    <row r="223" spans="42:42" x14ac:dyDescent="0.25">
      <c r="AP223" s="1"/>
    </row>
    <row r="224" spans="42:42" x14ac:dyDescent="0.25">
      <c r="AP224" s="1"/>
    </row>
    <row r="225" spans="42:42" x14ac:dyDescent="0.25">
      <c r="AP225" s="1"/>
    </row>
    <row r="226" spans="42:42" x14ac:dyDescent="0.25">
      <c r="AP226" s="1"/>
    </row>
    <row r="227" spans="42:42" x14ac:dyDescent="0.25">
      <c r="AP227" s="1"/>
    </row>
    <row r="228" spans="42:42" x14ac:dyDescent="0.25">
      <c r="AP228" s="1"/>
    </row>
    <row r="229" spans="42:42" x14ac:dyDescent="0.25">
      <c r="AP229" s="1"/>
    </row>
    <row r="230" spans="42:42" x14ac:dyDescent="0.25">
      <c r="AP230" s="1"/>
    </row>
    <row r="231" spans="42:42" x14ac:dyDescent="0.25">
      <c r="AP231" s="1"/>
    </row>
    <row r="232" spans="42:42" x14ac:dyDescent="0.25">
      <c r="AP232" s="1"/>
    </row>
    <row r="233" spans="42:42" x14ac:dyDescent="0.25">
      <c r="AP233" s="1"/>
    </row>
    <row r="234" spans="42:42" x14ac:dyDescent="0.25">
      <c r="AP234" s="1"/>
    </row>
    <row r="235" spans="42:42" x14ac:dyDescent="0.25">
      <c r="AP235" s="1"/>
    </row>
    <row r="236" spans="42:42" x14ac:dyDescent="0.25">
      <c r="AP236" s="1"/>
    </row>
    <row r="237" spans="42:42" x14ac:dyDescent="0.25">
      <c r="AP237" s="1"/>
    </row>
    <row r="238" spans="42:42" x14ac:dyDescent="0.25">
      <c r="AP238" s="1"/>
    </row>
    <row r="239" spans="42:42" x14ac:dyDescent="0.25">
      <c r="AP239" s="1"/>
    </row>
    <row r="240" spans="42:42" x14ac:dyDescent="0.25">
      <c r="AP240" s="1"/>
    </row>
    <row r="241" spans="42:42" x14ac:dyDescent="0.25">
      <c r="AP241" s="1"/>
    </row>
    <row r="242" spans="42:42" x14ac:dyDescent="0.25">
      <c r="AP242" s="1"/>
    </row>
    <row r="243" spans="42:42" x14ac:dyDescent="0.25">
      <c r="AP243" s="1"/>
    </row>
    <row r="244" spans="42:42" x14ac:dyDescent="0.25">
      <c r="AP244" s="1"/>
    </row>
    <row r="245" spans="42:42" x14ac:dyDescent="0.25">
      <c r="AP245" s="1"/>
    </row>
    <row r="246" spans="42:42" x14ac:dyDescent="0.25">
      <c r="AP246" s="1"/>
    </row>
    <row r="247" spans="42:42" x14ac:dyDescent="0.25">
      <c r="AP247" s="1"/>
    </row>
    <row r="248" spans="42:42" x14ac:dyDescent="0.25">
      <c r="AP248" s="1"/>
    </row>
    <row r="249" spans="42:42" x14ac:dyDescent="0.25">
      <c r="AP249" s="1"/>
    </row>
    <row r="250" spans="42:42" x14ac:dyDescent="0.25">
      <c r="AP250" s="1"/>
    </row>
    <row r="251" spans="42:42" x14ac:dyDescent="0.25">
      <c r="AP251" s="1"/>
    </row>
    <row r="252" spans="42:42" x14ac:dyDescent="0.25">
      <c r="AP252" s="1"/>
    </row>
    <row r="253" spans="42:42" x14ac:dyDescent="0.25">
      <c r="AP253" s="1"/>
    </row>
    <row r="254" spans="42:42" x14ac:dyDescent="0.25">
      <c r="AP254" s="1"/>
    </row>
    <row r="255" spans="42:42" x14ac:dyDescent="0.25">
      <c r="AP255" s="1"/>
    </row>
    <row r="256" spans="42:42" x14ac:dyDescent="0.25">
      <c r="AP256" s="1"/>
    </row>
    <row r="257" spans="42:42" x14ac:dyDescent="0.25">
      <c r="AP257" s="1"/>
    </row>
    <row r="258" spans="42:42" x14ac:dyDescent="0.25">
      <c r="AP258" s="1"/>
    </row>
    <row r="259" spans="42:42" x14ac:dyDescent="0.25">
      <c r="AP259" s="1"/>
    </row>
    <row r="260" spans="42:42" x14ac:dyDescent="0.25">
      <c r="AP260" s="1"/>
    </row>
    <row r="261" spans="42:42" x14ac:dyDescent="0.25">
      <c r="AP261" s="1"/>
    </row>
    <row r="262" spans="42:42" x14ac:dyDescent="0.25">
      <c r="AP262" s="1"/>
    </row>
    <row r="263" spans="42:42" x14ac:dyDescent="0.25">
      <c r="AP263" s="1"/>
    </row>
    <row r="264" spans="42:42" x14ac:dyDescent="0.25">
      <c r="AP264" s="1"/>
    </row>
    <row r="265" spans="42:42" x14ac:dyDescent="0.25">
      <c r="AP265" s="1"/>
    </row>
    <row r="266" spans="42:42" x14ac:dyDescent="0.25">
      <c r="AP266" s="1"/>
    </row>
    <row r="267" spans="42:42" x14ac:dyDescent="0.25">
      <c r="AP267" s="1"/>
    </row>
    <row r="268" spans="42:42" x14ac:dyDescent="0.25">
      <c r="AP268" s="1"/>
    </row>
    <row r="269" spans="42:42" x14ac:dyDescent="0.25">
      <c r="AP269" s="1"/>
    </row>
    <row r="270" spans="42:42" x14ac:dyDescent="0.25">
      <c r="AP270" s="1"/>
    </row>
    <row r="271" spans="42:42" x14ac:dyDescent="0.25">
      <c r="AP271" s="1"/>
    </row>
    <row r="272" spans="42:42" x14ac:dyDescent="0.25">
      <c r="AP272" s="1"/>
    </row>
    <row r="273" spans="42:42" x14ac:dyDescent="0.25">
      <c r="AP273" s="1"/>
    </row>
    <row r="274" spans="42:42" x14ac:dyDescent="0.25">
      <c r="AP274" s="1"/>
    </row>
    <row r="275" spans="42:42" x14ac:dyDescent="0.25">
      <c r="AP275" s="1"/>
    </row>
    <row r="276" spans="42:42" x14ac:dyDescent="0.25">
      <c r="AP276" s="1"/>
    </row>
    <row r="277" spans="42:42" x14ac:dyDescent="0.25">
      <c r="AP277" s="1"/>
    </row>
    <row r="278" spans="42:42" x14ac:dyDescent="0.25">
      <c r="AP278" s="1"/>
    </row>
    <row r="279" spans="42:42" x14ac:dyDescent="0.25">
      <c r="AP279" s="1"/>
    </row>
    <row r="280" spans="42:42" x14ac:dyDescent="0.25">
      <c r="AP280" s="1"/>
    </row>
    <row r="281" spans="42:42" x14ac:dyDescent="0.25">
      <c r="AP281" s="1"/>
    </row>
    <row r="282" spans="42:42" x14ac:dyDescent="0.25">
      <c r="AP282" s="1"/>
    </row>
    <row r="283" spans="42:42" x14ac:dyDescent="0.25">
      <c r="AP283" s="1"/>
    </row>
    <row r="284" spans="42:42" x14ac:dyDescent="0.25">
      <c r="AP284" s="1"/>
    </row>
    <row r="285" spans="42:42" x14ac:dyDescent="0.25">
      <c r="AP285" s="1"/>
    </row>
    <row r="286" spans="42:42" x14ac:dyDescent="0.25">
      <c r="AP286" s="1"/>
    </row>
    <row r="287" spans="42:42" x14ac:dyDescent="0.25">
      <c r="AP287" s="1"/>
    </row>
    <row r="288" spans="42:42" x14ac:dyDescent="0.25">
      <c r="AP288" s="1"/>
    </row>
    <row r="289" spans="42:42" x14ac:dyDescent="0.25">
      <c r="AP289" s="1"/>
    </row>
    <row r="290" spans="42:42" x14ac:dyDescent="0.25">
      <c r="AP290" s="1"/>
    </row>
    <row r="291" spans="42:42" x14ac:dyDescent="0.25">
      <c r="AP291" s="1"/>
    </row>
    <row r="292" spans="42:42" x14ac:dyDescent="0.25">
      <c r="AP292" s="1"/>
    </row>
    <row r="293" spans="42:42" x14ac:dyDescent="0.25">
      <c r="AP293" s="1"/>
    </row>
    <row r="294" spans="42:42" x14ac:dyDescent="0.25">
      <c r="AP294" s="1"/>
    </row>
    <row r="295" spans="42:42" x14ac:dyDescent="0.25">
      <c r="AP295" s="1"/>
    </row>
    <row r="296" spans="42:42" x14ac:dyDescent="0.25">
      <c r="AP296" s="1"/>
    </row>
    <row r="297" spans="42:42" x14ac:dyDescent="0.25">
      <c r="AP297" s="1"/>
    </row>
    <row r="298" spans="42:42" x14ac:dyDescent="0.25">
      <c r="AP298" s="1"/>
    </row>
    <row r="299" spans="42:42" x14ac:dyDescent="0.25">
      <c r="AP299" s="1"/>
    </row>
    <row r="300" spans="42:42" x14ac:dyDescent="0.25">
      <c r="AP300" s="1"/>
    </row>
    <row r="301" spans="42:42" x14ac:dyDescent="0.25">
      <c r="AP301" s="1"/>
    </row>
    <row r="302" spans="42:42" x14ac:dyDescent="0.25">
      <c r="AP302" s="1"/>
    </row>
    <row r="303" spans="42:42" x14ac:dyDescent="0.25">
      <c r="AP303" s="1"/>
    </row>
    <row r="304" spans="42:42" x14ac:dyDescent="0.25">
      <c r="AP304" s="1"/>
    </row>
    <row r="305" spans="42:42" x14ac:dyDescent="0.25">
      <c r="AP305" s="1"/>
    </row>
    <row r="306" spans="42:42" x14ac:dyDescent="0.25">
      <c r="AP306" s="1"/>
    </row>
    <row r="307" spans="42:42" x14ac:dyDescent="0.25">
      <c r="AP307" s="1"/>
    </row>
    <row r="308" spans="42:42" x14ac:dyDescent="0.25">
      <c r="AP308" s="1"/>
    </row>
    <row r="309" spans="42:42" x14ac:dyDescent="0.25">
      <c r="AP309" s="1"/>
    </row>
    <row r="310" spans="42:42" x14ac:dyDescent="0.25">
      <c r="AP310" s="1"/>
    </row>
    <row r="311" spans="42:42" x14ac:dyDescent="0.25">
      <c r="AP311" s="1"/>
    </row>
    <row r="312" spans="42:42" x14ac:dyDescent="0.25">
      <c r="AP312" s="1"/>
    </row>
    <row r="313" spans="42:42" x14ac:dyDescent="0.25">
      <c r="AP313" s="1"/>
    </row>
    <row r="314" spans="42:42" x14ac:dyDescent="0.25">
      <c r="AP314" s="1"/>
    </row>
    <row r="315" spans="42:42" x14ac:dyDescent="0.25">
      <c r="AP315" s="1"/>
    </row>
    <row r="316" spans="42:42" x14ac:dyDescent="0.25">
      <c r="AP316" s="1"/>
    </row>
    <row r="317" spans="42:42" x14ac:dyDescent="0.25">
      <c r="AP317" s="1"/>
    </row>
    <row r="318" spans="42:42" x14ac:dyDescent="0.25">
      <c r="AP318" s="1"/>
    </row>
    <row r="319" spans="42:42" x14ac:dyDescent="0.25">
      <c r="AP319" s="1"/>
    </row>
    <row r="320" spans="42:42" x14ac:dyDescent="0.25">
      <c r="AP320" s="1"/>
    </row>
    <row r="321" spans="42:42" x14ac:dyDescent="0.25">
      <c r="AP321" s="1"/>
    </row>
    <row r="322" spans="42:42" x14ac:dyDescent="0.25">
      <c r="AP322" s="1"/>
    </row>
    <row r="323" spans="42:42" x14ac:dyDescent="0.25">
      <c r="AP323" s="1"/>
    </row>
    <row r="324" spans="42:42" x14ac:dyDescent="0.25">
      <c r="AP324" s="1"/>
    </row>
    <row r="325" spans="42:42" x14ac:dyDescent="0.25">
      <c r="AP325" s="1"/>
    </row>
    <row r="326" spans="42:42" x14ac:dyDescent="0.25">
      <c r="AP326" s="1"/>
    </row>
    <row r="327" spans="42:42" x14ac:dyDescent="0.25">
      <c r="AP327" s="1"/>
    </row>
    <row r="328" spans="42:42" x14ac:dyDescent="0.25">
      <c r="AP328" s="1"/>
    </row>
    <row r="329" spans="42:42" x14ac:dyDescent="0.25">
      <c r="AP329" s="1"/>
    </row>
    <row r="330" spans="42:42" x14ac:dyDescent="0.25">
      <c r="AP330" s="1"/>
    </row>
    <row r="331" spans="42:42" x14ac:dyDescent="0.25">
      <c r="AP331" s="1"/>
    </row>
    <row r="332" spans="42:42" x14ac:dyDescent="0.25">
      <c r="AP332" s="1"/>
    </row>
    <row r="333" spans="42:42" x14ac:dyDescent="0.25">
      <c r="AP333" s="1"/>
    </row>
    <row r="334" spans="42:42" x14ac:dyDescent="0.25">
      <c r="AP334" s="1"/>
    </row>
    <row r="335" spans="42:42" x14ac:dyDescent="0.25">
      <c r="AP335" s="1"/>
    </row>
    <row r="336" spans="42:42" x14ac:dyDescent="0.25">
      <c r="AP336" s="1"/>
    </row>
    <row r="337" spans="42:42" x14ac:dyDescent="0.25">
      <c r="AP337" s="1"/>
    </row>
    <row r="338" spans="42:42" x14ac:dyDescent="0.25">
      <c r="AP338" s="1"/>
    </row>
    <row r="339" spans="42:42" x14ac:dyDescent="0.25">
      <c r="AP339" s="1"/>
    </row>
    <row r="340" spans="42:42" x14ac:dyDescent="0.25">
      <c r="AP340" s="1"/>
    </row>
    <row r="341" spans="42:42" x14ac:dyDescent="0.25">
      <c r="AP341" s="1"/>
    </row>
    <row r="342" spans="42:42" x14ac:dyDescent="0.25">
      <c r="AP342" s="1"/>
    </row>
    <row r="343" spans="42:42" x14ac:dyDescent="0.25">
      <c r="AP343" s="1"/>
    </row>
    <row r="344" spans="42:42" x14ac:dyDescent="0.25">
      <c r="AP344" s="1"/>
    </row>
    <row r="345" spans="42:42" x14ac:dyDescent="0.25">
      <c r="AP345" s="1"/>
    </row>
    <row r="346" spans="42:42" x14ac:dyDescent="0.25">
      <c r="AP346" s="1"/>
    </row>
    <row r="347" spans="42:42" x14ac:dyDescent="0.25">
      <c r="AP347" s="1"/>
    </row>
    <row r="348" spans="42:42" x14ac:dyDescent="0.25">
      <c r="AP348" s="1"/>
    </row>
    <row r="349" spans="42:42" x14ac:dyDescent="0.25">
      <c r="AP349" s="1"/>
    </row>
    <row r="350" spans="42:42" x14ac:dyDescent="0.25">
      <c r="AP350" s="1"/>
    </row>
    <row r="351" spans="42:42" x14ac:dyDescent="0.25">
      <c r="AP351" s="1"/>
    </row>
    <row r="352" spans="42:42" x14ac:dyDescent="0.25">
      <c r="AP352" s="1"/>
    </row>
    <row r="353" spans="42:42" x14ac:dyDescent="0.25">
      <c r="AP353" s="1"/>
    </row>
    <row r="354" spans="42:42" x14ac:dyDescent="0.25">
      <c r="AP354" s="1"/>
    </row>
    <row r="355" spans="42:42" x14ac:dyDescent="0.25">
      <c r="AP355" s="1"/>
    </row>
    <row r="356" spans="42:42" x14ac:dyDescent="0.25">
      <c r="AP356" s="1"/>
    </row>
    <row r="357" spans="42:42" x14ac:dyDescent="0.25">
      <c r="AP357" s="1"/>
    </row>
    <row r="358" spans="42:42" x14ac:dyDescent="0.25">
      <c r="AP358" s="1"/>
    </row>
    <row r="359" spans="42:42" x14ac:dyDescent="0.25">
      <c r="AP359" s="1"/>
    </row>
    <row r="360" spans="42:42" x14ac:dyDescent="0.25">
      <c r="AP360" s="1"/>
    </row>
    <row r="361" spans="42:42" x14ac:dyDescent="0.25">
      <c r="AP361" s="1"/>
    </row>
    <row r="362" spans="42:42" x14ac:dyDescent="0.25">
      <c r="AP362" s="1"/>
    </row>
    <row r="363" spans="42:42" x14ac:dyDescent="0.25">
      <c r="AP363" s="1"/>
    </row>
    <row r="364" spans="42:42" x14ac:dyDescent="0.25">
      <c r="AP364" s="1"/>
    </row>
    <row r="365" spans="42:42" x14ac:dyDescent="0.25">
      <c r="AP365" s="1"/>
    </row>
    <row r="366" spans="42:42" x14ac:dyDescent="0.25">
      <c r="AP366" s="1"/>
    </row>
    <row r="367" spans="42:42" x14ac:dyDescent="0.25">
      <c r="AP367" s="1"/>
    </row>
    <row r="368" spans="42:42" x14ac:dyDescent="0.25">
      <c r="AP368" s="1"/>
    </row>
    <row r="369" spans="42:42" x14ac:dyDescent="0.25">
      <c r="AP369" s="1"/>
    </row>
    <row r="370" spans="42:42" x14ac:dyDescent="0.25">
      <c r="AP370" s="1"/>
    </row>
    <row r="371" spans="42:42" x14ac:dyDescent="0.25">
      <c r="AP371" s="1"/>
    </row>
    <row r="372" spans="42:42" x14ac:dyDescent="0.25">
      <c r="AP372" s="1"/>
    </row>
    <row r="373" spans="42:42" x14ac:dyDescent="0.25">
      <c r="AP373" s="1"/>
    </row>
    <row r="374" spans="42:42" x14ac:dyDescent="0.25">
      <c r="AP374" s="1"/>
    </row>
    <row r="375" spans="42:42" x14ac:dyDescent="0.25">
      <c r="AP375" s="1"/>
    </row>
    <row r="376" spans="42:42" x14ac:dyDescent="0.25">
      <c r="AP376" s="1"/>
    </row>
    <row r="377" spans="42:42" x14ac:dyDescent="0.25">
      <c r="AP377" s="1"/>
    </row>
    <row r="378" spans="42:42" x14ac:dyDescent="0.25">
      <c r="AP378" s="1"/>
    </row>
    <row r="379" spans="42:42" x14ac:dyDescent="0.25">
      <c r="AP379" s="1"/>
    </row>
    <row r="380" spans="42:42" x14ac:dyDescent="0.25">
      <c r="AP380" s="1"/>
    </row>
    <row r="381" spans="42:42" x14ac:dyDescent="0.25">
      <c r="AP381" s="1"/>
    </row>
    <row r="382" spans="42:42" x14ac:dyDescent="0.25">
      <c r="AP382" s="1"/>
    </row>
    <row r="383" spans="42:42" x14ac:dyDescent="0.25">
      <c r="AP383" s="1"/>
    </row>
    <row r="384" spans="42:42" x14ac:dyDescent="0.25">
      <c r="AP384" s="1"/>
    </row>
    <row r="385" spans="42:42" x14ac:dyDescent="0.25">
      <c r="AP385" s="1"/>
    </row>
    <row r="386" spans="42:42" x14ac:dyDescent="0.25">
      <c r="AP386" s="1"/>
    </row>
    <row r="387" spans="42:42" x14ac:dyDescent="0.25">
      <c r="AP387" s="1"/>
    </row>
    <row r="388" spans="42:42" x14ac:dyDescent="0.25">
      <c r="AP388" s="1"/>
    </row>
    <row r="389" spans="42:42" x14ac:dyDescent="0.25">
      <c r="AP389" s="1"/>
    </row>
    <row r="390" spans="42:42" x14ac:dyDescent="0.25">
      <c r="AP390" s="1"/>
    </row>
    <row r="391" spans="42:42" x14ac:dyDescent="0.25">
      <c r="AP391" s="1"/>
    </row>
    <row r="392" spans="42:42" x14ac:dyDescent="0.25">
      <c r="AP392" s="1"/>
    </row>
    <row r="393" spans="42:42" x14ac:dyDescent="0.25">
      <c r="AP393" s="1"/>
    </row>
    <row r="394" spans="42:42" x14ac:dyDescent="0.25">
      <c r="AP394" s="1"/>
    </row>
    <row r="395" spans="42:42" x14ac:dyDescent="0.25">
      <c r="AP395" s="1"/>
    </row>
    <row r="396" spans="42:42" x14ac:dyDescent="0.25">
      <c r="AP396" s="1"/>
    </row>
    <row r="397" spans="42:42" x14ac:dyDescent="0.25">
      <c r="AP397" s="1"/>
    </row>
    <row r="398" spans="42:42" x14ac:dyDescent="0.25">
      <c r="AP398" s="1"/>
    </row>
    <row r="399" spans="42:42" x14ac:dyDescent="0.25">
      <c r="AP399" s="1"/>
    </row>
    <row r="400" spans="42:42" x14ac:dyDescent="0.25">
      <c r="AP400" s="1"/>
    </row>
    <row r="401" spans="42:42" x14ac:dyDescent="0.25">
      <c r="AP401" s="1"/>
    </row>
    <row r="402" spans="42:42" x14ac:dyDescent="0.25">
      <c r="AP402" s="1"/>
    </row>
    <row r="403" spans="42:42" x14ac:dyDescent="0.25">
      <c r="AP403" s="1"/>
    </row>
    <row r="404" spans="42:42" x14ac:dyDescent="0.25">
      <c r="AP404" s="1"/>
    </row>
    <row r="405" spans="42:42" x14ac:dyDescent="0.25">
      <c r="AP405" s="1"/>
    </row>
    <row r="406" spans="42:42" x14ac:dyDescent="0.25">
      <c r="AP406" s="1"/>
    </row>
    <row r="407" spans="42:42" x14ac:dyDescent="0.25">
      <c r="AP407" s="1"/>
    </row>
    <row r="408" spans="42:42" x14ac:dyDescent="0.25">
      <c r="AP408" s="1"/>
    </row>
    <row r="409" spans="42:42" x14ac:dyDescent="0.25">
      <c r="AP409" s="1"/>
    </row>
    <row r="410" spans="42:42" x14ac:dyDescent="0.25">
      <c r="AP410" s="1"/>
    </row>
    <row r="411" spans="42:42" x14ac:dyDescent="0.25">
      <c r="AP411" s="1"/>
    </row>
    <row r="412" spans="42:42" x14ac:dyDescent="0.25">
      <c r="AP412" s="1"/>
    </row>
    <row r="413" spans="42:42" x14ac:dyDescent="0.25">
      <c r="AP413" s="1"/>
    </row>
    <row r="414" spans="42:42" x14ac:dyDescent="0.25">
      <c r="AP414" s="1"/>
    </row>
    <row r="415" spans="42:42" x14ac:dyDescent="0.25">
      <c r="AP415" s="1"/>
    </row>
    <row r="416" spans="42:42" x14ac:dyDescent="0.25">
      <c r="AP416" s="1"/>
    </row>
    <row r="417" spans="42:42" x14ac:dyDescent="0.25">
      <c r="AP417" s="1"/>
    </row>
    <row r="418" spans="42:42" x14ac:dyDescent="0.25">
      <c r="AP418" s="1"/>
    </row>
    <row r="419" spans="42:42" x14ac:dyDescent="0.25">
      <c r="AP419" s="1"/>
    </row>
    <row r="420" spans="42:42" x14ac:dyDescent="0.25">
      <c r="AP420" s="1"/>
    </row>
    <row r="421" spans="42:42" x14ac:dyDescent="0.25">
      <c r="AP421" s="1"/>
    </row>
    <row r="422" spans="42:42" x14ac:dyDescent="0.25">
      <c r="AP422" s="1"/>
    </row>
    <row r="423" spans="42:42" x14ac:dyDescent="0.25">
      <c r="AP423" s="1"/>
    </row>
    <row r="424" spans="42:42" x14ac:dyDescent="0.25">
      <c r="AP424" s="1"/>
    </row>
    <row r="425" spans="42:42" x14ac:dyDescent="0.25">
      <c r="AP425" s="1"/>
    </row>
    <row r="426" spans="42:42" x14ac:dyDescent="0.25">
      <c r="AP426" s="1"/>
    </row>
    <row r="427" spans="42:42" x14ac:dyDescent="0.25">
      <c r="AP427" s="1"/>
    </row>
    <row r="428" spans="42:42" x14ac:dyDescent="0.25">
      <c r="AP428" s="1"/>
    </row>
    <row r="429" spans="42:42" x14ac:dyDescent="0.25">
      <c r="AP429" s="1"/>
    </row>
    <row r="430" spans="42:42" x14ac:dyDescent="0.25">
      <c r="AP430" s="1"/>
    </row>
    <row r="431" spans="42:42" x14ac:dyDescent="0.25">
      <c r="AP431" s="1"/>
    </row>
    <row r="432" spans="42:42" x14ac:dyDescent="0.25">
      <c r="AP432" s="1"/>
    </row>
    <row r="433" spans="42:42" x14ac:dyDescent="0.25">
      <c r="AP433" s="1"/>
    </row>
    <row r="434" spans="42:42" x14ac:dyDescent="0.25">
      <c r="AP434" s="1"/>
    </row>
    <row r="435" spans="42:42" x14ac:dyDescent="0.25">
      <c r="AP435" s="1"/>
    </row>
    <row r="436" spans="42:42" x14ac:dyDescent="0.25">
      <c r="AP436" s="1"/>
    </row>
    <row r="437" spans="42:42" x14ac:dyDescent="0.25">
      <c r="AP437" s="1"/>
    </row>
    <row r="438" spans="42:42" x14ac:dyDescent="0.25">
      <c r="AP438" s="1"/>
    </row>
    <row r="439" spans="42:42" x14ac:dyDescent="0.25">
      <c r="AP439" s="1"/>
    </row>
    <row r="440" spans="42:42" x14ac:dyDescent="0.25">
      <c r="AP440" s="1"/>
    </row>
    <row r="441" spans="42:42" x14ac:dyDescent="0.25">
      <c r="AP441" s="1"/>
    </row>
    <row r="442" spans="42:42" x14ac:dyDescent="0.25">
      <c r="AP442" s="1"/>
    </row>
    <row r="443" spans="42:42" x14ac:dyDescent="0.25">
      <c r="AP443" s="1"/>
    </row>
    <row r="444" spans="42:42" x14ac:dyDescent="0.25">
      <c r="AP444" s="1"/>
    </row>
    <row r="445" spans="42:42" x14ac:dyDescent="0.25">
      <c r="AP445" s="1"/>
    </row>
    <row r="446" spans="42:42" x14ac:dyDescent="0.25">
      <c r="AP446" s="1"/>
    </row>
    <row r="447" spans="42:42" x14ac:dyDescent="0.25">
      <c r="AP447" s="1"/>
    </row>
    <row r="448" spans="42:42" x14ac:dyDescent="0.25">
      <c r="AP448" s="1"/>
    </row>
    <row r="449" spans="42:42" x14ac:dyDescent="0.25">
      <c r="AP449" s="1"/>
    </row>
    <row r="450" spans="42:42" x14ac:dyDescent="0.25">
      <c r="AP450" s="1"/>
    </row>
    <row r="451" spans="42:42" x14ac:dyDescent="0.25">
      <c r="AP451" s="1"/>
    </row>
    <row r="452" spans="42:42" x14ac:dyDescent="0.25">
      <c r="AP452" s="1"/>
    </row>
    <row r="453" spans="42:42" x14ac:dyDescent="0.25">
      <c r="AP453" s="1"/>
    </row>
    <row r="454" spans="42:42" x14ac:dyDescent="0.25">
      <c r="AP454" s="1"/>
    </row>
    <row r="455" spans="42:42" x14ac:dyDescent="0.25">
      <c r="AP455" s="1"/>
    </row>
    <row r="456" spans="42:42" x14ac:dyDescent="0.25">
      <c r="AP456" s="1"/>
    </row>
    <row r="457" spans="42:42" x14ac:dyDescent="0.25">
      <c r="AP457" s="1"/>
    </row>
    <row r="458" spans="42:42" x14ac:dyDescent="0.25">
      <c r="AP458" s="1"/>
    </row>
    <row r="459" spans="42:42" x14ac:dyDescent="0.25">
      <c r="AP459" s="1"/>
    </row>
    <row r="460" spans="42:42" x14ac:dyDescent="0.25">
      <c r="AP460" s="1"/>
    </row>
    <row r="461" spans="42:42" x14ac:dyDescent="0.25">
      <c r="AP461" s="1"/>
    </row>
    <row r="462" spans="42:42" x14ac:dyDescent="0.25">
      <c r="AP462" s="1"/>
    </row>
    <row r="463" spans="42:42" x14ac:dyDescent="0.25">
      <c r="AP463" s="1"/>
    </row>
    <row r="464" spans="42:42" x14ac:dyDescent="0.25">
      <c r="AP464" s="1"/>
    </row>
    <row r="465" spans="42:42" x14ac:dyDescent="0.25">
      <c r="AP465" s="1"/>
    </row>
    <row r="466" spans="42:42" x14ac:dyDescent="0.25">
      <c r="AP466" s="1"/>
    </row>
    <row r="467" spans="42:42" x14ac:dyDescent="0.25">
      <c r="AP467" s="1"/>
    </row>
    <row r="468" spans="42:42" x14ac:dyDescent="0.25">
      <c r="AP468" s="1"/>
    </row>
    <row r="469" spans="42:42" x14ac:dyDescent="0.25">
      <c r="AP469" s="1"/>
    </row>
    <row r="470" spans="42:42" x14ac:dyDescent="0.25">
      <c r="AP470" s="1"/>
    </row>
    <row r="471" spans="42:42" x14ac:dyDescent="0.25">
      <c r="AP471" s="1"/>
    </row>
    <row r="472" spans="42:42" x14ac:dyDescent="0.25">
      <c r="AP472" s="1"/>
    </row>
    <row r="473" spans="42:42" x14ac:dyDescent="0.25">
      <c r="AP473" s="1"/>
    </row>
    <row r="474" spans="42:42" x14ac:dyDescent="0.25">
      <c r="AP474" s="1"/>
    </row>
    <row r="475" spans="42:42" x14ac:dyDescent="0.25">
      <c r="AP475" s="1"/>
    </row>
    <row r="476" spans="42:42" x14ac:dyDescent="0.25">
      <c r="AP476" s="1"/>
    </row>
    <row r="477" spans="42:42" x14ac:dyDescent="0.25">
      <c r="AP477" s="1"/>
    </row>
    <row r="478" spans="42:42" x14ac:dyDescent="0.25">
      <c r="AP478" s="1"/>
    </row>
    <row r="479" spans="42:42" x14ac:dyDescent="0.25">
      <c r="AP479" s="1"/>
    </row>
    <row r="480" spans="42:42" x14ac:dyDescent="0.25">
      <c r="AP480" s="1"/>
    </row>
    <row r="481" spans="42:42" x14ac:dyDescent="0.25">
      <c r="AP481" s="1"/>
    </row>
    <row r="482" spans="42:42" x14ac:dyDescent="0.25">
      <c r="AP482" s="1"/>
    </row>
    <row r="483" spans="42:42" x14ac:dyDescent="0.25">
      <c r="AP483" s="1"/>
    </row>
    <row r="484" spans="42:42" x14ac:dyDescent="0.25">
      <c r="AP484" s="1"/>
    </row>
    <row r="485" spans="42:42" x14ac:dyDescent="0.25">
      <c r="AP485" s="1"/>
    </row>
    <row r="486" spans="42:42" x14ac:dyDescent="0.25">
      <c r="AP486" s="1"/>
    </row>
    <row r="487" spans="42:42" x14ac:dyDescent="0.25">
      <c r="AP487" s="1"/>
    </row>
    <row r="488" spans="42:42" x14ac:dyDescent="0.25">
      <c r="AP488" s="1"/>
    </row>
    <row r="489" spans="42:42" x14ac:dyDescent="0.25">
      <c r="AP489" s="1"/>
    </row>
    <row r="490" spans="42:42" x14ac:dyDescent="0.25">
      <c r="AP490" s="1"/>
    </row>
    <row r="491" spans="42:42" x14ac:dyDescent="0.25">
      <c r="AP491" s="1"/>
    </row>
    <row r="492" spans="42:42" x14ac:dyDescent="0.25">
      <c r="AP492" s="1"/>
    </row>
    <row r="493" spans="42:42" x14ac:dyDescent="0.25">
      <c r="AP493" s="1"/>
    </row>
    <row r="494" spans="42:42" x14ac:dyDescent="0.25">
      <c r="AP494" s="1"/>
    </row>
    <row r="495" spans="42:42" x14ac:dyDescent="0.25">
      <c r="AP495" s="1"/>
    </row>
    <row r="496" spans="42:42" x14ac:dyDescent="0.25">
      <c r="AP496" s="1"/>
    </row>
    <row r="497" spans="42:42" x14ac:dyDescent="0.25">
      <c r="AP497" s="1"/>
    </row>
    <row r="498" spans="42:42" x14ac:dyDescent="0.25">
      <c r="AP498" s="1"/>
    </row>
    <row r="499" spans="42:42" x14ac:dyDescent="0.25">
      <c r="AP499" s="1"/>
    </row>
    <row r="500" spans="42:42" x14ac:dyDescent="0.25">
      <c r="AP500" s="1"/>
    </row>
    <row r="501" spans="42:42" x14ac:dyDescent="0.25">
      <c r="AP501" s="1"/>
    </row>
    <row r="502" spans="42:42" x14ac:dyDescent="0.25">
      <c r="AP502" s="1"/>
    </row>
    <row r="503" spans="42:42" x14ac:dyDescent="0.25">
      <c r="AP503" s="1"/>
    </row>
    <row r="504" spans="42:42" x14ac:dyDescent="0.25">
      <c r="AP504" s="1"/>
    </row>
    <row r="505" spans="42:42" x14ac:dyDescent="0.25">
      <c r="AP505" s="1"/>
    </row>
    <row r="506" spans="42:42" x14ac:dyDescent="0.25">
      <c r="AP506" s="1"/>
    </row>
    <row r="507" spans="42:42" x14ac:dyDescent="0.25">
      <c r="AP507" s="1"/>
    </row>
    <row r="508" spans="42:42" x14ac:dyDescent="0.25">
      <c r="AP508" s="1"/>
    </row>
    <row r="509" spans="42:42" x14ac:dyDescent="0.25">
      <c r="AP509" s="1"/>
    </row>
    <row r="510" spans="42:42" x14ac:dyDescent="0.25">
      <c r="AP510" s="1"/>
    </row>
    <row r="511" spans="42:42" x14ac:dyDescent="0.25">
      <c r="AP511" s="1"/>
    </row>
    <row r="512" spans="42:42" x14ac:dyDescent="0.25">
      <c r="AP512" s="1"/>
    </row>
    <row r="513" spans="42:42" x14ac:dyDescent="0.25">
      <c r="AP513" s="1"/>
    </row>
    <row r="514" spans="42:42" x14ac:dyDescent="0.25">
      <c r="AP514" s="1"/>
    </row>
    <row r="515" spans="42:42" x14ac:dyDescent="0.25">
      <c r="AP515" s="1"/>
    </row>
    <row r="516" spans="42:42" x14ac:dyDescent="0.25">
      <c r="AP516" s="1"/>
    </row>
    <row r="517" spans="42:42" x14ac:dyDescent="0.25">
      <c r="AP517" s="1"/>
    </row>
    <row r="518" spans="42:42" x14ac:dyDescent="0.25">
      <c r="AP518" s="1"/>
    </row>
    <row r="519" spans="42:42" x14ac:dyDescent="0.25">
      <c r="AP519" s="1"/>
    </row>
    <row r="520" spans="42:42" x14ac:dyDescent="0.25">
      <c r="AP520" s="1"/>
    </row>
    <row r="521" spans="42:42" x14ac:dyDescent="0.25">
      <c r="AP521" s="1"/>
    </row>
    <row r="522" spans="42:42" x14ac:dyDescent="0.25">
      <c r="AP522" s="1"/>
    </row>
    <row r="523" spans="42:42" x14ac:dyDescent="0.25">
      <c r="AP523" s="1"/>
    </row>
    <row r="524" spans="42:42" x14ac:dyDescent="0.25">
      <c r="AP524" s="1"/>
    </row>
    <row r="525" spans="42:42" x14ac:dyDescent="0.25">
      <c r="AP525" s="1"/>
    </row>
    <row r="526" spans="42:42" x14ac:dyDescent="0.25">
      <c r="AP526" s="1"/>
    </row>
    <row r="527" spans="42:42" x14ac:dyDescent="0.25">
      <c r="AP527" s="1"/>
    </row>
    <row r="528" spans="42:42" x14ac:dyDescent="0.25">
      <c r="AP528" s="1"/>
    </row>
    <row r="529" spans="42:42" x14ac:dyDescent="0.25">
      <c r="AP529" s="1"/>
    </row>
    <row r="530" spans="42:42" x14ac:dyDescent="0.25">
      <c r="AP530" s="1"/>
    </row>
    <row r="531" spans="42:42" x14ac:dyDescent="0.25">
      <c r="AP531" s="1"/>
    </row>
    <row r="532" spans="42:42" x14ac:dyDescent="0.25">
      <c r="AP532" s="1"/>
    </row>
    <row r="533" spans="42:42" x14ac:dyDescent="0.25">
      <c r="AP533" s="1"/>
    </row>
    <row r="534" spans="42:42" x14ac:dyDescent="0.25">
      <c r="AP534" s="1"/>
    </row>
    <row r="535" spans="42:42" x14ac:dyDescent="0.25">
      <c r="AP535" s="1"/>
    </row>
    <row r="536" spans="42:42" x14ac:dyDescent="0.25">
      <c r="AP536" s="1"/>
    </row>
    <row r="537" spans="42:42" x14ac:dyDescent="0.25">
      <c r="AP537" s="1"/>
    </row>
    <row r="538" spans="42:42" x14ac:dyDescent="0.25">
      <c r="AP538" s="1"/>
    </row>
    <row r="539" spans="42:42" x14ac:dyDescent="0.25">
      <c r="AP539" s="1"/>
    </row>
    <row r="540" spans="42:42" x14ac:dyDescent="0.25">
      <c r="AP540" s="1"/>
    </row>
    <row r="541" spans="42:42" x14ac:dyDescent="0.25">
      <c r="AP541" s="1"/>
    </row>
    <row r="542" spans="42:42" x14ac:dyDescent="0.25">
      <c r="AP542" s="1"/>
    </row>
    <row r="543" spans="42:42" x14ac:dyDescent="0.25">
      <c r="AP543" s="1"/>
    </row>
    <row r="544" spans="42:42" x14ac:dyDescent="0.25">
      <c r="AP544" s="1"/>
    </row>
    <row r="545" spans="42:42" x14ac:dyDescent="0.25">
      <c r="AP545" s="1"/>
    </row>
    <row r="546" spans="42:42" x14ac:dyDescent="0.25">
      <c r="AP546" s="1"/>
    </row>
    <row r="547" spans="42:42" x14ac:dyDescent="0.25">
      <c r="AP547" s="1"/>
    </row>
    <row r="548" spans="42:42" x14ac:dyDescent="0.25">
      <c r="AP548" s="1"/>
    </row>
    <row r="549" spans="42:42" x14ac:dyDescent="0.25">
      <c r="AP549" s="1"/>
    </row>
    <row r="550" spans="42:42" x14ac:dyDescent="0.25">
      <c r="AP550" s="1"/>
    </row>
    <row r="551" spans="42:42" x14ac:dyDescent="0.25">
      <c r="AP551" s="1"/>
    </row>
    <row r="552" spans="42:42" x14ac:dyDescent="0.25">
      <c r="AP552" s="1"/>
    </row>
    <row r="553" spans="42:42" x14ac:dyDescent="0.25">
      <c r="AP553" s="1"/>
    </row>
    <row r="554" spans="42:42" x14ac:dyDescent="0.25">
      <c r="AP554" s="1"/>
    </row>
    <row r="555" spans="42:42" x14ac:dyDescent="0.25">
      <c r="AP555" s="1"/>
    </row>
    <row r="556" spans="42:42" x14ac:dyDescent="0.25">
      <c r="AP556" s="1"/>
    </row>
    <row r="557" spans="42:42" x14ac:dyDescent="0.25">
      <c r="AP557" s="1"/>
    </row>
    <row r="558" spans="42:42" x14ac:dyDescent="0.25">
      <c r="AP558" s="1"/>
    </row>
    <row r="559" spans="42:42" x14ac:dyDescent="0.25">
      <c r="AP559" s="1"/>
    </row>
    <row r="560" spans="42:42" x14ac:dyDescent="0.25">
      <c r="AP560" s="1"/>
    </row>
    <row r="561" spans="42:42" x14ac:dyDescent="0.25">
      <c r="AP561" s="1"/>
    </row>
    <row r="562" spans="42:42" x14ac:dyDescent="0.25">
      <c r="AP562" s="1"/>
    </row>
    <row r="563" spans="42:42" x14ac:dyDescent="0.25">
      <c r="AP563" s="1"/>
    </row>
    <row r="564" spans="42:42" x14ac:dyDescent="0.25">
      <c r="AP564" s="1"/>
    </row>
    <row r="565" spans="42:42" x14ac:dyDescent="0.25">
      <c r="AP565" s="1"/>
    </row>
    <row r="566" spans="42:42" x14ac:dyDescent="0.25">
      <c r="AP566" s="1"/>
    </row>
    <row r="567" spans="42:42" x14ac:dyDescent="0.25">
      <c r="AP567" s="1"/>
    </row>
    <row r="568" spans="42:42" x14ac:dyDescent="0.25">
      <c r="AP568" s="1"/>
    </row>
    <row r="569" spans="42:42" x14ac:dyDescent="0.25">
      <c r="AP569" s="1"/>
    </row>
    <row r="570" spans="42:42" x14ac:dyDescent="0.25">
      <c r="AP570" s="1"/>
    </row>
    <row r="571" spans="42:42" x14ac:dyDescent="0.25">
      <c r="AP571" s="1"/>
    </row>
    <row r="572" spans="42:42" x14ac:dyDescent="0.25">
      <c r="AP572" s="1"/>
    </row>
    <row r="573" spans="42:42" x14ac:dyDescent="0.25">
      <c r="AP573" s="1"/>
    </row>
    <row r="574" spans="42:42" x14ac:dyDescent="0.25">
      <c r="AP574" s="1"/>
    </row>
    <row r="575" spans="42:42" x14ac:dyDescent="0.25">
      <c r="AP575" s="1"/>
    </row>
    <row r="576" spans="42:42" x14ac:dyDescent="0.25">
      <c r="AP576" s="1"/>
    </row>
    <row r="577" spans="42:42" x14ac:dyDescent="0.25">
      <c r="AP577" s="1"/>
    </row>
    <row r="578" spans="42:42" x14ac:dyDescent="0.25">
      <c r="AP578" s="1"/>
    </row>
    <row r="579" spans="42:42" x14ac:dyDescent="0.25">
      <c r="AP579" s="1"/>
    </row>
    <row r="580" spans="42:42" x14ac:dyDescent="0.25">
      <c r="AP580" s="1"/>
    </row>
    <row r="581" spans="42:42" x14ac:dyDescent="0.25">
      <c r="AP581" s="1"/>
    </row>
    <row r="582" spans="42:42" x14ac:dyDescent="0.25">
      <c r="AP582" s="1"/>
    </row>
    <row r="583" spans="42:42" x14ac:dyDescent="0.25">
      <c r="AP583" s="1"/>
    </row>
    <row r="584" spans="42:42" x14ac:dyDescent="0.25">
      <c r="AP584" s="1"/>
    </row>
    <row r="585" spans="42:42" x14ac:dyDescent="0.25">
      <c r="AP585" s="1"/>
    </row>
    <row r="586" spans="42:42" x14ac:dyDescent="0.25">
      <c r="AP586" s="1"/>
    </row>
    <row r="587" spans="42:42" x14ac:dyDescent="0.25">
      <c r="AP587" s="1"/>
    </row>
    <row r="588" spans="42:42" x14ac:dyDescent="0.25">
      <c r="AP588" s="1"/>
    </row>
    <row r="589" spans="42:42" x14ac:dyDescent="0.25">
      <c r="AP589" s="1"/>
    </row>
    <row r="590" spans="42:42" x14ac:dyDescent="0.25">
      <c r="AP590" s="1"/>
    </row>
    <row r="591" spans="42:42" x14ac:dyDescent="0.25">
      <c r="AP591" s="1"/>
    </row>
    <row r="592" spans="42:42" x14ac:dyDescent="0.25">
      <c r="AP592" s="1"/>
    </row>
    <row r="593" spans="42:42" x14ac:dyDescent="0.25">
      <c r="AP593" s="1"/>
    </row>
    <row r="594" spans="42:42" x14ac:dyDescent="0.25">
      <c r="AP594" s="1"/>
    </row>
    <row r="595" spans="42:42" x14ac:dyDescent="0.25">
      <c r="AP595" s="1"/>
    </row>
    <row r="596" spans="42:42" x14ac:dyDescent="0.25">
      <c r="AP596" s="1"/>
    </row>
    <row r="597" spans="42:42" x14ac:dyDescent="0.25">
      <c r="AP597" s="1"/>
    </row>
    <row r="598" spans="42:42" x14ac:dyDescent="0.25">
      <c r="AP598" s="1"/>
    </row>
    <row r="599" spans="42:42" x14ac:dyDescent="0.25">
      <c r="AP599" s="1"/>
    </row>
    <row r="600" spans="42:42" x14ac:dyDescent="0.25">
      <c r="AP600" s="1"/>
    </row>
    <row r="601" spans="42:42" x14ac:dyDescent="0.25">
      <c r="AP601" s="1"/>
    </row>
    <row r="602" spans="42:42" x14ac:dyDescent="0.25">
      <c r="AP602" s="1"/>
    </row>
    <row r="603" spans="42:42" x14ac:dyDescent="0.25">
      <c r="AP603" s="1"/>
    </row>
    <row r="604" spans="42:42" x14ac:dyDescent="0.25">
      <c r="AP604" s="1"/>
    </row>
    <row r="605" spans="42:42" x14ac:dyDescent="0.25">
      <c r="AP605" s="1"/>
    </row>
    <row r="606" spans="42:42" x14ac:dyDescent="0.25">
      <c r="AP606" s="1"/>
    </row>
    <row r="607" spans="42:42" x14ac:dyDescent="0.25">
      <c r="AP607" s="1"/>
    </row>
    <row r="608" spans="42:42" x14ac:dyDescent="0.25">
      <c r="AP608" s="1"/>
    </row>
    <row r="609" spans="42:42" x14ac:dyDescent="0.25">
      <c r="AP609" s="1"/>
    </row>
    <row r="610" spans="42:42" x14ac:dyDescent="0.25">
      <c r="AP610" s="1"/>
    </row>
    <row r="611" spans="42:42" x14ac:dyDescent="0.25">
      <c r="AP611" s="1"/>
    </row>
    <row r="612" spans="42:42" x14ac:dyDescent="0.25">
      <c r="AP612" s="1"/>
    </row>
    <row r="613" spans="42:42" x14ac:dyDescent="0.25">
      <c r="AP613" s="1"/>
    </row>
    <row r="614" spans="42:42" x14ac:dyDescent="0.25">
      <c r="AP614" s="1"/>
    </row>
    <row r="615" spans="42:42" x14ac:dyDescent="0.25">
      <c r="AP615" s="1"/>
    </row>
    <row r="616" spans="42:42" x14ac:dyDescent="0.25">
      <c r="AP616" s="1"/>
    </row>
    <row r="617" spans="42:42" x14ac:dyDescent="0.25">
      <c r="AP617" s="1"/>
    </row>
    <row r="618" spans="42:42" x14ac:dyDescent="0.25">
      <c r="AP618" s="1"/>
    </row>
    <row r="619" spans="42:42" x14ac:dyDescent="0.25">
      <c r="AP619" s="1"/>
    </row>
    <row r="620" spans="42:42" x14ac:dyDescent="0.25">
      <c r="AP620" s="1"/>
    </row>
    <row r="621" spans="42:42" x14ac:dyDescent="0.25">
      <c r="AP621" s="1"/>
    </row>
    <row r="622" spans="42:42" x14ac:dyDescent="0.25">
      <c r="AP622" s="1"/>
    </row>
    <row r="623" spans="42:42" x14ac:dyDescent="0.25">
      <c r="AP623" s="1"/>
    </row>
    <row r="624" spans="42:42" x14ac:dyDescent="0.25">
      <c r="AP624" s="1"/>
    </row>
    <row r="625" spans="42:42" x14ac:dyDescent="0.25">
      <c r="AP625" s="1"/>
    </row>
    <row r="626" spans="42:42" x14ac:dyDescent="0.25">
      <c r="AP626" s="1"/>
    </row>
    <row r="627" spans="42:42" x14ac:dyDescent="0.25">
      <c r="AP627" s="1"/>
    </row>
    <row r="628" spans="42:42" x14ac:dyDescent="0.25">
      <c r="AP628" s="1"/>
    </row>
    <row r="629" spans="42:42" x14ac:dyDescent="0.25">
      <c r="AP629" s="1"/>
    </row>
    <row r="630" spans="42:42" x14ac:dyDescent="0.25">
      <c r="AP630" s="1"/>
    </row>
    <row r="631" spans="42:42" x14ac:dyDescent="0.25">
      <c r="AP631" s="1"/>
    </row>
    <row r="632" spans="42:42" x14ac:dyDescent="0.25">
      <c r="AP632" s="1"/>
    </row>
    <row r="633" spans="42:42" x14ac:dyDescent="0.25">
      <c r="AP633" s="1"/>
    </row>
    <row r="634" spans="42:42" x14ac:dyDescent="0.25">
      <c r="AP634" s="1"/>
    </row>
    <row r="635" spans="42:42" x14ac:dyDescent="0.25">
      <c r="AP635" s="1"/>
    </row>
    <row r="636" spans="42:42" x14ac:dyDescent="0.25">
      <c r="AP636" s="1"/>
    </row>
    <row r="637" spans="42:42" x14ac:dyDescent="0.25">
      <c r="AP637" s="1"/>
    </row>
    <row r="638" spans="42:42" x14ac:dyDescent="0.25">
      <c r="AP638" s="1"/>
    </row>
    <row r="639" spans="42:42" x14ac:dyDescent="0.25">
      <c r="AP639" s="1"/>
    </row>
    <row r="640" spans="42:42" x14ac:dyDescent="0.25">
      <c r="AP640" s="1"/>
    </row>
    <row r="641" spans="42:42" x14ac:dyDescent="0.25">
      <c r="AP641" s="1"/>
    </row>
    <row r="642" spans="42:42" x14ac:dyDescent="0.25">
      <c r="AP642" s="1"/>
    </row>
    <row r="643" spans="42:42" x14ac:dyDescent="0.25">
      <c r="AP643" s="1"/>
    </row>
    <row r="644" spans="42:42" x14ac:dyDescent="0.25">
      <c r="AP644" s="1"/>
    </row>
    <row r="645" spans="42:42" x14ac:dyDescent="0.25">
      <c r="AP645" s="1"/>
    </row>
    <row r="646" spans="42:42" x14ac:dyDescent="0.25">
      <c r="AP646" s="1"/>
    </row>
    <row r="647" spans="42:42" x14ac:dyDescent="0.25">
      <c r="AP647" s="1"/>
    </row>
    <row r="648" spans="42:42" x14ac:dyDescent="0.25">
      <c r="AP648" s="1"/>
    </row>
    <row r="649" spans="42:42" x14ac:dyDescent="0.25">
      <c r="AP649" s="1"/>
    </row>
    <row r="650" spans="42:42" x14ac:dyDescent="0.25">
      <c r="AP650" s="1"/>
    </row>
    <row r="651" spans="42:42" x14ac:dyDescent="0.25">
      <c r="AP651" s="1"/>
    </row>
    <row r="652" spans="42:42" x14ac:dyDescent="0.25">
      <c r="AP652" s="1"/>
    </row>
    <row r="653" spans="42:42" x14ac:dyDescent="0.25">
      <c r="AP653" s="1"/>
    </row>
    <row r="654" spans="42:42" x14ac:dyDescent="0.25">
      <c r="AP654" s="1"/>
    </row>
    <row r="655" spans="42:42" x14ac:dyDescent="0.25">
      <c r="AP655" s="1"/>
    </row>
    <row r="656" spans="42:42" x14ac:dyDescent="0.25">
      <c r="AP656" s="1"/>
    </row>
    <row r="657" spans="42:42" x14ac:dyDescent="0.25">
      <c r="AP657" s="1"/>
    </row>
    <row r="658" spans="42:42" x14ac:dyDescent="0.25">
      <c r="AP658" s="1"/>
    </row>
    <row r="659" spans="42:42" x14ac:dyDescent="0.25">
      <c r="AP659" s="1"/>
    </row>
    <row r="660" spans="42:42" x14ac:dyDescent="0.25">
      <c r="AP660" s="1"/>
    </row>
    <row r="661" spans="42:42" x14ac:dyDescent="0.25">
      <c r="AP661" s="1"/>
    </row>
    <row r="662" spans="42:42" x14ac:dyDescent="0.25">
      <c r="AP662" s="1"/>
    </row>
    <row r="663" spans="42:42" x14ac:dyDescent="0.25">
      <c r="AP663" s="1"/>
    </row>
    <row r="664" spans="42:42" x14ac:dyDescent="0.25">
      <c r="AP664" s="1"/>
    </row>
    <row r="665" spans="42:42" x14ac:dyDescent="0.25">
      <c r="AP665" s="1"/>
    </row>
    <row r="666" spans="42:42" x14ac:dyDescent="0.25">
      <c r="AP666" s="1"/>
    </row>
    <row r="667" spans="42:42" x14ac:dyDescent="0.25">
      <c r="AP667" s="1"/>
    </row>
    <row r="668" spans="42:42" x14ac:dyDescent="0.25">
      <c r="AP668" s="1"/>
    </row>
    <row r="669" spans="42:42" x14ac:dyDescent="0.25">
      <c r="AP669" s="1"/>
    </row>
    <row r="670" spans="42:42" x14ac:dyDescent="0.25">
      <c r="AP670" s="1"/>
    </row>
    <row r="671" spans="42:42" x14ac:dyDescent="0.25">
      <c r="AP671" s="1"/>
    </row>
    <row r="672" spans="42:42" x14ac:dyDescent="0.25">
      <c r="AP672" s="1"/>
    </row>
    <row r="673" spans="42:42" x14ac:dyDescent="0.25">
      <c r="AP673" s="1"/>
    </row>
    <row r="674" spans="42:42" x14ac:dyDescent="0.25">
      <c r="AP674" s="1"/>
    </row>
    <row r="675" spans="42:42" x14ac:dyDescent="0.25">
      <c r="AP675" s="1"/>
    </row>
    <row r="676" spans="42:42" x14ac:dyDescent="0.25">
      <c r="AP676" s="1"/>
    </row>
    <row r="677" spans="42:42" x14ac:dyDescent="0.25">
      <c r="AP677" s="1"/>
    </row>
    <row r="678" spans="42:42" x14ac:dyDescent="0.25">
      <c r="AP678" s="1"/>
    </row>
    <row r="679" spans="42:42" x14ac:dyDescent="0.25">
      <c r="AP679" s="1"/>
    </row>
    <row r="680" spans="42:42" x14ac:dyDescent="0.25">
      <c r="AP680" s="1"/>
    </row>
    <row r="681" spans="42:42" x14ac:dyDescent="0.25">
      <c r="AP681" s="1"/>
    </row>
    <row r="682" spans="42:42" x14ac:dyDescent="0.25">
      <c r="AP682" s="1"/>
    </row>
    <row r="683" spans="42:42" x14ac:dyDescent="0.25">
      <c r="AP683" s="1"/>
    </row>
    <row r="684" spans="42:42" x14ac:dyDescent="0.25">
      <c r="AP684" s="1"/>
    </row>
    <row r="685" spans="42:42" x14ac:dyDescent="0.25">
      <c r="AP685" s="1"/>
    </row>
    <row r="686" spans="42:42" x14ac:dyDescent="0.25">
      <c r="AP686" s="1"/>
    </row>
    <row r="687" spans="42:42" x14ac:dyDescent="0.25">
      <c r="AP687" s="1"/>
    </row>
    <row r="688" spans="42:42" x14ac:dyDescent="0.25">
      <c r="AP688" s="1"/>
    </row>
    <row r="689" spans="42:42" x14ac:dyDescent="0.25">
      <c r="AP689" s="1"/>
    </row>
    <row r="690" spans="42:42" x14ac:dyDescent="0.25">
      <c r="AP690" s="1"/>
    </row>
    <row r="691" spans="42:42" x14ac:dyDescent="0.25">
      <c r="AP691" s="1"/>
    </row>
    <row r="692" spans="42:42" x14ac:dyDescent="0.25">
      <c r="AP692" s="1"/>
    </row>
    <row r="693" spans="42:42" x14ac:dyDescent="0.25">
      <c r="AP693" s="1"/>
    </row>
    <row r="694" spans="42:42" x14ac:dyDescent="0.25">
      <c r="AP694" s="1"/>
    </row>
    <row r="695" spans="42:42" x14ac:dyDescent="0.25">
      <c r="AP695" s="1"/>
    </row>
    <row r="696" spans="42:42" x14ac:dyDescent="0.25">
      <c r="AP696" s="1"/>
    </row>
    <row r="697" spans="42:42" x14ac:dyDescent="0.25">
      <c r="AP697" s="1"/>
    </row>
    <row r="698" spans="42:42" x14ac:dyDescent="0.25">
      <c r="AP698" s="1"/>
    </row>
    <row r="699" spans="42:42" x14ac:dyDescent="0.25">
      <c r="AP699" s="1"/>
    </row>
    <row r="700" spans="42:42" x14ac:dyDescent="0.25">
      <c r="AP700" s="1"/>
    </row>
    <row r="701" spans="42:42" x14ac:dyDescent="0.25">
      <c r="AP701" s="1"/>
    </row>
    <row r="702" spans="42:42" x14ac:dyDescent="0.25">
      <c r="AP702" s="1"/>
    </row>
    <row r="703" spans="42:42" x14ac:dyDescent="0.25">
      <c r="AP703" s="1"/>
    </row>
    <row r="704" spans="42:42" x14ac:dyDescent="0.25">
      <c r="AP704" s="1"/>
    </row>
    <row r="705" spans="42:42" x14ac:dyDescent="0.25">
      <c r="AP705" s="1"/>
    </row>
    <row r="706" spans="42:42" x14ac:dyDescent="0.25">
      <c r="AP706" s="1"/>
    </row>
    <row r="707" spans="42:42" x14ac:dyDescent="0.25">
      <c r="AP707" s="1"/>
    </row>
    <row r="708" spans="42:42" x14ac:dyDescent="0.25">
      <c r="AP708" s="1"/>
    </row>
    <row r="709" spans="42:42" x14ac:dyDescent="0.25">
      <c r="AP709" s="1"/>
    </row>
    <row r="710" spans="42:42" x14ac:dyDescent="0.25">
      <c r="AP710" s="1"/>
    </row>
    <row r="711" spans="42:42" x14ac:dyDescent="0.25">
      <c r="AP711" s="1"/>
    </row>
    <row r="712" spans="42:42" x14ac:dyDescent="0.25">
      <c r="AP712" s="1"/>
    </row>
    <row r="713" spans="42:42" x14ac:dyDescent="0.25">
      <c r="AP713" s="1"/>
    </row>
    <row r="714" spans="42:42" x14ac:dyDescent="0.25">
      <c r="AP714" s="1"/>
    </row>
    <row r="715" spans="42:42" x14ac:dyDescent="0.25">
      <c r="AP715" s="1"/>
    </row>
    <row r="716" spans="42:42" x14ac:dyDescent="0.25">
      <c r="AP716" s="1"/>
    </row>
    <row r="717" spans="42:42" x14ac:dyDescent="0.25">
      <c r="AP717" s="1"/>
    </row>
    <row r="718" spans="42:42" x14ac:dyDescent="0.25">
      <c r="AP718" s="1"/>
    </row>
    <row r="719" spans="42:42" x14ac:dyDescent="0.25">
      <c r="AP719" s="1"/>
    </row>
    <row r="720" spans="42:42" x14ac:dyDescent="0.25">
      <c r="AP720" s="1"/>
    </row>
    <row r="721" spans="42:42" x14ac:dyDescent="0.25">
      <c r="AP721" s="1"/>
    </row>
    <row r="722" spans="42:42" x14ac:dyDescent="0.25">
      <c r="AP722" s="1"/>
    </row>
    <row r="723" spans="42:42" x14ac:dyDescent="0.25">
      <c r="AP723" s="1"/>
    </row>
    <row r="724" spans="42:42" x14ac:dyDescent="0.25">
      <c r="AP724" s="1"/>
    </row>
    <row r="725" spans="42:42" x14ac:dyDescent="0.25">
      <c r="AP725" s="1"/>
    </row>
    <row r="726" spans="42:42" x14ac:dyDescent="0.25">
      <c r="AP726" s="1"/>
    </row>
    <row r="727" spans="42:42" x14ac:dyDescent="0.25">
      <c r="AP727" s="1"/>
    </row>
    <row r="728" spans="42:42" x14ac:dyDescent="0.25">
      <c r="AP728" s="1"/>
    </row>
    <row r="729" spans="42:42" x14ac:dyDescent="0.25">
      <c r="AP729" s="1"/>
    </row>
    <row r="730" spans="42:42" x14ac:dyDescent="0.25">
      <c r="AP730" s="1"/>
    </row>
    <row r="731" spans="42:42" x14ac:dyDescent="0.25">
      <c r="AP731" s="1"/>
    </row>
    <row r="732" spans="42:42" x14ac:dyDescent="0.25">
      <c r="AP732" s="1"/>
    </row>
    <row r="733" spans="42:42" x14ac:dyDescent="0.25">
      <c r="AP733" s="1"/>
    </row>
    <row r="734" spans="42:42" x14ac:dyDescent="0.25">
      <c r="AP734" s="1"/>
    </row>
    <row r="735" spans="42:42" x14ac:dyDescent="0.25">
      <c r="AP735" s="1"/>
    </row>
    <row r="736" spans="42:42" x14ac:dyDescent="0.25">
      <c r="AP736" s="1"/>
    </row>
    <row r="737" spans="42:42" x14ac:dyDescent="0.25">
      <c r="AP737" s="1"/>
    </row>
    <row r="738" spans="42:42" x14ac:dyDescent="0.25">
      <c r="AP738" s="1"/>
    </row>
    <row r="739" spans="42:42" x14ac:dyDescent="0.25">
      <c r="AP739" s="1"/>
    </row>
    <row r="740" spans="42:42" x14ac:dyDescent="0.25">
      <c r="AP740" s="1"/>
    </row>
    <row r="741" spans="42:42" x14ac:dyDescent="0.25">
      <c r="AP741" s="1"/>
    </row>
    <row r="742" spans="42:42" x14ac:dyDescent="0.25">
      <c r="AP742" s="1"/>
    </row>
    <row r="743" spans="42:42" x14ac:dyDescent="0.25">
      <c r="AP743" s="1"/>
    </row>
    <row r="744" spans="42:42" x14ac:dyDescent="0.25">
      <c r="AP744" s="1"/>
    </row>
    <row r="745" spans="42:42" x14ac:dyDescent="0.25">
      <c r="AP745" s="1"/>
    </row>
    <row r="746" spans="42:42" x14ac:dyDescent="0.25">
      <c r="AP746" s="1"/>
    </row>
    <row r="747" spans="42:42" x14ac:dyDescent="0.25">
      <c r="AP747" s="1"/>
    </row>
    <row r="748" spans="42:42" x14ac:dyDescent="0.25">
      <c r="AP748" s="1"/>
    </row>
    <row r="749" spans="42:42" x14ac:dyDescent="0.25">
      <c r="AP749" s="1"/>
    </row>
    <row r="750" spans="42:42" x14ac:dyDescent="0.25">
      <c r="AP750" s="1"/>
    </row>
    <row r="751" spans="42:42" x14ac:dyDescent="0.25">
      <c r="AP751" s="1"/>
    </row>
    <row r="752" spans="42:42" x14ac:dyDescent="0.25">
      <c r="AP752" s="1"/>
    </row>
    <row r="753" spans="42:42" x14ac:dyDescent="0.25">
      <c r="AP753" s="1"/>
    </row>
    <row r="754" spans="42:42" x14ac:dyDescent="0.25">
      <c r="AP754" s="1"/>
    </row>
    <row r="755" spans="42:42" x14ac:dyDescent="0.25">
      <c r="AP755" s="1"/>
    </row>
    <row r="756" spans="42:42" x14ac:dyDescent="0.25">
      <c r="AP756" s="1"/>
    </row>
    <row r="757" spans="42:42" x14ac:dyDescent="0.25">
      <c r="AP757" s="1"/>
    </row>
    <row r="758" spans="42:42" x14ac:dyDescent="0.25">
      <c r="AP758" s="1"/>
    </row>
    <row r="759" spans="42:42" x14ac:dyDescent="0.25">
      <c r="AP759" s="1"/>
    </row>
    <row r="760" spans="42:42" x14ac:dyDescent="0.25">
      <c r="AP760" s="1"/>
    </row>
    <row r="761" spans="42:42" x14ac:dyDescent="0.25">
      <c r="AP761" s="1"/>
    </row>
    <row r="762" spans="42:42" x14ac:dyDescent="0.25">
      <c r="AP762" s="1"/>
    </row>
    <row r="763" spans="42:42" x14ac:dyDescent="0.25">
      <c r="AP763" s="1"/>
    </row>
    <row r="764" spans="42:42" x14ac:dyDescent="0.25">
      <c r="AP764" s="1"/>
    </row>
    <row r="765" spans="42:42" x14ac:dyDescent="0.25">
      <c r="AP765" s="1"/>
    </row>
    <row r="766" spans="42:42" x14ac:dyDescent="0.25">
      <c r="AP766" s="1"/>
    </row>
    <row r="767" spans="42:42" x14ac:dyDescent="0.25">
      <c r="AP767" s="1"/>
    </row>
    <row r="768" spans="42:42" x14ac:dyDescent="0.25">
      <c r="AP768" s="1"/>
    </row>
    <row r="769" spans="42:42" x14ac:dyDescent="0.25">
      <c r="AP769" s="1"/>
    </row>
    <row r="770" spans="42:42" x14ac:dyDescent="0.25">
      <c r="AP770" s="1"/>
    </row>
    <row r="771" spans="42:42" x14ac:dyDescent="0.25">
      <c r="AP771" s="1"/>
    </row>
    <row r="772" spans="42:42" x14ac:dyDescent="0.25">
      <c r="AP772" s="1"/>
    </row>
    <row r="773" spans="42:42" x14ac:dyDescent="0.25">
      <c r="AP773" s="1"/>
    </row>
    <row r="774" spans="42:42" x14ac:dyDescent="0.25">
      <c r="AP774" s="1"/>
    </row>
    <row r="775" spans="42:42" x14ac:dyDescent="0.25">
      <c r="AP775" s="1"/>
    </row>
    <row r="776" spans="42:42" x14ac:dyDescent="0.25">
      <c r="AP776" s="1"/>
    </row>
    <row r="777" spans="42:42" x14ac:dyDescent="0.25">
      <c r="AP777" s="1"/>
    </row>
    <row r="778" spans="42:42" x14ac:dyDescent="0.25">
      <c r="AP778" s="1"/>
    </row>
    <row r="779" spans="42:42" x14ac:dyDescent="0.25">
      <c r="AP779" s="1"/>
    </row>
    <row r="780" spans="42:42" x14ac:dyDescent="0.25">
      <c r="AP780" s="1"/>
    </row>
    <row r="781" spans="42:42" x14ac:dyDescent="0.25">
      <c r="AP781" s="1"/>
    </row>
    <row r="782" spans="42:42" x14ac:dyDescent="0.25">
      <c r="AP782" s="1"/>
    </row>
    <row r="783" spans="42:42" x14ac:dyDescent="0.25">
      <c r="AP783" s="1"/>
    </row>
    <row r="784" spans="42:42" x14ac:dyDescent="0.25">
      <c r="AP784" s="1"/>
    </row>
    <row r="785" spans="42:42" x14ac:dyDescent="0.25">
      <c r="AP785" s="1"/>
    </row>
    <row r="786" spans="42:42" x14ac:dyDescent="0.25">
      <c r="AP786" s="1"/>
    </row>
    <row r="787" spans="42:42" x14ac:dyDescent="0.25">
      <c r="AP787" s="1"/>
    </row>
    <row r="788" spans="42:42" x14ac:dyDescent="0.25">
      <c r="AP788" s="1"/>
    </row>
    <row r="789" spans="42:42" x14ac:dyDescent="0.25">
      <c r="AP789" s="1"/>
    </row>
    <row r="790" spans="42:42" x14ac:dyDescent="0.25">
      <c r="AP790" s="1"/>
    </row>
    <row r="791" spans="42:42" x14ac:dyDescent="0.25">
      <c r="AP791" s="1"/>
    </row>
    <row r="792" spans="42:42" x14ac:dyDescent="0.25">
      <c r="AP792" s="1"/>
    </row>
    <row r="793" spans="42:42" x14ac:dyDescent="0.25">
      <c r="AP793" s="1"/>
    </row>
    <row r="794" spans="42:42" x14ac:dyDescent="0.25">
      <c r="AP794" s="1"/>
    </row>
    <row r="795" spans="42:42" x14ac:dyDescent="0.25">
      <c r="AP795" s="1"/>
    </row>
    <row r="796" spans="42:42" x14ac:dyDescent="0.25">
      <c r="AP796" s="1"/>
    </row>
    <row r="797" spans="42:42" x14ac:dyDescent="0.25">
      <c r="AP797" s="1"/>
    </row>
    <row r="798" spans="42:42" x14ac:dyDescent="0.25">
      <c r="AP798" s="1"/>
    </row>
    <row r="799" spans="42:42" x14ac:dyDescent="0.25">
      <c r="AP799" s="1"/>
    </row>
    <row r="800" spans="42:42" x14ac:dyDescent="0.25">
      <c r="AP800" s="1"/>
    </row>
    <row r="801" spans="42:42" x14ac:dyDescent="0.25">
      <c r="AP801" s="1"/>
    </row>
    <row r="802" spans="42:42" x14ac:dyDescent="0.25">
      <c r="AP802" s="1"/>
    </row>
    <row r="803" spans="42:42" x14ac:dyDescent="0.25">
      <c r="AP803" s="1"/>
    </row>
    <row r="804" spans="42:42" x14ac:dyDescent="0.25">
      <c r="AP804" s="1"/>
    </row>
    <row r="805" spans="42:42" x14ac:dyDescent="0.25">
      <c r="AP805" s="1"/>
    </row>
    <row r="806" spans="42:42" x14ac:dyDescent="0.25">
      <c r="AP806" s="1"/>
    </row>
    <row r="807" spans="42:42" x14ac:dyDescent="0.25">
      <c r="AP807" s="1"/>
    </row>
    <row r="808" spans="42:42" x14ac:dyDescent="0.25">
      <c r="AP808" s="1"/>
    </row>
    <row r="809" spans="42:42" x14ac:dyDescent="0.25">
      <c r="AP809" s="1"/>
    </row>
    <row r="810" spans="42:42" x14ac:dyDescent="0.25">
      <c r="AP810" s="1"/>
    </row>
    <row r="811" spans="42:42" x14ac:dyDescent="0.25">
      <c r="AP811" s="1"/>
    </row>
    <row r="812" spans="42:42" x14ac:dyDescent="0.25">
      <c r="AP812" s="1"/>
    </row>
    <row r="813" spans="42:42" x14ac:dyDescent="0.25">
      <c r="AP813" s="1"/>
    </row>
    <row r="814" spans="42:42" x14ac:dyDescent="0.25">
      <c r="AP814" s="1"/>
    </row>
    <row r="815" spans="42:42" x14ac:dyDescent="0.25">
      <c r="AP815" s="1"/>
    </row>
    <row r="816" spans="42:42" x14ac:dyDescent="0.25">
      <c r="AP816" s="1"/>
    </row>
    <row r="817" spans="42:42" x14ac:dyDescent="0.25">
      <c r="AP817" s="1"/>
    </row>
    <row r="818" spans="42:42" x14ac:dyDescent="0.25">
      <c r="AP818" s="1"/>
    </row>
    <row r="819" spans="42:42" x14ac:dyDescent="0.25">
      <c r="AP819" s="1"/>
    </row>
    <row r="820" spans="42:42" x14ac:dyDescent="0.25">
      <c r="AP820" s="1"/>
    </row>
    <row r="821" spans="42:42" x14ac:dyDescent="0.25">
      <c r="AP821" s="1"/>
    </row>
    <row r="822" spans="42:42" x14ac:dyDescent="0.25">
      <c r="AP822" s="1"/>
    </row>
    <row r="823" spans="42:42" x14ac:dyDescent="0.25">
      <c r="AP823" s="1"/>
    </row>
    <row r="824" spans="42:42" x14ac:dyDescent="0.25">
      <c r="AP824" s="1"/>
    </row>
    <row r="825" spans="42:42" x14ac:dyDescent="0.25">
      <c r="AP825" s="1"/>
    </row>
    <row r="826" spans="42:42" x14ac:dyDescent="0.25">
      <c r="AP826" s="1"/>
    </row>
    <row r="827" spans="42:42" x14ac:dyDescent="0.25">
      <c r="AP827" s="1"/>
    </row>
    <row r="828" spans="42:42" x14ac:dyDescent="0.25">
      <c r="AP828" s="1"/>
    </row>
    <row r="829" spans="42:42" x14ac:dyDescent="0.25">
      <c r="AP829" s="1"/>
    </row>
    <row r="830" spans="42:42" x14ac:dyDescent="0.25">
      <c r="AP830" s="1"/>
    </row>
    <row r="831" spans="42:42" x14ac:dyDescent="0.25">
      <c r="AP831" s="1"/>
    </row>
    <row r="832" spans="42:42" x14ac:dyDescent="0.25">
      <c r="AP832" s="1"/>
    </row>
    <row r="833" spans="42:42" x14ac:dyDescent="0.25">
      <c r="AP833" s="1"/>
    </row>
    <row r="834" spans="42:42" x14ac:dyDescent="0.25">
      <c r="AP834" s="1"/>
    </row>
    <row r="835" spans="42:42" x14ac:dyDescent="0.25">
      <c r="AP835" s="1"/>
    </row>
    <row r="836" spans="42:42" x14ac:dyDescent="0.25">
      <c r="AP836" s="1"/>
    </row>
    <row r="837" spans="42:42" x14ac:dyDescent="0.25">
      <c r="AP837" s="1"/>
    </row>
    <row r="838" spans="42:42" x14ac:dyDescent="0.25">
      <c r="AP838" s="1"/>
    </row>
    <row r="839" spans="42:42" x14ac:dyDescent="0.25">
      <c r="AP839" s="1"/>
    </row>
    <row r="840" spans="42:42" x14ac:dyDescent="0.25">
      <c r="AP840" s="1"/>
    </row>
    <row r="841" spans="42:42" x14ac:dyDescent="0.25">
      <c r="AP841" s="1"/>
    </row>
    <row r="842" spans="42:42" x14ac:dyDescent="0.25">
      <c r="AP842" s="1"/>
    </row>
    <row r="843" spans="42:42" x14ac:dyDescent="0.25">
      <c r="AP843" s="1"/>
    </row>
    <row r="844" spans="42:42" x14ac:dyDescent="0.25">
      <c r="AP844" s="1"/>
    </row>
    <row r="845" spans="42:42" x14ac:dyDescent="0.25">
      <c r="AP845" s="1"/>
    </row>
    <row r="846" spans="42:42" x14ac:dyDescent="0.25">
      <c r="AP846" s="1"/>
    </row>
    <row r="847" spans="42:42" x14ac:dyDescent="0.25">
      <c r="AP847" s="1"/>
    </row>
    <row r="848" spans="42:42" x14ac:dyDescent="0.25">
      <c r="AP848" s="1"/>
    </row>
    <row r="849" spans="42:42" x14ac:dyDescent="0.25">
      <c r="AP849" s="1"/>
    </row>
    <row r="850" spans="42:42" x14ac:dyDescent="0.25">
      <c r="AP850" s="1"/>
    </row>
    <row r="851" spans="42:42" x14ac:dyDescent="0.25">
      <c r="AP851" s="1"/>
    </row>
    <row r="852" spans="42:42" x14ac:dyDescent="0.25">
      <c r="AP852" s="1"/>
    </row>
    <row r="853" spans="42:42" x14ac:dyDescent="0.25">
      <c r="AP853" s="1"/>
    </row>
    <row r="854" spans="42:42" x14ac:dyDescent="0.25">
      <c r="AP854" s="1"/>
    </row>
    <row r="855" spans="42:42" x14ac:dyDescent="0.25">
      <c r="AP855" s="1"/>
    </row>
    <row r="856" spans="42:42" x14ac:dyDescent="0.25">
      <c r="AP856" s="1"/>
    </row>
    <row r="857" spans="42:42" x14ac:dyDescent="0.25">
      <c r="AP857" s="1"/>
    </row>
    <row r="858" spans="42:42" x14ac:dyDescent="0.25">
      <c r="AP858" s="1"/>
    </row>
    <row r="859" spans="42:42" x14ac:dyDescent="0.25">
      <c r="AP859" s="1"/>
    </row>
    <row r="860" spans="42:42" x14ac:dyDescent="0.25">
      <c r="AP860" s="1"/>
    </row>
    <row r="861" spans="42:42" x14ac:dyDescent="0.25">
      <c r="AP861" s="1"/>
    </row>
    <row r="862" spans="42:42" x14ac:dyDescent="0.25">
      <c r="AP862" s="1"/>
    </row>
    <row r="863" spans="42:42" x14ac:dyDescent="0.25">
      <c r="AP863" s="1"/>
    </row>
    <row r="864" spans="42:42" x14ac:dyDescent="0.25">
      <c r="AP864" s="1"/>
    </row>
    <row r="865" spans="42:42" x14ac:dyDescent="0.25">
      <c r="AP865" s="1"/>
    </row>
    <row r="866" spans="42:42" x14ac:dyDescent="0.25">
      <c r="AP866" s="1"/>
    </row>
    <row r="867" spans="42:42" x14ac:dyDescent="0.25">
      <c r="AP867" s="1"/>
    </row>
    <row r="868" spans="42:42" x14ac:dyDescent="0.25">
      <c r="AP868" s="1"/>
    </row>
    <row r="869" spans="42:42" x14ac:dyDescent="0.25">
      <c r="AP869" s="1"/>
    </row>
    <row r="870" spans="42:42" x14ac:dyDescent="0.25">
      <c r="AP870" s="1"/>
    </row>
    <row r="871" spans="42:42" x14ac:dyDescent="0.25">
      <c r="AP871" s="1"/>
    </row>
    <row r="872" spans="42:42" x14ac:dyDescent="0.25">
      <c r="AP872" s="1"/>
    </row>
    <row r="873" spans="42:42" x14ac:dyDescent="0.25">
      <c r="AP873" s="1"/>
    </row>
    <row r="874" spans="42:42" x14ac:dyDescent="0.25">
      <c r="AP874" s="1"/>
    </row>
    <row r="875" spans="42:42" x14ac:dyDescent="0.25">
      <c r="AP875" s="1"/>
    </row>
    <row r="876" spans="42:42" x14ac:dyDescent="0.25">
      <c r="AP876" s="1"/>
    </row>
    <row r="877" spans="42:42" x14ac:dyDescent="0.25">
      <c r="AP877" s="1"/>
    </row>
    <row r="878" spans="42:42" x14ac:dyDescent="0.25">
      <c r="AP878" s="1"/>
    </row>
    <row r="879" spans="42:42" x14ac:dyDescent="0.25">
      <c r="AP879" s="1"/>
    </row>
    <row r="880" spans="42:42" x14ac:dyDescent="0.25">
      <c r="AP880" s="1"/>
    </row>
    <row r="881" spans="42:42" x14ac:dyDescent="0.25">
      <c r="AP881" s="1"/>
    </row>
    <row r="882" spans="42:42" x14ac:dyDescent="0.25">
      <c r="AP882" s="1"/>
    </row>
    <row r="883" spans="42:42" x14ac:dyDescent="0.25">
      <c r="AP883" s="1"/>
    </row>
    <row r="884" spans="42:42" x14ac:dyDescent="0.25">
      <c r="AP884" s="1"/>
    </row>
    <row r="885" spans="42:42" x14ac:dyDescent="0.25">
      <c r="AP885" s="1"/>
    </row>
    <row r="886" spans="42:42" x14ac:dyDescent="0.25">
      <c r="AP886" s="1"/>
    </row>
    <row r="887" spans="42:42" x14ac:dyDescent="0.25">
      <c r="AP887" s="1"/>
    </row>
    <row r="888" spans="42:42" x14ac:dyDescent="0.25">
      <c r="AP888" s="1"/>
    </row>
    <row r="889" spans="42:42" x14ac:dyDescent="0.25">
      <c r="AP889" s="1"/>
    </row>
    <row r="890" spans="42:42" x14ac:dyDescent="0.25">
      <c r="AP890" s="1"/>
    </row>
    <row r="891" spans="42:42" x14ac:dyDescent="0.25">
      <c r="AP891" s="1"/>
    </row>
    <row r="892" spans="42:42" x14ac:dyDescent="0.25">
      <c r="AP892" s="1"/>
    </row>
    <row r="893" spans="42:42" x14ac:dyDescent="0.25">
      <c r="AP893" s="1"/>
    </row>
    <row r="894" spans="42:42" x14ac:dyDescent="0.25">
      <c r="AP894" s="1"/>
    </row>
    <row r="895" spans="42:42" x14ac:dyDescent="0.25">
      <c r="AP895" s="1"/>
    </row>
    <row r="896" spans="42:42" x14ac:dyDescent="0.25">
      <c r="AP896" s="1"/>
    </row>
    <row r="897" spans="42:42" x14ac:dyDescent="0.25">
      <c r="AP897" s="1"/>
    </row>
    <row r="898" spans="42:42" x14ac:dyDescent="0.25">
      <c r="AP898" s="1"/>
    </row>
    <row r="899" spans="42:42" x14ac:dyDescent="0.25">
      <c r="AP899" s="1"/>
    </row>
    <row r="900" spans="42:42" x14ac:dyDescent="0.25">
      <c r="AP900" s="1"/>
    </row>
    <row r="901" spans="42:42" x14ac:dyDescent="0.25">
      <c r="AP901" s="1"/>
    </row>
    <row r="902" spans="42:42" x14ac:dyDescent="0.25">
      <c r="AP902" s="1"/>
    </row>
    <row r="903" spans="42:42" x14ac:dyDescent="0.25">
      <c r="AP903" s="1"/>
    </row>
    <row r="904" spans="42:42" x14ac:dyDescent="0.25">
      <c r="AP904" s="1"/>
    </row>
    <row r="905" spans="42:42" x14ac:dyDescent="0.25">
      <c r="AP905" s="1"/>
    </row>
    <row r="906" spans="42:42" x14ac:dyDescent="0.25">
      <c r="AP906" s="1"/>
    </row>
    <row r="907" spans="42:42" x14ac:dyDescent="0.25">
      <c r="AP907" s="1"/>
    </row>
    <row r="908" spans="42:42" x14ac:dyDescent="0.25">
      <c r="AP908" s="1"/>
    </row>
    <row r="909" spans="42:42" x14ac:dyDescent="0.25">
      <c r="AP909" s="1"/>
    </row>
    <row r="910" spans="42:42" x14ac:dyDescent="0.25">
      <c r="AP910" s="1"/>
    </row>
    <row r="911" spans="42:42" x14ac:dyDescent="0.25">
      <c r="AP911" s="1"/>
    </row>
    <row r="912" spans="42:42" x14ac:dyDescent="0.25">
      <c r="AP912" s="1"/>
    </row>
    <row r="913" spans="42:42" x14ac:dyDescent="0.25">
      <c r="AP913" s="1"/>
    </row>
    <row r="914" spans="42:42" x14ac:dyDescent="0.25">
      <c r="AP914" s="1"/>
    </row>
    <row r="915" spans="42:42" x14ac:dyDescent="0.25">
      <c r="AP915" s="1"/>
    </row>
    <row r="916" spans="42:42" x14ac:dyDescent="0.25">
      <c r="AP916" s="1"/>
    </row>
    <row r="917" spans="42:42" x14ac:dyDescent="0.25">
      <c r="AP917" s="1"/>
    </row>
    <row r="918" spans="42:42" x14ac:dyDescent="0.25">
      <c r="AP918" s="1"/>
    </row>
    <row r="919" spans="42:42" x14ac:dyDescent="0.25">
      <c r="AP919" s="1"/>
    </row>
    <row r="920" spans="42:42" x14ac:dyDescent="0.25">
      <c r="AP920" s="1"/>
    </row>
    <row r="921" spans="42:42" x14ac:dyDescent="0.25">
      <c r="AP921" s="1"/>
    </row>
    <row r="922" spans="42:42" x14ac:dyDescent="0.25">
      <c r="AP922" s="1"/>
    </row>
    <row r="923" spans="42:42" x14ac:dyDescent="0.25">
      <c r="AP923" s="1"/>
    </row>
    <row r="924" spans="42:42" x14ac:dyDescent="0.25">
      <c r="AP924" s="1"/>
    </row>
    <row r="925" spans="42:42" x14ac:dyDescent="0.25">
      <c r="AP925" s="1"/>
    </row>
    <row r="926" spans="42:42" x14ac:dyDescent="0.25">
      <c r="AP926" s="1"/>
    </row>
    <row r="927" spans="42:42" x14ac:dyDescent="0.25">
      <c r="AP927" s="1"/>
    </row>
    <row r="928" spans="42:42" x14ac:dyDescent="0.25">
      <c r="AP928" s="1"/>
    </row>
    <row r="929" spans="42:42" x14ac:dyDescent="0.25">
      <c r="AP929" s="1"/>
    </row>
    <row r="930" spans="42:42" x14ac:dyDescent="0.25">
      <c r="AP930" s="1"/>
    </row>
    <row r="931" spans="42:42" x14ac:dyDescent="0.25">
      <c r="AP931" s="1"/>
    </row>
    <row r="932" spans="42:42" x14ac:dyDescent="0.25">
      <c r="AP932" s="1"/>
    </row>
    <row r="933" spans="42:42" x14ac:dyDescent="0.25">
      <c r="AP933" s="1"/>
    </row>
    <row r="934" spans="42:42" x14ac:dyDescent="0.25">
      <c r="AP934" s="1"/>
    </row>
    <row r="935" spans="42:42" x14ac:dyDescent="0.25">
      <c r="AP935" s="1"/>
    </row>
    <row r="936" spans="42:42" x14ac:dyDescent="0.25">
      <c r="AP936" s="1"/>
    </row>
    <row r="937" spans="42:42" x14ac:dyDescent="0.25">
      <c r="AP937" s="1"/>
    </row>
    <row r="938" spans="42:42" x14ac:dyDescent="0.25">
      <c r="AP938" s="1"/>
    </row>
    <row r="939" spans="42:42" x14ac:dyDescent="0.25">
      <c r="AP939" s="1"/>
    </row>
    <row r="940" spans="42:42" x14ac:dyDescent="0.25">
      <c r="AP940" s="1"/>
    </row>
    <row r="941" spans="42:42" x14ac:dyDescent="0.25">
      <c r="AP941" s="1"/>
    </row>
    <row r="942" spans="42:42" x14ac:dyDescent="0.25">
      <c r="AP942" s="1"/>
    </row>
    <row r="943" spans="42:42" x14ac:dyDescent="0.25">
      <c r="AP943" s="1"/>
    </row>
    <row r="944" spans="42:42" x14ac:dyDescent="0.25">
      <c r="AP944" s="1"/>
    </row>
    <row r="945" spans="42:42" x14ac:dyDescent="0.25">
      <c r="AP945" s="1"/>
    </row>
    <row r="946" spans="42:42" x14ac:dyDescent="0.25">
      <c r="AP946" s="1"/>
    </row>
    <row r="947" spans="42:42" x14ac:dyDescent="0.25">
      <c r="AP947" s="1"/>
    </row>
    <row r="948" spans="42:42" x14ac:dyDescent="0.25">
      <c r="AP948" s="1"/>
    </row>
    <row r="949" spans="42:42" x14ac:dyDescent="0.25">
      <c r="AP949" s="1"/>
    </row>
    <row r="950" spans="42:42" x14ac:dyDescent="0.25">
      <c r="AP950" s="1"/>
    </row>
    <row r="951" spans="42:42" x14ac:dyDescent="0.25">
      <c r="AP951" s="1"/>
    </row>
    <row r="952" spans="42:42" x14ac:dyDescent="0.25">
      <c r="AP952" s="1"/>
    </row>
    <row r="953" spans="42:42" x14ac:dyDescent="0.25">
      <c r="AP953" s="1"/>
    </row>
    <row r="954" spans="42:42" x14ac:dyDescent="0.25">
      <c r="AP954" s="1"/>
    </row>
    <row r="955" spans="42:42" x14ac:dyDescent="0.25">
      <c r="AP955" s="1"/>
    </row>
    <row r="956" spans="42:42" x14ac:dyDescent="0.25">
      <c r="AP956" s="1"/>
    </row>
    <row r="957" spans="42:42" x14ac:dyDescent="0.25">
      <c r="AP957" s="1"/>
    </row>
    <row r="958" spans="42:42" x14ac:dyDescent="0.25">
      <c r="AP958" s="1"/>
    </row>
    <row r="959" spans="42:42" x14ac:dyDescent="0.25">
      <c r="AP959" s="1"/>
    </row>
    <row r="960" spans="42:42" x14ac:dyDescent="0.25">
      <c r="AP960" s="1"/>
    </row>
    <row r="961" spans="42:42" x14ac:dyDescent="0.25">
      <c r="AP961" s="1"/>
    </row>
    <row r="962" spans="42:42" x14ac:dyDescent="0.25">
      <c r="AP962" s="1"/>
    </row>
    <row r="963" spans="42:42" x14ac:dyDescent="0.25">
      <c r="AP963" s="1"/>
    </row>
    <row r="964" spans="42:42" x14ac:dyDescent="0.25">
      <c r="AP964" s="1"/>
    </row>
    <row r="965" spans="42:42" x14ac:dyDescent="0.25">
      <c r="AP965" s="1"/>
    </row>
    <row r="966" spans="42:42" x14ac:dyDescent="0.25">
      <c r="AP966" s="1"/>
    </row>
    <row r="967" spans="42:42" x14ac:dyDescent="0.25">
      <c r="AP967" s="1"/>
    </row>
    <row r="968" spans="42:42" x14ac:dyDescent="0.25">
      <c r="AP968" s="1"/>
    </row>
    <row r="969" spans="42:42" x14ac:dyDescent="0.25">
      <c r="AP969" s="1"/>
    </row>
    <row r="970" spans="42:42" x14ac:dyDescent="0.25">
      <c r="AP970" s="1"/>
    </row>
    <row r="971" spans="42:42" x14ac:dyDescent="0.25">
      <c r="AP971" s="1"/>
    </row>
    <row r="972" spans="42:42" x14ac:dyDescent="0.25">
      <c r="AP972" s="1"/>
    </row>
    <row r="973" spans="42:42" x14ac:dyDescent="0.25">
      <c r="AP973" s="1"/>
    </row>
    <row r="974" spans="42:42" x14ac:dyDescent="0.25">
      <c r="AP974" s="1"/>
    </row>
    <row r="975" spans="42:42" x14ac:dyDescent="0.25">
      <c r="AP975" s="1"/>
    </row>
    <row r="976" spans="42:42" x14ac:dyDescent="0.25">
      <c r="AP976" s="1"/>
    </row>
    <row r="977" spans="42:42" x14ac:dyDescent="0.25">
      <c r="AP977" s="1"/>
    </row>
    <row r="978" spans="42:42" x14ac:dyDescent="0.25">
      <c r="AP978" s="1"/>
    </row>
    <row r="979" spans="42:42" x14ac:dyDescent="0.25">
      <c r="AP979" s="1"/>
    </row>
    <row r="980" spans="42:42" x14ac:dyDescent="0.25">
      <c r="AP980" s="1"/>
    </row>
    <row r="981" spans="42:42" x14ac:dyDescent="0.25">
      <c r="AP981" s="1"/>
    </row>
    <row r="982" spans="42:42" x14ac:dyDescent="0.25">
      <c r="AP982" s="1"/>
    </row>
    <row r="983" spans="42:42" x14ac:dyDescent="0.25">
      <c r="AP983" s="1"/>
    </row>
    <row r="984" spans="42:42" x14ac:dyDescent="0.25">
      <c r="AP984" s="1"/>
    </row>
    <row r="985" spans="42:42" x14ac:dyDescent="0.25">
      <c r="AP985" s="1"/>
    </row>
    <row r="986" spans="42:42" x14ac:dyDescent="0.25">
      <c r="AP986" s="1"/>
    </row>
    <row r="987" spans="42:42" x14ac:dyDescent="0.25">
      <c r="AP987" s="1"/>
    </row>
    <row r="988" spans="42:42" x14ac:dyDescent="0.25">
      <c r="AP988" s="1"/>
    </row>
    <row r="989" spans="42:42" x14ac:dyDescent="0.25">
      <c r="AP989" s="1"/>
    </row>
    <row r="990" spans="42:42" x14ac:dyDescent="0.25">
      <c r="AP990" s="1"/>
    </row>
    <row r="991" spans="42:42" x14ac:dyDescent="0.25">
      <c r="AP991" s="1"/>
    </row>
    <row r="992" spans="42:42" x14ac:dyDescent="0.25">
      <c r="AP992" s="1"/>
    </row>
    <row r="993" spans="42:42" x14ac:dyDescent="0.25">
      <c r="AP993" s="1"/>
    </row>
    <row r="994" spans="42:42" x14ac:dyDescent="0.25">
      <c r="AP994" s="1"/>
    </row>
    <row r="995" spans="42:42" x14ac:dyDescent="0.25">
      <c r="AP995" s="1"/>
    </row>
    <row r="996" spans="42:42" x14ac:dyDescent="0.25">
      <c r="AP996" s="1"/>
    </row>
    <row r="997" spans="42:42" x14ac:dyDescent="0.25">
      <c r="AP997" s="1"/>
    </row>
    <row r="998" spans="42:42" x14ac:dyDescent="0.25">
      <c r="AP998" s="1"/>
    </row>
    <row r="999" spans="42:42" x14ac:dyDescent="0.25">
      <c r="AP999" s="1"/>
    </row>
    <row r="1000" spans="42:42" x14ac:dyDescent="0.25">
      <c r="AP1000" s="1"/>
    </row>
    <row r="1001" spans="42:42" x14ac:dyDescent="0.25">
      <c r="AP1001" s="1"/>
    </row>
    <row r="1002" spans="42:42" x14ac:dyDescent="0.25">
      <c r="AP1002" s="1"/>
    </row>
    <row r="1003" spans="42:42" x14ac:dyDescent="0.25">
      <c r="AP1003" s="1"/>
    </row>
    <row r="1004" spans="42:42" x14ac:dyDescent="0.25">
      <c r="AP1004" s="1"/>
    </row>
    <row r="1005" spans="42:42" x14ac:dyDescent="0.25">
      <c r="AP1005" s="1"/>
    </row>
    <row r="1006" spans="42:42" x14ac:dyDescent="0.25">
      <c r="AP1006" s="1"/>
    </row>
    <row r="1007" spans="42:42" x14ac:dyDescent="0.25">
      <c r="AP1007" s="1"/>
    </row>
    <row r="1008" spans="42:42" x14ac:dyDescent="0.25">
      <c r="AP1008" s="1"/>
    </row>
    <row r="1009" spans="42:42" x14ac:dyDescent="0.25">
      <c r="AP1009" s="1"/>
    </row>
    <row r="1010" spans="42:42" x14ac:dyDescent="0.25">
      <c r="AP1010" s="1"/>
    </row>
    <row r="1011" spans="42:42" x14ac:dyDescent="0.25">
      <c r="AP1011" s="1"/>
    </row>
    <row r="1012" spans="42:42" x14ac:dyDescent="0.25">
      <c r="AP1012" s="1"/>
    </row>
    <row r="1013" spans="42:42" x14ac:dyDescent="0.25">
      <c r="AP1013" s="1"/>
    </row>
    <row r="1014" spans="42:42" x14ac:dyDescent="0.25">
      <c r="AP1014" s="1"/>
    </row>
    <row r="1015" spans="42:42" x14ac:dyDescent="0.25">
      <c r="AP1015" s="1"/>
    </row>
    <row r="1016" spans="42:42" x14ac:dyDescent="0.25">
      <c r="AP1016" s="1"/>
    </row>
    <row r="1017" spans="42:42" x14ac:dyDescent="0.25">
      <c r="AP1017" s="1"/>
    </row>
    <row r="1018" spans="42:42" x14ac:dyDescent="0.25">
      <c r="AP1018" s="1"/>
    </row>
    <row r="1019" spans="42:42" x14ac:dyDescent="0.25">
      <c r="AP1019" s="1"/>
    </row>
    <row r="1020" spans="42:42" x14ac:dyDescent="0.25">
      <c r="AP1020" s="1"/>
    </row>
    <row r="1021" spans="42:42" x14ac:dyDescent="0.25">
      <c r="AP1021" s="1"/>
    </row>
    <row r="1022" spans="42:42" x14ac:dyDescent="0.25">
      <c r="AP1022" s="1"/>
    </row>
    <row r="1023" spans="42:42" x14ac:dyDescent="0.25">
      <c r="AP1023" s="1"/>
    </row>
    <row r="1024" spans="42:42" x14ac:dyDescent="0.25">
      <c r="AP1024" s="1"/>
    </row>
    <row r="1025" spans="42:42" x14ac:dyDescent="0.25">
      <c r="AP1025" s="1"/>
    </row>
    <row r="1026" spans="42:42" x14ac:dyDescent="0.25">
      <c r="AP1026" s="1"/>
    </row>
    <row r="1027" spans="42:42" x14ac:dyDescent="0.25">
      <c r="AP1027" s="1"/>
    </row>
    <row r="1028" spans="42:42" x14ac:dyDescent="0.25">
      <c r="AP1028" s="1"/>
    </row>
    <row r="1029" spans="42:42" x14ac:dyDescent="0.25">
      <c r="AP1029" s="1"/>
    </row>
    <row r="1030" spans="42:42" x14ac:dyDescent="0.25">
      <c r="AP1030" s="1"/>
    </row>
    <row r="1031" spans="42:42" x14ac:dyDescent="0.25">
      <c r="AP1031" s="1"/>
    </row>
    <row r="1032" spans="42:42" x14ac:dyDescent="0.25">
      <c r="AP1032" s="1"/>
    </row>
    <row r="1033" spans="42:42" x14ac:dyDescent="0.25">
      <c r="AP1033" s="1"/>
    </row>
    <row r="1034" spans="42:42" x14ac:dyDescent="0.25">
      <c r="AP1034" s="1"/>
    </row>
    <row r="1035" spans="42:42" x14ac:dyDescent="0.25">
      <c r="AP1035" s="1"/>
    </row>
    <row r="1036" spans="42:42" x14ac:dyDescent="0.25">
      <c r="AP1036" s="1"/>
    </row>
    <row r="1037" spans="42:42" x14ac:dyDescent="0.25">
      <c r="AP1037" s="1"/>
    </row>
    <row r="1038" spans="42:42" x14ac:dyDescent="0.25">
      <c r="AP1038" s="1"/>
    </row>
    <row r="1039" spans="42:42" x14ac:dyDescent="0.25">
      <c r="AP1039" s="1"/>
    </row>
    <row r="1040" spans="42:42" x14ac:dyDescent="0.25">
      <c r="AP1040" s="1"/>
    </row>
    <row r="1041" spans="42:42" x14ac:dyDescent="0.25">
      <c r="AP1041" s="1"/>
    </row>
    <row r="1042" spans="42:42" x14ac:dyDescent="0.25">
      <c r="AP1042" s="1"/>
    </row>
    <row r="1043" spans="42:42" x14ac:dyDescent="0.25">
      <c r="AP1043" s="1"/>
    </row>
    <row r="1044" spans="42:42" x14ac:dyDescent="0.25">
      <c r="AP1044" s="1"/>
    </row>
    <row r="1045" spans="42:42" x14ac:dyDescent="0.25">
      <c r="AP1045" s="1"/>
    </row>
    <row r="1046" spans="42:42" x14ac:dyDescent="0.25">
      <c r="AP1046" s="1"/>
    </row>
    <row r="1047" spans="42:42" x14ac:dyDescent="0.25">
      <c r="AP1047" s="1"/>
    </row>
    <row r="1048" spans="42:42" x14ac:dyDescent="0.25">
      <c r="AP1048" s="1"/>
    </row>
    <row r="1049" spans="42:42" x14ac:dyDescent="0.25">
      <c r="AP1049" s="1"/>
    </row>
    <row r="1050" spans="42:42" x14ac:dyDescent="0.25">
      <c r="AP1050" s="1"/>
    </row>
    <row r="1051" spans="42:42" x14ac:dyDescent="0.25">
      <c r="AP1051" s="1"/>
    </row>
    <row r="1052" spans="42:42" x14ac:dyDescent="0.25">
      <c r="AP1052" s="1"/>
    </row>
    <row r="1053" spans="42:42" x14ac:dyDescent="0.25">
      <c r="AP1053" s="1"/>
    </row>
    <row r="1054" spans="42:42" x14ac:dyDescent="0.25">
      <c r="AP1054" s="1"/>
    </row>
    <row r="1055" spans="42:42" x14ac:dyDescent="0.25">
      <c r="AP1055" s="1"/>
    </row>
    <row r="1056" spans="42:42" x14ac:dyDescent="0.25">
      <c r="AP1056" s="1"/>
    </row>
    <row r="1057" spans="42:42" x14ac:dyDescent="0.25">
      <c r="AP1057" s="1"/>
    </row>
    <row r="1058" spans="42:42" x14ac:dyDescent="0.25">
      <c r="AP1058" s="1"/>
    </row>
    <row r="1059" spans="42:42" x14ac:dyDescent="0.25">
      <c r="AP1059" s="1"/>
    </row>
    <row r="1060" spans="42:42" x14ac:dyDescent="0.25">
      <c r="AP1060" s="1"/>
    </row>
    <row r="1061" spans="42:42" x14ac:dyDescent="0.25">
      <c r="AP1061" s="1"/>
    </row>
    <row r="1062" spans="42:42" x14ac:dyDescent="0.25">
      <c r="AP1062" s="1"/>
    </row>
    <row r="1063" spans="42:42" x14ac:dyDescent="0.25">
      <c r="AP1063" s="1"/>
    </row>
    <row r="1064" spans="42:42" x14ac:dyDescent="0.25">
      <c r="AP1064" s="1"/>
    </row>
    <row r="1065" spans="42:42" x14ac:dyDescent="0.25">
      <c r="AP1065" s="1"/>
    </row>
    <row r="1066" spans="42:42" x14ac:dyDescent="0.25">
      <c r="AP1066" s="1"/>
    </row>
    <row r="1067" spans="42:42" x14ac:dyDescent="0.25">
      <c r="AP1067" s="1"/>
    </row>
    <row r="1068" spans="42:42" x14ac:dyDescent="0.25">
      <c r="AP1068" s="1"/>
    </row>
    <row r="1069" spans="42:42" x14ac:dyDescent="0.25">
      <c r="AP1069" s="1"/>
    </row>
    <row r="1070" spans="42:42" x14ac:dyDescent="0.25">
      <c r="AP1070" s="1"/>
    </row>
    <row r="1071" spans="42:42" x14ac:dyDescent="0.25">
      <c r="AP1071" s="1"/>
    </row>
    <row r="1072" spans="42:42" x14ac:dyDescent="0.25">
      <c r="AP1072" s="1"/>
    </row>
    <row r="1073" spans="42:42" x14ac:dyDescent="0.25">
      <c r="AP1073" s="1"/>
    </row>
    <row r="1074" spans="42:42" x14ac:dyDescent="0.25">
      <c r="AP1074" s="1"/>
    </row>
    <row r="1075" spans="42:42" x14ac:dyDescent="0.25">
      <c r="AP1075" s="1"/>
    </row>
    <row r="1076" spans="42:42" x14ac:dyDescent="0.25">
      <c r="AP1076" s="1"/>
    </row>
    <row r="1077" spans="42:42" x14ac:dyDescent="0.25">
      <c r="AP1077" s="1"/>
    </row>
    <row r="1078" spans="42:42" x14ac:dyDescent="0.25">
      <c r="AP1078" s="1"/>
    </row>
    <row r="1079" spans="42:42" x14ac:dyDescent="0.25">
      <c r="AP1079" s="1"/>
    </row>
    <row r="1080" spans="42:42" x14ac:dyDescent="0.25">
      <c r="AP1080" s="1"/>
    </row>
    <row r="1081" spans="42:42" x14ac:dyDescent="0.25">
      <c r="AP1081" s="1"/>
    </row>
    <row r="1082" spans="42:42" x14ac:dyDescent="0.25">
      <c r="AP1082" s="1"/>
    </row>
    <row r="1083" spans="42:42" x14ac:dyDescent="0.25">
      <c r="AP1083" s="1"/>
    </row>
    <row r="1084" spans="42:42" x14ac:dyDescent="0.25">
      <c r="AP1084" s="1"/>
    </row>
    <row r="1085" spans="42:42" x14ac:dyDescent="0.25">
      <c r="AP1085" s="1"/>
    </row>
    <row r="1086" spans="42:42" x14ac:dyDescent="0.25">
      <c r="AP1086" s="1"/>
    </row>
    <row r="1087" spans="42:42" x14ac:dyDescent="0.25">
      <c r="AP1087" s="1"/>
    </row>
    <row r="1088" spans="42:42" x14ac:dyDescent="0.25">
      <c r="AP1088" s="1"/>
    </row>
    <row r="1089" spans="42:42" x14ac:dyDescent="0.25">
      <c r="AP1089" s="1"/>
    </row>
    <row r="1090" spans="42:42" x14ac:dyDescent="0.25">
      <c r="AP1090" s="1"/>
    </row>
    <row r="1091" spans="42:42" x14ac:dyDescent="0.25">
      <c r="AP1091" s="1"/>
    </row>
    <row r="1092" spans="42:42" x14ac:dyDescent="0.25">
      <c r="AP1092" s="1"/>
    </row>
    <row r="1093" spans="42:42" x14ac:dyDescent="0.25">
      <c r="AP1093" s="1"/>
    </row>
    <row r="1094" spans="42:42" x14ac:dyDescent="0.25">
      <c r="AP1094" s="1"/>
    </row>
    <row r="1095" spans="42:42" x14ac:dyDescent="0.25">
      <c r="AP1095" s="1"/>
    </row>
    <row r="1096" spans="42:42" x14ac:dyDescent="0.25">
      <c r="AP1096" s="1"/>
    </row>
    <row r="1097" spans="42:42" x14ac:dyDescent="0.25">
      <c r="AP1097" s="1"/>
    </row>
    <row r="1098" spans="42:42" x14ac:dyDescent="0.25">
      <c r="AP1098" s="1"/>
    </row>
    <row r="1099" spans="42:42" x14ac:dyDescent="0.25">
      <c r="AP1099" s="1"/>
    </row>
    <row r="1100" spans="42:42" x14ac:dyDescent="0.25">
      <c r="AP1100" s="1"/>
    </row>
    <row r="1101" spans="42:42" x14ac:dyDescent="0.25">
      <c r="AP1101" s="1"/>
    </row>
    <row r="1102" spans="42:42" x14ac:dyDescent="0.25">
      <c r="AP1102" s="1"/>
    </row>
    <row r="1103" spans="42:42" x14ac:dyDescent="0.25">
      <c r="AP1103" s="1"/>
    </row>
    <row r="1104" spans="42:42" x14ac:dyDescent="0.25">
      <c r="AP1104" s="1"/>
    </row>
    <row r="1105" spans="42:42" x14ac:dyDescent="0.25">
      <c r="AP1105" s="1"/>
    </row>
    <row r="1106" spans="42:42" x14ac:dyDescent="0.25">
      <c r="AP1106" s="1"/>
    </row>
    <row r="1107" spans="42:42" x14ac:dyDescent="0.25">
      <c r="AP1107" s="1"/>
    </row>
    <row r="1108" spans="42:42" x14ac:dyDescent="0.25">
      <c r="AP1108" s="1"/>
    </row>
    <row r="1109" spans="42:42" x14ac:dyDescent="0.25">
      <c r="AP1109" s="1"/>
    </row>
    <row r="1110" spans="42:42" x14ac:dyDescent="0.25">
      <c r="AP1110" s="1"/>
    </row>
    <row r="1111" spans="42:42" x14ac:dyDescent="0.25">
      <c r="AP1111" s="1"/>
    </row>
    <row r="1112" spans="42:42" x14ac:dyDescent="0.25">
      <c r="AP1112" s="1"/>
    </row>
    <row r="1113" spans="42:42" x14ac:dyDescent="0.25">
      <c r="AP1113" s="1"/>
    </row>
    <row r="1114" spans="42:42" x14ac:dyDescent="0.25">
      <c r="AP1114" s="1"/>
    </row>
    <row r="1115" spans="42:42" x14ac:dyDescent="0.25">
      <c r="AP1115" s="1"/>
    </row>
    <row r="1116" spans="42:42" x14ac:dyDescent="0.25">
      <c r="AP1116" s="1"/>
    </row>
    <row r="1117" spans="42:42" x14ac:dyDescent="0.25">
      <c r="AP1117" s="1"/>
    </row>
    <row r="1118" spans="42:42" x14ac:dyDescent="0.25">
      <c r="AP1118" s="1"/>
    </row>
    <row r="1119" spans="42:42" x14ac:dyDescent="0.25">
      <c r="AP1119" s="1"/>
    </row>
    <row r="1120" spans="42:42" x14ac:dyDescent="0.25">
      <c r="AP1120" s="1"/>
    </row>
    <row r="1121" spans="42:42" x14ac:dyDescent="0.25">
      <c r="AP1121" s="1"/>
    </row>
    <row r="1122" spans="42:42" x14ac:dyDescent="0.25">
      <c r="AP1122" s="1"/>
    </row>
    <row r="1123" spans="42:42" x14ac:dyDescent="0.25">
      <c r="AP1123" s="1"/>
    </row>
    <row r="1124" spans="42:42" x14ac:dyDescent="0.25">
      <c r="AP1124" s="1"/>
    </row>
    <row r="1125" spans="42:42" x14ac:dyDescent="0.25">
      <c r="AP1125" s="1"/>
    </row>
    <row r="1126" spans="42:42" x14ac:dyDescent="0.25">
      <c r="AP1126" s="1"/>
    </row>
    <row r="1127" spans="42:42" x14ac:dyDescent="0.25">
      <c r="AP1127" s="1"/>
    </row>
    <row r="1128" spans="42:42" x14ac:dyDescent="0.25">
      <c r="AP1128" s="1"/>
    </row>
    <row r="1129" spans="42:42" x14ac:dyDescent="0.25">
      <c r="AP1129" s="1"/>
    </row>
    <row r="1130" spans="42:42" x14ac:dyDescent="0.25">
      <c r="AP1130" s="1"/>
    </row>
    <row r="1131" spans="42:42" x14ac:dyDescent="0.25">
      <c r="AP1131" s="1"/>
    </row>
    <row r="1132" spans="42:42" x14ac:dyDescent="0.25">
      <c r="AP1132" s="1"/>
    </row>
    <row r="1133" spans="42:42" x14ac:dyDescent="0.25">
      <c r="AP1133" s="1"/>
    </row>
    <row r="1134" spans="42:42" x14ac:dyDescent="0.25">
      <c r="AP1134" s="1"/>
    </row>
    <row r="1135" spans="42:42" x14ac:dyDescent="0.25">
      <c r="AP1135" s="1"/>
    </row>
    <row r="1136" spans="42:42" x14ac:dyDescent="0.25">
      <c r="AP1136" s="1"/>
    </row>
    <row r="1137" spans="42:42" x14ac:dyDescent="0.25">
      <c r="AP1137" s="1"/>
    </row>
    <row r="1138" spans="42:42" x14ac:dyDescent="0.25">
      <c r="AP1138" s="1"/>
    </row>
    <row r="1139" spans="42:42" x14ac:dyDescent="0.25">
      <c r="AP1139" s="1"/>
    </row>
    <row r="1140" spans="42:42" x14ac:dyDescent="0.25">
      <c r="AP1140" s="1"/>
    </row>
    <row r="1141" spans="42:42" x14ac:dyDescent="0.25">
      <c r="AP1141" s="1"/>
    </row>
    <row r="1142" spans="42:42" x14ac:dyDescent="0.25">
      <c r="AP1142" s="1"/>
    </row>
    <row r="1143" spans="42:42" x14ac:dyDescent="0.25">
      <c r="AP1143" s="1"/>
    </row>
    <row r="1144" spans="42:42" x14ac:dyDescent="0.25">
      <c r="AP1144" s="1"/>
    </row>
    <row r="1145" spans="42:42" x14ac:dyDescent="0.25">
      <c r="AP1145" s="1"/>
    </row>
    <row r="1146" spans="42:42" x14ac:dyDescent="0.25">
      <c r="AP1146" s="1"/>
    </row>
    <row r="1147" spans="42:42" x14ac:dyDescent="0.25">
      <c r="AP1147" s="1"/>
    </row>
    <row r="1148" spans="42:42" x14ac:dyDescent="0.25">
      <c r="AP1148" s="1"/>
    </row>
    <row r="1149" spans="42:42" x14ac:dyDescent="0.25">
      <c r="AP1149" s="1"/>
    </row>
    <row r="1150" spans="42:42" x14ac:dyDescent="0.25">
      <c r="AP1150" s="1"/>
    </row>
    <row r="1151" spans="42:42" x14ac:dyDescent="0.25">
      <c r="AP1151" s="1"/>
    </row>
    <row r="1152" spans="42:42" x14ac:dyDescent="0.25">
      <c r="AP1152" s="1"/>
    </row>
    <row r="1153" spans="42:42" x14ac:dyDescent="0.25">
      <c r="AP1153" s="1"/>
    </row>
    <row r="1154" spans="42:42" x14ac:dyDescent="0.25">
      <c r="AP1154" s="1"/>
    </row>
    <row r="1155" spans="42:42" x14ac:dyDescent="0.25">
      <c r="AP1155" s="1"/>
    </row>
    <row r="1156" spans="42:42" x14ac:dyDescent="0.25">
      <c r="AP1156" s="1"/>
    </row>
    <row r="1157" spans="42:42" x14ac:dyDescent="0.25">
      <c r="AP1157" s="1"/>
    </row>
    <row r="1158" spans="42:42" x14ac:dyDescent="0.25">
      <c r="AP1158" s="1"/>
    </row>
    <row r="1159" spans="42:42" x14ac:dyDescent="0.25">
      <c r="AP1159" s="1"/>
    </row>
    <row r="1160" spans="42:42" x14ac:dyDescent="0.25">
      <c r="AP1160" s="1"/>
    </row>
    <row r="1161" spans="42:42" x14ac:dyDescent="0.25">
      <c r="AP1161" s="1"/>
    </row>
    <row r="1162" spans="42:42" x14ac:dyDescent="0.25">
      <c r="AP1162" s="1"/>
    </row>
    <row r="1163" spans="42:42" x14ac:dyDescent="0.25">
      <c r="AP1163" s="1"/>
    </row>
    <row r="1164" spans="42:42" x14ac:dyDescent="0.25">
      <c r="AP1164" s="1"/>
    </row>
    <row r="1165" spans="42:42" x14ac:dyDescent="0.25">
      <c r="AP1165" s="1"/>
    </row>
    <row r="1166" spans="42:42" x14ac:dyDescent="0.25">
      <c r="AP1166" s="1"/>
    </row>
    <row r="1167" spans="42:42" x14ac:dyDescent="0.25">
      <c r="AP1167" s="1"/>
    </row>
    <row r="1168" spans="42:42" x14ac:dyDescent="0.25">
      <c r="AP1168" s="1"/>
    </row>
    <row r="1169" spans="42:42" x14ac:dyDescent="0.25">
      <c r="AP1169" s="1"/>
    </row>
    <row r="1170" spans="42:42" x14ac:dyDescent="0.25">
      <c r="AP1170" s="1"/>
    </row>
    <row r="1171" spans="42:42" x14ac:dyDescent="0.25">
      <c r="AP1171" s="1"/>
    </row>
    <row r="1172" spans="42:42" x14ac:dyDescent="0.25">
      <c r="AP1172" s="1"/>
    </row>
    <row r="1173" spans="42:42" x14ac:dyDescent="0.25">
      <c r="AP1173" s="1"/>
    </row>
    <row r="1174" spans="42:42" x14ac:dyDescent="0.25">
      <c r="AP1174" s="1"/>
    </row>
    <row r="1175" spans="42:42" x14ac:dyDescent="0.25">
      <c r="AP1175" s="1"/>
    </row>
    <row r="1176" spans="42:42" x14ac:dyDescent="0.25">
      <c r="AP1176" s="1"/>
    </row>
    <row r="1177" spans="42:42" x14ac:dyDescent="0.25">
      <c r="AP1177" s="1"/>
    </row>
    <row r="1178" spans="42:42" x14ac:dyDescent="0.25">
      <c r="AP1178" s="1"/>
    </row>
    <row r="1179" spans="42:42" x14ac:dyDescent="0.25">
      <c r="AP1179" s="1"/>
    </row>
    <row r="1180" spans="42:42" x14ac:dyDescent="0.25">
      <c r="AP1180" s="1"/>
    </row>
    <row r="1181" spans="42:42" x14ac:dyDescent="0.25">
      <c r="AP1181" s="1"/>
    </row>
    <row r="1182" spans="42:42" x14ac:dyDescent="0.25">
      <c r="AP1182" s="1"/>
    </row>
    <row r="1183" spans="42:42" x14ac:dyDescent="0.25">
      <c r="AP1183" s="1"/>
    </row>
    <row r="1184" spans="42:42" x14ac:dyDescent="0.25">
      <c r="AP1184" s="1"/>
    </row>
    <row r="1185" spans="42:42" x14ac:dyDescent="0.25">
      <c r="AP1185" s="1"/>
    </row>
    <row r="1186" spans="42:42" x14ac:dyDescent="0.25">
      <c r="AP1186" s="1"/>
    </row>
    <row r="1187" spans="42:42" x14ac:dyDescent="0.25">
      <c r="AP1187" s="1"/>
    </row>
    <row r="1188" spans="42:42" x14ac:dyDescent="0.25">
      <c r="AP1188" s="1"/>
    </row>
    <row r="1189" spans="42:42" x14ac:dyDescent="0.25">
      <c r="AP1189" s="1"/>
    </row>
    <row r="1190" spans="42:42" x14ac:dyDescent="0.25">
      <c r="AP1190" s="1"/>
    </row>
    <row r="1191" spans="42:42" x14ac:dyDescent="0.25">
      <c r="AP1191" s="1"/>
    </row>
    <row r="1192" spans="42:42" x14ac:dyDescent="0.25">
      <c r="AP1192" s="1"/>
    </row>
    <row r="1193" spans="42:42" x14ac:dyDescent="0.25">
      <c r="AP1193" s="1"/>
    </row>
    <row r="1194" spans="42:42" x14ac:dyDescent="0.25">
      <c r="AP1194" s="1"/>
    </row>
    <row r="1195" spans="42:42" x14ac:dyDescent="0.25">
      <c r="AP1195" s="1"/>
    </row>
    <row r="1196" spans="42:42" x14ac:dyDescent="0.25">
      <c r="AP1196" s="1"/>
    </row>
    <row r="1197" spans="42:42" x14ac:dyDescent="0.25">
      <c r="AP1197" s="1"/>
    </row>
    <row r="1198" spans="42:42" x14ac:dyDescent="0.25">
      <c r="AP1198" s="1"/>
    </row>
    <row r="1199" spans="42:42" x14ac:dyDescent="0.25">
      <c r="AP1199" s="1"/>
    </row>
    <row r="1200" spans="42:42" x14ac:dyDescent="0.25">
      <c r="AP1200" s="1"/>
    </row>
    <row r="1201" spans="42:42" x14ac:dyDescent="0.25">
      <c r="AP1201" s="1"/>
    </row>
    <row r="1202" spans="42:42" x14ac:dyDescent="0.25">
      <c r="AP1202" s="1"/>
    </row>
    <row r="1203" spans="42:42" x14ac:dyDescent="0.25">
      <c r="AP1203" s="1"/>
    </row>
    <row r="1204" spans="42:42" x14ac:dyDescent="0.25">
      <c r="AP1204" s="1"/>
    </row>
    <row r="1205" spans="42:42" x14ac:dyDescent="0.25">
      <c r="AP1205" s="1"/>
    </row>
    <row r="1206" spans="42:42" x14ac:dyDescent="0.25">
      <c r="AP1206" s="1"/>
    </row>
    <row r="1207" spans="42:42" x14ac:dyDescent="0.25">
      <c r="AP1207" s="1"/>
    </row>
    <row r="1208" spans="42:42" x14ac:dyDescent="0.25">
      <c r="AP1208" s="1"/>
    </row>
    <row r="1209" spans="42:42" x14ac:dyDescent="0.25">
      <c r="AP1209" s="1"/>
    </row>
    <row r="1210" spans="42:42" x14ac:dyDescent="0.25">
      <c r="AP1210" s="1"/>
    </row>
    <row r="1211" spans="42:42" x14ac:dyDescent="0.25">
      <c r="AP1211" s="1"/>
    </row>
    <row r="1212" spans="42:42" x14ac:dyDescent="0.25">
      <c r="AP1212" s="1"/>
    </row>
    <row r="1213" spans="42:42" x14ac:dyDescent="0.25">
      <c r="AP1213" s="1"/>
    </row>
    <row r="1214" spans="42:42" x14ac:dyDescent="0.25">
      <c r="AP1214" s="1"/>
    </row>
    <row r="1215" spans="42:42" x14ac:dyDescent="0.25">
      <c r="AP1215" s="1"/>
    </row>
    <row r="1216" spans="42:42" x14ac:dyDescent="0.25">
      <c r="AP1216" s="1"/>
    </row>
    <row r="1217" spans="42:42" x14ac:dyDescent="0.25">
      <c r="AP1217" s="1"/>
    </row>
    <row r="1218" spans="42:42" x14ac:dyDescent="0.25">
      <c r="AP1218" s="1"/>
    </row>
    <row r="1219" spans="42:42" x14ac:dyDescent="0.25">
      <c r="AP1219" s="1"/>
    </row>
    <row r="1220" spans="42:42" x14ac:dyDescent="0.25">
      <c r="AP1220" s="1"/>
    </row>
    <row r="1221" spans="42:42" x14ac:dyDescent="0.25">
      <c r="AP1221" s="1"/>
    </row>
    <row r="1222" spans="42:42" x14ac:dyDescent="0.25">
      <c r="AP1222" s="1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B130"/>
  <sheetViews>
    <sheetView topLeftCell="Z1" workbookViewId="0">
      <selection activeCell="AL13" sqref="AL13"/>
    </sheetView>
  </sheetViews>
  <sheetFormatPr defaultRowHeight="15" x14ac:dyDescent="0.25"/>
  <cols>
    <col min="1" max="36" width="9.140625" style="231"/>
    <col min="37" max="37" width="41.7109375" style="231" customWidth="1"/>
    <col min="38" max="16384" width="9.140625" style="231"/>
  </cols>
  <sheetData>
    <row r="1" spans="1:80" ht="157.5" x14ac:dyDescent="0.25"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</row>
    <row r="2" spans="1:80" ht="36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</row>
    <row r="3" spans="1:80" ht="37.5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</row>
    <row r="4" spans="1:80" ht="18.75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</row>
    <row r="5" spans="1:80" x14ac:dyDescent="0.25"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4747.902916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3271.76</v>
      </c>
      <c r="AU5" s="11">
        <f>(F7+F5)*-1</f>
        <v>187.91190000000003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504.08171600000003</v>
      </c>
      <c r="BJ5" s="11">
        <f t="shared" ref="BJ5:BQ5" si="4">(U7+U5)*-1</f>
        <v>0</v>
      </c>
      <c r="BK5" s="11">
        <f t="shared" si="4"/>
        <v>3.3276160000000004</v>
      </c>
      <c r="BL5" s="11">
        <f t="shared" si="4"/>
        <v>33</v>
      </c>
      <c r="BM5" s="11">
        <f t="shared" si="4"/>
        <v>173.91699999999997</v>
      </c>
      <c r="BN5" s="11">
        <f t="shared" si="4"/>
        <v>45.234000000000002</v>
      </c>
      <c r="BO5" s="11">
        <f t="shared" si="4"/>
        <v>0</v>
      </c>
      <c r="BP5" s="11">
        <f t="shared" si="4"/>
        <v>229.67010000000005</v>
      </c>
      <c r="BQ5" s="11">
        <f t="shared" si="4"/>
        <v>18.933</v>
      </c>
      <c r="BR5" s="11"/>
      <c r="BS5" s="11"/>
      <c r="BT5" s="11"/>
      <c r="BU5" s="11">
        <f>-1*SUM(AF5,AF7,AF9,AF66,AF68)</f>
        <v>406.74150000000003</v>
      </c>
      <c r="BV5" s="11">
        <f>-1*SUM(AG5,AG7,AG9,AG66,AG68)</f>
        <v>0</v>
      </c>
      <c r="BW5" s="11">
        <f>-1*SUM(AH5,AH7,AH9,AH66,AH68)</f>
        <v>377.40780000000007</v>
      </c>
      <c r="BX5" s="11"/>
      <c r="BY5" s="123">
        <v>0</v>
      </c>
      <c r="BZ5" s="123">
        <f>(C5*Emissionsfaktorer!$D$4+E5*Emissionsfaktorer!$D$3+F5*Emissionsfaktorer!$D$5+H5*Emissionsfaktorer!$D$7+I5*Emissionsfaktorer!$D$8+J5*Emissionsfaktorer!$D$9+K5*Emissionsfaktorer!$D$10+L5*Emissionsfaktorer!$D$11+M5*Emissionsfaktorer!$D$12)*-1</f>
        <v>0</v>
      </c>
    </row>
    <row r="6" spans="1:80" x14ac:dyDescent="0.25"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Nøgletal!$H$283/IF(Nøgletal!$I$399=0,1,Nøgletal!$I$399)*Nøgletal!$H419*-1</f>
        <v>0</v>
      </c>
      <c r="V6" s="84"/>
      <c r="W6" s="84"/>
      <c r="X6" s="84"/>
      <c r="Y6" s="84"/>
      <c r="Z6" s="84">
        <f>Nøgletal!$H$283/IF(Nøgletal!$I$399=0,1,Nøgletal!$I$399)*Nøgletal!$H420*-1</f>
        <v>0</v>
      </c>
      <c r="AA6" s="84">
        <f>Nøgletal!$H$283/IF(Nøgletal!$I$399=0,1,Nøgletal!$I$399)*Nøgletal!$H421*-1</f>
        <v>0</v>
      </c>
      <c r="AB6" s="84">
        <f>Nøgletal!$H$283/IF(Nøgletal!$I$399=0,1,Nøgletal!$I$399)*Nøgletal!$H422*-1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Nøgletal!H283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(C6*Emissionsfaktorer!$D$4+E6*Emissionsfaktorer!$D$3+F6*Emissionsfaktorer!$D$5+H6*Emissionsfaktorer!$D$7+I6*Emissionsfaktorer!$D$8+J6*Emissionsfaktorer!$D$9+K6*Emissionsfaktorer!$D$10+L6*Emissionsfaktorer!$D$11+M6*Emissionsfaktorer!$D$12)*-1</f>
        <v>0</v>
      </c>
    </row>
    <row r="7" spans="1:80" x14ac:dyDescent="0.25">
      <c r="B7" s="31"/>
      <c r="C7" s="11">
        <f>AR7*-1</f>
        <v>0</v>
      </c>
      <c r="D7" s="11">
        <f>AS7*-1</f>
        <v>0</v>
      </c>
      <c r="E7" s="11">
        <f>AT7*-1</f>
        <v>-3271.76</v>
      </c>
      <c r="F7" s="11">
        <f>AU7*-1</f>
        <v>-187.91190000000003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-504.08171600000003</v>
      </c>
      <c r="U7" s="11">
        <f>BJ7*-1</f>
        <v>0</v>
      </c>
      <c r="V7" s="11">
        <f t="shared" ref="V7:AB7" si="5">BK7*-1</f>
        <v>-3.3276160000000004</v>
      </c>
      <c r="W7" s="11">
        <f t="shared" si="5"/>
        <v>-33</v>
      </c>
      <c r="X7" s="11">
        <f t="shared" si="5"/>
        <v>-173.91699999999997</v>
      </c>
      <c r="Y7" s="11">
        <f t="shared" si="5"/>
        <v>-45.234000000000002</v>
      </c>
      <c r="Z7" s="11">
        <f t="shared" si="5"/>
        <v>0</v>
      </c>
      <c r="AA7" s="11">
        <f t="shared" si="5"/>
        <v>-229.67010000000005</v>
      </c>
      <c r="AB7" s="11">
        <f t="shared" si="5"/>
        <v>-18.933</v>
      </c>
      <c r="AC7" s="11"/>
      <c r="AD7" s="11"/>
      <c r="AE7" s="11"/>
      <c r="AF7" s="11"/>
      <c r="AG7" s="11"/>
      <c r="AH7" s="11"/>
      <c r="AI7" s="11"/>
      <c r="AJ7" s="105">
        <f t="shared" si="0"/>
        <v>-3963.7536160000004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3963.7536160000004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3271.76</v>
      </c>
      <c r="AU7" s="11">
        <f>(F9+F68)*-1</f>
        <v>187.91190000000003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504.08171600000003</v>
      </c>
      <c r="BJ7" s="11">
        <f t="shared" ref="BJ7:BQ7" si="9">(U9+U68)*-1</f>
        <v>0</v>
      </c>
      <c r="BK7" s="11">
        <f t="shared" si="9"/>
        <v>3.3276160000000004</v>
      </c>
      <c r="BL7" s="11">
        <f t="shared" si="9"/>
        <v>33</v>
      </c>
      <c r="BM7" s="11">
        <f t="shared" si="9"/>
        <v>173.91699999999997</v>
      </c>
      <c r="BN7" s="11">
        <f t="shared" si="9"/>
        <v>45.234000000000002</v>
      </c>
      <c r="BO7" s="11">
        <f t="shared" si="9"/>
        <v>0</v>
      </c>
      <c r="BP7" s="11">
        <f t="shared" si="9"/>
        <v>229.67010000000005</v>
      </c>
      <c r="BQ7" s="11">
        <f t="shared" si="9"/>
        <v>18.933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</row>
    <row r="8" spans="1:80" x14ac:dyDescent="0.25"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89.093484992816258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89.093484992816258</v>
      </c>
      <c r="BD8" s="11">
        <f>-1*SUM(O5,O7,O9)</f>
        <v>25</v>
      </c>
      <c r="BE8" s="11">
        <f>-1*SUM(P5,P7,P9)</f>
        <v>64.093484992816258</v>
      </c>
      <c r="BF8" s="11">
        <f>-1*SUM(Q5,Q7,Q9)</f>
        <v>0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(C8*Emissionsfaktorer!$D$4+E8*Emissionsfaktorer!$D$3+F8*Emissionsfaktorer!$D$5+H8*Emissionsfaktorer!$D$7+I8*Emissionsfaktorer!$D$8+J8*Emissionsfaktorer!$D$9+K8*Emissionsfaktorer!$D$10+L8*Emissionsfaktorer!$D$11+M8*Emissionsfaktorer!$D$12)*-1</f>
        <v>0</v>
      </c>
      <c r="CA8" s="2"/>
      <c r="CB8" s="2"/>
    </row>
    <row r="9" spans="1:80" x14ac:dyDescent="0.25"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-3000</v>
      </c>
      <c r="F9" s="11">
        <f t="shared" si="10"/>
        <v>-187.91190000000003</v>
      </c>
      <c r="G9" s="11">
        <f t="shared" si="10"/>
        <v>-345.51</v>
      </c>
      <c r="H9" s="11">
        <f t="shared" si="10"/>
        <v>0</v>
      </c>
      <c r="I9" s="11">
        <f t="shared" si="10"/>
        <v>0</v>
      </c>
      <c r="J9" s="11">
        <f t="shared" si="10"/>
        <v>-345.51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-89.093484992816258</v>
      </c>
      <c r="O9" s="11">
        <f t="shared" si="10"/>
        <v>-25</v>
      </c>
      <c r="P9" s="11">
        <f t="shared" si="10"/>
        <v>-64.093484992816258</v>
      </c>
      <c r="Q9" s="11">
        <f t="shared" si="10"/>
        <v>0</v>
      </c>
      <c r="R9" s="11">
        <f t="shared" si="10"/>
        <v>0</v>
      </c>
      <c r="S9" s="11">
        <f t="shared" si="10"/>
        <v>0</v>
      </c>
      <c r="T9" s="11">
        <f t="shared" si="10"/>
        <v>-256.75410000000005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-4.9170000000000007</v>
      </c>
      <c r="Y9" s="11">
        <f t="shared" ref="Y9:AI9" si="11">SUM(Y10:Y11,Y18,Y57,Y65)</f>
        <v>-3.2340000000000004</v>
      </c>
      <c r="Z9" s="11">
        <f t="shared" si="11"/>
        <v>0</v>
      </c>
      <c r="AA9" s="11">
        <f t="shared" si="11"/>
        <v>-229.67010000000005</v>
      </c>
      <c r="AB9" s="11">
        <f t="shared" si="11"/>
        <v>-18.933</v>
      </c>
      <c r="AC9" s="11">
        <f t="shared" si="11"/>
        <v>-188.70390000000003</v>
      </c>
      <c r="AD9" s="11">
        <f t="shared" si="11"/>
        <v>0</v>
      </c>
      <c r="AE9" s="11">
        <f t="shared" si="11"/>
        <v>0</v>
      </c>
      <c r="AF9" s="11">
        <f t="shared" si="11"/>
        <v>-406.74150000000003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-4474.7148849928162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6140.1100189095687</v>
      </c>
      <c r="AP9" s="37">
        <f t="shared" si="6"/>
        <v>1.3721790497763582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2126.9123839999997</v>
      </c>
      <c r="AW9" s="11">
        <f>H66*-1</f>
        <v>22.2</v>
      </c>
      <c r="AX9" s="11">
        <f t="shared" ref="AX9:BB9" si="13">I66*-1</f>
        <v>9.3999999999999986</v>
      </c>
      <c r="AY9" s="11">
        <f t="shared" si="13"/>
        <v>160</v>
      </c>
      <c r="AZ9" s="11">
        <f t="shared" si="13"/>
        <v>959.25730399999986</v>
      </c>
      <c r="BA9" s="11">
        <f t="shared" si="13"/>
        <v>318.19999999999993</v>
      </c>
      <c r="BB9" s="11">
        <f t="shared" si="13"/>
        <v>657.85507999999982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1277.6066189095684</v>
      </c>
      <c r="BS9" s="11">
        <f>SUM(BS10:BS11,BS18,BS57,BS65)+AD9</f>
        <v>2546.8871160000003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188.70390000000003</v>
      </c>
      <c r="BX9" s="11">
        <f t="shared" si="12"/>
        <v>0</v>
      </c>
      <c r="BY9" s="123">
        <f t="shared" si="12"/>
        <v>812.068488</v>
      </c>
      <c r="BZ9" s="123">
        <f t="shared" si="12"/>
        <v>323.70380963451794</v>
      </c>
      <c r="CA9" s="2"/>
      <c r="CB9" s="2"/>
    </row>
    <row r="10" spans="1:80" x14ac:dyDescent="0.25"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3011.6775219167516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2472.4223839999995</v>
      </c>
      <c r="AW10" s="85">
        <f>IF(-(AW$11+AW$18+AW$57+AW65)-(H$70+H$79+H$80+H$84)-H$9&gt;0,-(AW$11+AW$18+AW$57+AW65)-(H$70+H$79+H$80+H$84)-H$9,0)</f>
        <v>22.2</v>
      </c>
      <c r="AX10" s="85">
        <f t="shared" ref="AX10:BB10" si="17">IF(-(AX$11+AX$18+AX$57+AX65)-(I70+I79+I80+I84)-I$9&gt;0,-(AX$11+AX$18+AX$57+AX65)-(I70+I79+I80+I84)-I$9,0)</f>
        <v>9.3999999999999986</v>
      </c>
      <c r="AY10" s="85">
        <f t="shared" si="17"/>
        <v>505.51</v>
      </c>
      <c r="AZ10" s="85">
        <f t="shared" si="17"/>
        <v>959.25730399999986</v>
      </c>
      <c r="BA10" s="85">
        <f t="shared" si="17"/>
        <v>318.19999999999993</v>
      </c>
      <c r="BB10" s="85">
        <f t="shared" si="17"/>
        <v>657.85507999999982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IF(-($BR$11+$BR$18+$BR$57+BR65)-(AC70+AC79+AC80+AC84)/(1-Nøgletal!$H$294)-$AC$9&gt;0,-($BR$11+$BR$18+$BR$57+BR65)-(AC70+AC79+AC80+AC84)/(1-Nøgletal!$H$294)-$AC$9,0)</f>
        <v>539.25513791675212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BR10*Emissionsfaktorer!D6+BT10*Emissionsfaktorer!D14</f>
        <v>113.24357896251794</v>
      </c>
      <c r="CA10" s="2"/>
      <c r="CB10" s="2"/>
    </row>
    <row r="11" spans="1:80" x14ac:dyDescent="0.25"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-89.093484992816258</v>
      </c>
      <c r="O11" s="20">
        <f t="shared" si="18"/>
        <v>-25</v>
      </c>
      <c r="P11" s="20">
        <f t="shared" si="18"/>
        <v>-64.093484992816258</v>
      </c>
      <c r="Q11" s="20">
        <f t="shared" si="18"/>
        <v>0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-89.093484992816258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89.093484992816258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89.093484992816258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</row>
    <row r="12" spans="1:80" x14ac:dyDescent="0.25"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0</v>
      </c>
      <c r="O12" s="23"/>
      <c r="P12" s="23"/>
      <c r="Q12" s="23">
        <f>AJ12</f>
        <v>0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0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0</v>
      </c>
      <c r="AP12" s="37">
        <f t="shared" si="6"/>
        <v>0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Nøgletal!H279</f>
        <v>0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(C12*Emissionsfaktorer!$D$4+E12*Emissionsfaktorer!$D$3+F12*Emissionsfaktorer!$D$5+H12*Emissionsfaktorer!$D$7+I12*Emissionsfaktorer!$D$8+J12*Emissionsfaktorer!$D$9+K12*Emissionsfaktorer!$D$10+L12*Emissionsfaktorer!$D$11+M12*Emissionsfaktorer!$D$12)*-1</f>
        <v>0</v>
      </c>
      <c r="CA12" s="2"/>
      <c r="CB12" s="2"/>
    </row>
    <row r="13" spans="1:80" x14ac:dyDescent="0.25"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-25</v>
      </c>
      <c r="O13" s="23">
        <f t="shared" si="21"/>
        <v>-25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-25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25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25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</row>
    <row r="14" spans="1:80" x14ac:dyDescent="0.25"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-25</v>
      </c>
      <c r="O14" s="278">
        <f>AJ14</f>
        <v>-25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-25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25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Nøgletal!H277</f>
        <v>25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(C14*Emissionsfaktorer!$D$4+E14*Emissionsfaktorer!$D$3+F14*Emissionsfaktorer!$D$5+H14*Emissionsfaktorer!$D$7+I14*Emissionsfaktorer!$D$8+J14*Emissionsfaktorer!$D$9+K14*Emissionsfaktorer!$D$10+L14*Emissionsfaktorer!$D$11+M14*Emissionsfaktorer!$D$12)*-1</f>
        <v>0</v>
      </c>
      <c r="CB14" s="2"/>
    </row>
    <row r="15" spans="1:80" x14ac:dyDescent="0.25"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Nøgletal!H278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(C15*Emissionsfaktorer!$D$4+E15*Emissionsfaktorer!$D$3+F15*Emissionsfaktorer!$D$5+H15*Emissionsfaktorer!$D$7+I15*Emissionsfaktorer!$D$8+J15*Emissionsfaktorer!$D$9+K15*Emissionsfaktorer!$D$10+L15*Emissionsfaktorer!$D$11+M15*Emissionsfaktorer!$D$12)*-1</f>
        <v>0</v>
      </c>
    </row>
    <row r="16" spans="1:80" x14ac:dyDescent="0.25"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-64.093484992816258</v>
      </c>
      <c r="O16" s="23"/>
      <c r="P16" s="23">
        <f>AJ16</f>
        <v>-64.093484992816258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-64.093484992816258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64.093484992816258</v>
      </c>
      <c r="AP16" s="37">
        <f t="shared" si="6"/>
        <v>1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Nøgletal!H280</f>
        <v>64.093484992816258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(C16*Emissionsfaktorer!$D$4+E16*Emissionsfaktorer!$D$3+F16*Emissionsfaktorer!$D$5+H16*Emissionsfaktorer!$D$7+I16*Emissionsfaktorer!$D$8+J16*Emissionsfaktorer!$D$9+K16*Emissionsfaktorer!$D$10+L16*Emissionsfaktorer!$D$11+M16*Emissionsfaktorer!$D$12)*-1</f>
        <v>0</v>
      </c>
    </row>
    <row r="17" spans="2:78" x14ac:dyDescent="0.25"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Nøgletal!H276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(C17*Emissionsfaktorer!$D$4+E17*Emissionsfaktorer!$D$3+F17*Emissionsfaktorer!$D$5+H17*Emissionsfaktorer!$D$7+I17*Emissionsfaktorer!$D$8+J17*Emissionsfaktorer!$D$9+K17*Emissionsfaktorer!$D$10+L17*Emissionsfaktorer!$D$11+M17*Emissionsfaktorer!$D$12)*-1</f>
        <v>0</v>
      </c>
    </row>
    <row r="18" spans="2:78" x14ac:dyDescent="0.25"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-9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-9</v>
      </c>
      <c r="AC18" s="20">
        <f t="shared" si="23"/>
        <v>-188.70390000000003</v>
      </c>
      <c r="AD18" s="20">
        <f t="shared" si="23"/>
        <v>0</v>
      </c>
      <c r="AE18" s="20">
        <f t="shared" si="23"/>
        <v>0</v>
      </c>
      <c r="AF18" s="20">
        <f t="shared" si="23"/>
        <v>-406.74150000000003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-604.44540000000006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597.76740000000007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2.3220000000000001</v>
      </c>
      <c r="BS18" s="20">
        <f t="shared" si="24"/>
        <v>406.74150000000003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188.70390000000003</v>
      </c>
      <c r="BX18" s="20">
        <f t="shared" si="24"/>
        <v>0</v>
      </c>
      <c r="BY18" s="263">
        <f t="shared" si="24"/>
        <v>6.6779999999999999</v>
      </c>
      <c r="BZ18" s="263">
        <f t="shared" si="24"/>
        <v>0</v>
      </c>
    </row>
    <row r="19" spans="2:78" x14ac:dyDescent="0.25"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Nøgletal!H268/(1-Nøgletal!H295)</f>
        <v>0</v>
      </c>
      <c r="BT19" s="23">
        <f>Nøgletal!I268/(1-Nøgletal!I295)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</row>
    <row r="20" spans="2:78" x14ac:dyDescent="0.25">
      <c r="B20" s="31"/>
      <c r="C20" s="278">
        <f>AJ20*Nøgletal!H429</f>
        <v>0</v>
      </c>
      <c r="D20" s="278"/>
      <c r="E20" s="278">
        <f>AJ20*Nøgletal!H431</f>
        <v>0</v>
      </c>
      <c r="F20" s="278"/>
      <c r="G20" s="278">
        <f t="shared" ref="G20:G83" si="29">SUM(H20:M20)</f>
        <v>0</v>
      </c>
      <c r="H20" s="278"/>
      <c r="I20" s="278">
        <f>AJ20*Nøgletal!H430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AJ20*Nøgletal!H432</f>
        <v>0</v>
      </c>
      <c r="V20" s="278">
        <f>AJ20*Nøgletal!H433</f>
        <v>0</v>
      </c>
      <c r="W20" s="278">
        <f>AJ20*Nøgletal!H434</f>
        <v>0</v>
      </c>
      <c r="X20" s="278">
        <f>AJ20*Nøgletal!H435</f>
        <v>0</v>
      </c>
      <c r="Y20" s="278">
        <f>AJ20*Nøgletal!H436</f>
        <v>0</v>
      </c>
      <c r="Z20" s="278"/>
      <c r="AA20" s="278"/>
      <c r="AB20" s="278">
        <f>AJ20*Nøgletal!H437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-AO20/IF(Nøgletal!H345+Nøgletal!I345&gt;0,Nøgletal!H345+Nøgletal!I345,1)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BS20/IF(Nøgletal!I345&gt;0,Nøgletal!I345,1)*Nøgletal!H345</f>
        <v>0</v>
      </c>
      <c r="BS20" s="278">
        <f>BS$19*Nøgletal!H303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D$4+E20*Emissionsfaktorer!$D$3+F20*Emissionsfaktorer!$D$5+H20*Emissionsfaktorer!$D$7+I20*Emissionsfaktorer!$D$8+J20*Emissionsfaktorer!$D$9+K20*Emissionsfaktorer!$D$10+L20*Emissionsfaktorer!$D$11+M20*Emissionsfaktorer!$D$12)*-1*(1-Nøgletal!$H$301)+T20*Emissionsfaktorer!$D$13*Nøgletal!$H$301</f>
        <v>0</v>
      </c>
    </row>
    <row r="21" spans="2:78" x14ac:dyDescent="0.25">
      <c r="B21" s="31"/>
      <c r="C21" s="278"/>
      <c r="D21" s="278"/>
      <c r="E21" s="278">
        <f>AJ21*Nøgletal!H443</f>
        <v>0</v>
      </c>
      <c r="F21" s="278"/>
      <c r="G21" s="278">
        <f t="shared" si="29"/>
        <v>0</v>
      </c>
      <c r="H21" s="278"/>
      <c r="I21" s="278">
        <f>AJ21*Nøgletal!H439</f>
        <v>0</v>
      </c>
      <c r="J21" s="278">
        <f>AJ21*Nøgletal!H440</f>
        <v>0</v>
      </c>
      <c r="K21" s="278">
        <f>AJ21*Nøgletal!H441</f>
        <v>0</v>
      </c>
      <c r="L21" s="278"/>
      <c r="M21" s="278">
        <f>AJ21*Nøgletal!H442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AJ21*Nøgletal!H444</f>
        <v>0</v>
      </c>
      <c r="V21" s="278">
        <f>AJ21*Nøgletal!H445</f>
        <v>0</v>
      </c>
      <c r="W21" s="278">
        <f>AJ21*Nøgletal!H446</f>
        <v>0</v>
      </c>
      <c r="X21" s="278">
        <f>AJ21*Nøgletal!H447</f>
        <v>0</v>
      </c>
      <c r="Y21" s="278">
        <f>AJ21*Nøgletal!H448</f>
        <v>0</v>
      </c>
      <c r="Z21" s="278"/>
      <c r="AA21" s="278"/>
      <c r="AB21" s="278">
        <f>AJ21*Nøgletal!H449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-AO21/IF(Nøgletal!H346+Nøgletal!I346&gt;0,Nøgletal!H346+Nøgletal!I346,1)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BS21/IF(Nøgletal!I346&gt;0,Nøgletal!I346,1)*Nøgletal!H346</f>
        <v>0</v>
      </c>
      <c r="BS21" s="278">
        <f>BS$19*Nøgletal!H304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D$4+E21*Emissionsfaktorer!$D$3+F21*Emissionsfaktorer!$D$5+H21*Emissionsfaktorer!$D$7+I21*Emissionsfaktorer!$D$8+J21*Emissionsfaktorer!$D$9+K21*Emissionsfaktorer!$D$10+L21*Emissionsfaktorer!$D$11+M21*Emissionsfaktorer!$D$12)*-1*(1-Nøgletal!$H$301)+T21*Emissionsfaktorer!$D$13*Nøgletal!$H$301</f>
        <v>0</v>
      </c>
    </row>
    <row r="22" spans="2:78" x14ac:dyDescent="0.25">
      <c r="B22" s="31"/>
      <c r="C22" s="278"/>
      <c r="D22" s="278"/>
      <c r="E22" s="278">
        <f>AJ22*Nøgletal!H451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AJ22*Nøgletal!H452</f>
        <v>0</v>
      </c>
      <c r="V22" s="278"/>
      <c r="W22" s="278"/>
      <c r="X22" s="278"/>
      <c r="Y22" s="278"/>
      <c r="Z22" s="278"/>
      <c r="AA22" s="278"/>
      <c r="AB22" s="278">
        <f>AJ22*Nøgletal!H453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-AO22/IF(Nøgletal!H347+Nøgletal!I347&gt;0,Nøgletal!H347+Nøgletal!I347,1)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BS22/IF(Nøgletal!I347&gt;0,Nøgletal!I347,1)*Nøgletal!H347</f>
        <v>0</v>
      </c>
      <c r="BS22" s="278">
        <f>BS$19*Nøgletal!H305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D$4+E22*Emissionsfaktorer!$D$3+F22*Emissionsfaktorer!$D$5+H22*Emissionsfaktorer!$D$7+I22*Emissionsfaktorer!$D$8+J22*Emissionsfaktorer!$D$9+K22*Emissionsfaktorer!$D$10+L22*Emissionsfaktorer!$D$11+M22*Emissionsfaktorer!$D$12)*-1*(1-Nøgletal!$H$301)+T22*Emissionsfaktorer!$D$13*Nøgletal!$H$301</f>
        <v>0</v>
      </c>
    </row>
    <row r="23" spans="2:78" x14ac:dyDescent="0.25">
      <c r="B23" s="31"/>
      <c r="C23" s="278">
        <f>AJ23*Nøgletal!H455</f>
        <v>0</v>
      </c>
      <c r="D23" s="278"/>
      <c r="E23" s="278">
        <f>AJ23*Nøgletal!H457</f>
        <v>0</v>
      </c>
      <c r="F23" s="278"/>
      <c r="G23" s="278">
        <f t="shared" si="29"/>
        <v>0</v>
      </c>
      <c r="H23" s="278"/>
      <c r="I23" s="278">
        <f>AJ23*Nøgletal!H456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AJ23*Nøgletal!H458</f>
        <v>0</v>
      </c>
      <c r="V23" s="278">
        <f>AJ23*Nøgletal!H459</f>
        <v>0</v>
      </c>
      <c r="W23" s="278">
        <f>AJ23*Nøgletal!H460</f>
        <v>0</v>
      </c>
      <c r="X23" s="278">
        <f>AJ23*Nøgletal!H461</f>
        <v>0</v>
      </c>
      <c r="Y23" s="278">
        <f>AJ23*Nøgletal!H462</f>
        <v>0</v>
      </c>
      <c r="Z23" s="278"/>
      <c r="AA23" s="278"/>
      <c r="AB23" s="278">
        <f>AJ23*Nøgletal!H463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-AO23/IF(Nøgletal!H348+Nøgletal!I348&gt;0,Nøgletal!H348+Nøgletal!I348,1)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BS23/IF(Nøgletal!I348&gt;0,Nøgletal!I348,1)*Nøgletal!H348</f>
        <v>0</v>
      </c>
      <c r="BS23" s="278">
        <f>BS$19*Nøgletal!H306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D$4+E23*Emissionsfaktorer!$D$3+F23*Emissionsfaktorer!$D$5+H23*Emissionsfaktorer!$D$7+I23*Emissionsfaktorer!$D$8+J23*Emissionsfaktorer!$D$9+K23*Emissionsfaktorer!$D$10+L23*Emissionsfaktorer!$D$11+M23*Emissionsfaktorer!$D$12)*-1*(1-Nøgletal!$H$301)+T23*Emissionsfaktorer!$D$13*Nøgletal!$H$301</f>
        <v>0</v>
      </c>
    </row>
    <row r="24" spans="2:78" x14ac:dyDescent="0.25"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-AO24*(1-1/IF(Nøgletal!I349&gt;0,Nøgletal!I349,1))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-AO24/Nøgletal!I465/(1-Nøgletal!H294)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BS$19*Nøgletal!H307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D$4+E24*Emissionsfaktorer!$D$3+F24*Emissionsfaktorer!$D$5+H24*Emissionsfaktorer!$D$7+I24*Emissionsfaktorer!$D$8+J24*Emissionsfaktorer!$D$9+K24*Emissionsfaktorer!$D$10+L24*Emissionsfaktorer!$D$11+M24*Emissionsfaktorer!$D$12)*-1*(1-Nøgletal!$H$301)+T24*Emissionsfaktorer!$D$13*Nøgletal!$H$301</f>
        <v>0</v>
      </c>
    </row>
    <row r="25" spans="2:78" x14ac:dyDescent="0.25"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-AO25/IF(Nøgletal!H350+Nøgletal!I350&gt;0,Nøgletal!H350+Nøgletal!I350,1)/(1-Nøgletal!H294)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BS$19*Nøgletal!H308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D$4+E25*Emissionsfaktorer!$D$3+F25*Emissionsfaktorer!$D$5+H25*Emissionsfaktorer!$D$7+I25*Emissionsfaktorer!$D$8+J25*Emissionsfaktorer!$D$9+K25*Emissionsfaktorer!$D$10+L25*Emissionsfaktorer!$D$11+M25*Emissionsfaktorer!$D$12)*-1*(1-Nøgletal!$H$301)+T25*Emissionsfaktorer!$D$13*Nøgletal!$H$301</f>
        <v>0</v>
      </c>
    </row>
    <row r="26" spans="2:78" x14ac:dyDescent="0.25"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-AO26/IF(Nøgletal!H352+Nøgletal!I352&gt;0,Nøgletal!H352+Nøgletal!I352,1)/(1-Nøgletal!H295)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D$4+E26*Emissionsfaktorer!$D$3+F26*Emissionsfaktorer!$D$5+H26*Emissionsfaktorer!$D$7+I26*Emissionsfaktorer!$D$8+J26*Emissionsfaktorer!$D$9+K26*Emissionsfaktorer!$D$10+L26*Emissionsfaktorer!$D$11+M26*Emissionsfaktorer!$D$12)*-1*(1-Nøgletal!$H$301)+T26*Emissionsfaktorer!$D$13*Nøgletal!$H$301</f>
        <v>0</v>
      </c>
    </row>
    <row r="27" spans="2:78" x14ac:dyDescent="0.25"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Nøgletal!H270/(1-Nøgletal!H297)</f>
        <v>0</v>
      </c>
      <c r="BT27" s="23">
        <f>Nøgletal!I270/(1-Nøgletal!I297)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</row>
    <row r="28" spans="2:78" x14ac:dyDescent="0.25">
      <c r="B28" s="31"/>
      <c r="C28" s="278">
        <f>AJ28*Nøgletal!H479</f>
        <v>0</v>
      </c>
      <c r="D28" s="278"/>
      <c r="E28" s="278">
        <f>AJ28*Nøgletal!H481</f>
        <v>0</v>
      </c>
      <c r="F28" s="278"/>
      <c r="G28" s="278">
        <f t="shared" si="29"/>
        <v>0</v>
      </c>
      <c r="H28" s="278"/>
      <c r="I28" s="278">
        <f>AJ28*Nøgletal!H480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AJ28*Nøgletal!H482</f>
        <v>0</v>
      </c>
      <c r="V28" s="278">
        <f>AJ28*Nøgletal!H483</f>
        <v>0</v>
      </c>
      <c r="W28" s="278">
        <f>AJ28*Nøgletal!H484</f>
        <v>0</v>
      </c>
      <c r="X28" s="278">
        <f>AJ28*Nøgletal!H485</f>
        <v>0</v>
      </c>
      <c r="Y28" s="278">
        <f>AJ28*Nøgletal!H486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-AO28/IF(Nøgletal!H357+Nøgletal!I357&gt;0,Nøgletal!H357+Nøgletal!I357,1)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BS28/IF(Nøgletal!I357&gt;0,Nøgletal!I357,1)*Nøgletal!H357</f>
        <v>0</v>
      </c>
      <c r="BS28" s="286">
        <f>BS$27*Nøgletal!H317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D$4+E28*Emissionsfaktorer!$D$3+F28*Emissionsfaktorer!$D$5+H28*Emissionsfaktorer!$D$7+I28*Emissionsfaktorer!$D$8+J28*Emissionsfaktorer!$D$9+K28*Emissionsfaktorer!$D$10+L28*Emissionsfaktorer!$D$11+M28*Emissionsfaktorer!$D$12)*-1*(1-Nøgletal!$H$315)+T28*Emissionsfaktorer!$D$13*Nøgletal!$H$315</f>
        <v>0</v>
      </c>
    </row>
    <row r="29" spans="2:78" x14ac:dyDescent="0.25">
      <c r="B29" s="31"/>
      <c r="C29" s="278"/>
      <c r="D29" s="278"/>
      <c r="E29" s="278">
        <f>AJ29*Nøgletal!H492</f>
        <v>0</v>
      </c>
      <c r="F29" s="278"/>
      <c r="G29" s="278">
        <f t="shared" si="29"/>
        <v>0</v>
      </c>
      <c r="H29" s="278"/>
      <c r="I29" s="278">
        <f>AJ29*Nøgletal!H488</f>
        <v>0</v>
      </c>
      <c r="J29" s="278">
        <f>AJ29*Nøgletal!H489</f>
        <v>0</v>
      </c>
      <c r="K29" s="278">
        <f>AJ29*Nøgletal!H490</f>
        <v>0</v>
      </c>
      <c r="L29" s="278"/>
      <c r="M29" s="278">
        <f>AJ29*Nøgletal!H491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AJ29*Nøgletal!H493</f>
        <v>0</v>
      </c>
      <c r="V29" s="278">
        <f>AJ29*Nøgletal!H494</f>
        <v>0</v>
      </c>
      <c r="W29" s="278">
        <f>AJ29*Nøgletal!H495</f>
        <v>0</v>
      </c>
      <c r="X29" s="278">
        <f>AJ29*Nøgletal!H496</f>
        <v>0</v>
      </c>
      <c r="Y29" s="278">
        <f>Nøgletal!H497</f>
        <v>0</v>
      </c>
      <c r="Z29" s="278"/>
      <c r="AA29" s="278"/>
      <c r="AB29" s="278">
        <f>AJ29*Nøgletal!H498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-AO29/IF(Nøgletal!H358+Nøgletal!I358&gt;0,Nøgletal!H358+Nøgletal!I358,1)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BS29/IF(Nøgletal!I358&gt;0,Nøgletal!I358,1)*Nøgletal!H358</f>
        <v>0</v>
      </c>
      <c r="BS29" s="286">
        <f>BS$27*Nøgletal!H318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D$4+E29*Emissionsfaktorer!$D$3+F29*Emissionsfaktorer!$D$5+H29*Emissionsfaktorer!$D$7+I29*Emissionsfaktorer!$D$8+J29*Emissionsfaktorer!$D$9+K29*Emissionsfaktorer!$D$10+L29*Emissionsfaktorer!$D$11+M29*Emissionsfaktorer!$D$12)*-1*(1-Nøgletal!$H$315)+T29*Emissionsfaktorer!$D$13*Nøgletal!$H$315</f>
        <v>0</v>
      </c>
    </row>
    <row r="30" spans="2:78" x14ac:dyDescent="0.25">
      <c r="B30" s="31"/>
      <c r="C30" s="278"/>
      <c r="D30" s="278"/>
      <c r="E30" s="278">
        <f>AJ30*Nøgletal!H500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AJ30*Nøgletal!H501</f>
        <v>0</v>
      </c>
      <c r="V30" s="278"/>
      <c r="W30" s="278"/>
      <c r="X30" s="278"/>
      <c r="Y30" s="278"/>
      <c r="Z30" s="278"/>
      <c r="AA30" s="278"/>
      <c r="AB30" s="278">
        <f>AJ30*Nøgletal!H502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-AO30/IF(Nøgletal!H359+Nøgletal!I359&gt;0,Nøgletal!H359+Nøgletal!I359,1)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BS30/IF(Nøgletal!I359&gt;0,Nøgletal!I359,1)*Nøgletal!H359</f>
        <v>0</v>
      </c>
      <c r="BS30" s="286">
        <f>BS$27*Nøgletal!H319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D$4+E30*Emissionsfaktorer!$D$3+F30*Emissionsfaktorer!$D$5+H30*Emissionsfaktorer!$D$7+I30*Emissionsfaktorer!$D$8+J30*Emissionsfaktorer!$D$9+K30*Emissionsfaktorer!$D$10+L30*Emissionsfaktorer!$D$11+M30*Emissionsfaktorer!$D$12)*-1*(1-Nøgletal!$H$315)+T30*Emissionsfaktorer!$D$13*Nøgletal!$H$315</f>
        <v>0</v>
      </c>
    </row>
    <row r="31" spans="2:78" x14ac:dyDescent="0.25">
      <c r="B31" s="31"/>
      <c r="C31" s="278">
        <f>AJ31*Nøgletal!H504</f>
        <v>0</v>
      </c>
      <c r="D31" s="278"/>
      <c r="E31" s="278">
        <f>AJ31*Nøgletal!H506</f>
        <v>0</v>
      </c>
      <c r="F31" s="278"/>
      <c r="G31" s="278">
        <f t="shared" si="29"/>
        <v>0</v>
      </c>
      <c r="H31" s="278"/>
      <c r="I31" s="278">
        <f>AJ31*Nøgletal!H505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AJ31*Nøgletal!H507</f>
        <v>0</v>
      </c>
      <c r="V31" s="278">
        <f>AJ31*Nøgletal!H508</f>
        <v>0</v>
      </c>
      <c r="W31" s="278">
        <f>AJ31*Nøgletal!H509</f>
        <v>0</v>
      </c>
      <c r="X31" s="278">
        <f>AJ31*Nøgletal!H510</f>
        <v>0</v>
      </c>
      <c r="Y31" s="278">
        <f>AJ31*Nøgletal!H511</f>
        <v>0</v>
      </c>
      <c r="Z31" s="278"/>
      <c r="AA31" s="278"/>
      <c r="AB31" s="278">
        <f>AJ31*Nøgletal!H512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-AO31/IF(Nøgletal!H360+Nøgletal!I360&gt;0,Nøgletal!H360+Nøgletal!I360,1)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BS31/IF(Nøgletal!I360&gt;0,Nøgletal!I360,1)*Nøgletal!H360</f>
        <v>0</v>
      </c>
      <c r="BS31" s="286">
        <f>BS$27*Nøgletal!H320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D$4+E31*Emissionsfaktorer!$D$3+F31*Emissionsfaktorer!$D$5+H31*Emissionsfaktorer!$D$7+I31*Emissionsfaktorer!$D$8+J31*Emissionsfaktorer!$D$9+K31*Emissionsfaktorer!$D$10+L31*Emissionsfaktorer!$D$11+M31*Emissionsfaktorer!$D$12)*-1*(1-Nøgletal!$H$315)+T31*Emissionsfaktorer!$D$13*Nøgletal!$H$315</f>
        <v>0</v>
      </c>
    </row>
    <row r="32" spans="2:78" x14ac:dyDescent="0.25"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AO32*(1-1/IF(Nøgletal!I361&gt;0,Nøgletal!I361,1))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-AO32/Nøgletal!I514/(1-Nøgletal!H294)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BS$27*Nøgletal!H321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D$4+E32*Emissionsfaktorer!$D$3+F32*Emissionsfaktorer!$D$5+H32*Emissionsfaktorer!$D$7+I32*Emissionsfaktorer!$D$8+J32*Emissionsfaktorer!$D$9+K32*Emissionsfaktorer!$D$10+L32*Emissionsfaktorer!$D$11+M32*Emissionsfaktorer!$D$12)*-1*(1-Nøgletal!$H$315)+T32*Emissionsfaktorer!$D$13*Nøgletal!$H$315</f>
        <v>0</v>
      </c>
    </row>
    <row r="33" spans="2:78" x14ac:dyDescent="0.25"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-AO33/IF(Nøgletal!H362+Nøgletal!I362&gt;0,Nøgletal!H362+Nøgletal!I362,1)/(1-Nøgletal!H294)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BS$27*Nøgletal!H322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D$4+E33*Emissionsfaktorer!$D$3+F33*Emissionsfaktorer!$D$5+H33*Emissionsfaktorer!$D$7+I33*Emissionsfaktorer!$D$8+J33*Emissionsfaktorer!$D$9+K33*Emissionsfaktorer!$D$10+L33*Emissionsfaktorer!$D$11+M33*Emissionsfaktorer!$D$12)*-1*(1-Nøgletal!$H$315)+T33*Emissionsfaktorer!$D$13*Nøgletal!$H$315</f>
        <v>0</v>
      </c>
    </row>
    <row r="34" spans="2:78" x14ac:dyDescent="0.25"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-AO34/IF(Nøgletal!H363+Nøgletal!I363&gt;0,Nøgletal!H363+Nøgletal!I363,1)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BS34/IF(Nøgletal!I363&gt;0,Nøgletal!I363,1)*Nøgletal!H363</f>
        <v>0</v>
      </c>
      <c r="BS34" s="286">
        <f>BS$27*Nøgletal!H323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D$4+E34*Emissionsfaktorer!$D$3+F34*Emissionsfaktorer!$D$5+H34*Emissionsfaktorer!$D$7+I34*Emissionsfaktorer!$D$8+J34*Emissionsfaktorer!$D$9+K34*Emissionsfaktorer!$D$10+L34*Emissionsfaktorer!$D$11+M34*Emissionsfaktorer!$D$12)*-1*(1-Nøgletal!$H$315)+T34*Emissionsfaktorer!$D$13*Nøgletal!$H$315</f>
        <v>0</v>
      </c>
    </row>
    <row r="35" spans="2:78" x14ac:dyDescent="0.25">
      <c r="B35" s="31"/>
      <c r="C35" s="278">
        <f>AJ35*Nøgletal!H518</f>
        <v>0</v>
      </c>
      <c r="D35" s="278"/>
      <c r="E35" s="278">
        <f>AJ35*Nøgletal!H520</f>
        <v>0</v>
      </c>
      <c r="F35" s="278"/>
      <c r="G35" s="278">
        <f t="shared" si="29"/>
        <v>0</v>
      </c>
      <c r="H35" s="278"/>
      <c r="I35" s="278">
        <f>AJ35*Nøgletal!H519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AJ35*Nøgletal!H521</f>
        <v>0</v>
      </c>
      <c r="V35" s="278">
        <f>AJ35*Nøgletal!H522</f>
        <v>0</v>
      </c>
      <c r="W35" s="278">
        <f>AJ35*Nøgletal!H523</f>
        <v>0</v>
      </c>
      <c r="X35" s="278">
        <f>AJ35*Nøgletal!H524</f>
        <v>0</v>
      </c>
      <c r="Y35" s="278">
        <f>AJ35*Nøgletal!H525</f>
        <v>0</v>
      </c>
      <c r="Z35" s="278"/>
      <c r="AA35" s="278"/>
      <c r="AB35" s="278">
        <f>AJ35*Nøgletal!H526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-AO35/IF(Nøgletal!H364+Nøgletal!I364&gt;0,Nøgletal!H364+Nøgletal!I364,1)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BS35/IF(Nøgletal!I364&gt;0,Nøgletal!I364,1)*Nøgletal!H364</f>
        <v>0</v>
      </c>
      <c r="BS35" s="286">
        <f>BS$27*Nøgletal!H324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D$4+E35*Emissionsfaktorer!$D$3+F35*Emissionsfaktorer!$D$5+H35*Emissionsfaktorer!$D$7+I35*Emissionsfaktorer!$D$8+J35*Emissionsfaktorer!$D$9+K35*Emissionsfaktorer!$D$10+L35*Emissionsfaktorer!$D$11+M35*Emissionsfaktorer!$D$12)*-1*(1-Nøgletal!$H$315)+T35*Emissionsfaktorer!$D$13*Nøgletal!$H$315</f>
        <v>0</v>
      </c>
    </row>
    <row r="36" spans="2:78" x14ac:dyDescent="0.25"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D$4+E36*Emissionsfaktorer!$D$3+F36*Emissionsfaktorer!$D$5+H36*Emissionsfaktorer!$D$7+I36*Emissionsfaktorer!$D$8+J36*Emissionsfaktorer!$D$9+K36*Emissionsfaktorer!$D$10+L36*Emissionsfaktorer!$D$11+M36*Emissionsfaktorer!$D$12)*-1*(1-Nøgletal!$H$315)+T36*Emissionsfaktorer!$D$13*Nøgletal!$H$315</f>
        <v>0</v>
      </c>
    </row>
    <row r="37" spans="2:78" x14ac:dyDescent="0.25"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-9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-9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-9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2.3220000000000001</v>
      </c>
      <c r="AP37" s="37">
        <f t="shared" si="6"/>
        <v>0.25800000000000001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2.3220000000000001</v>
      </c>
      <c r="BS37" s="23">
        <f>Nøgletal!H271/(1-Nøgletal!H298)</f>
        <v>0</v>
      </c>
      <c r="BT37" s="23">
        <f>Nøgletal!I271/(1-Nøgletal!I298)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6.6779999999999999</v>
      </c>
      <c r="BZ37" s="126">
        <f t="shared" si="37"/>
        <v>0</v>
      </c>
    </row>
    <row r="38" spans="2:78" x14ac:dyDescent="0.25">
      <c r="B38" s="31"/>
      <c r="C38" s="278"/>
      <c r="D38" s="278"/>
      <c r="E38" s="278">
        <f>AJ38*Nøgletal!H532</f>
        <v>0</v>
      </c>
      <c r="F38" s="278"/>
      <c r="G38" s="278">
        <f t="shared" si="29"/>
        <v>0</v>
      </c>
      <c r="H38" s="278"/>
      <c r="I38" s="278">
        <f>AJ38*Nøgletal!H528</f>
        <v>0</v>
      </c>
      <c r="J38" s="278">
        <f>AJ38*Nøgletal!H529</f>
        <v>0</v>
      </c>
      <c r="K38" s="278">
        <f>AJ38*Nøgletal!H530</f>
        <v>0</v>
      </c>
      <c r="L38" s="278"/>
      <c r="M38" s="278">
        <f>AJ38*Nøgletal!H531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-9</v>
      </c>
      <c r="U38" s="278">
        <f>AJ38*Nøgletal!H533</f>
        <v>0</v>
      </c>
      <c r="V38" s="278">
        <f>Nøgletal!H534</f>
        <v>0</v>
      </c>
      <c r="W38" s="278">
        <f>AJ38*Nøgletal!H535</f>
        <v>0</v>
      </c>
      <c r="X38" s="278">
        <f>Nøgletal!H536</f>
        <v>0</v>
      </c>
      <c r="Y38" s="278">
        <f>AJ38*Nøgletal!H537</f>
        <v>0</v>
      </c>
      <c r="Z38" s="278"/>
      <c r="AA38" s="278"/>
      <c r="AB38" s="278">
        <f>AJ38*Nøgletal!H538</f>
        <v>-9</v>
      </c>
      <c r="AC38" s="280"/>
      <c r="AD38" s="280"/>
      <c r="AE38" s="280"/>
      <c r="AF38" s="280"/>
      <c r="AG38" s="280"/>
      <c r="AH38" s="280"/>
      <c r="AI38" s="280"/>
      <c r="AJ38" s="105">
        <f>-AO38/IF(Nøgletal!H366+Nøgletal!I366&gt;0,Nøgletal!H366+Nøgletal!I366,1)</f>
        <v>-9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2.3220000000000001</v>
      </c>
      <c r="AP38" s="37">
        <f t="shared" si="6"/>
        <v>0.25800000000000001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Nøgletal!H275</f>
        <v>2.3220000000000001</v>
      </c>
      <c r="BS38" s="292">
        <f>BS$37*Nøgletal!H327</f>
        <v>0</v>
      </c>
      <c r="BT38" s="280"/>
      <c r="BU38" s="280"/>
      <c r="BV38" s="280"/>
      <c r="BW38" s="280"/>
      <c r="BX38" s="280"/>
      <c r="BY38" s="124">
        <f>(AJ38+AO38)*-1</f>
        <v>6.6779999999999999</v>
      </c>
      <c r="BZ38" s="123">
        <f>(C38*Emissionsfaktorer!$D$4+E38*Emissionsfaktorer!$D$3+F38*Emissionsfaktorer!$D$5+H38*Emissionsfaktorer!$D$7+I38*Emissionsfaktorer!$D$8+J38*Emissionsfaktorer!$D$9+K38*Emissionsfaktorer!$D$10+L38*Emissionsfaktorer!$D$11+M38*Emissionsfaktorer!$D$12)*-1*(1-Nøgletal!$H$325)+T38*Emissionsfaktorer!$D$13*Nøgletal!$H$325</f>
        <v>0</v>
      </c>
    </row>
    <row r="39" spans="2:78" x14ac:dyDescent="0.25">
      <c r="B39" s="31"/>
      <c r="C39" s="278">
        <f>AJ39*Nøgletal!H540</f>
        <v>0</v>
      </c>
      <c r="D39" s="278"/>
      <c r="E39" s="278">
        <f>AJ39*Nøgletal!H542</f>
        <v>0</v>
      </c>
      <c r="F39" s="278"/>
      <c r="G39" s="278">
        <f t="shared" si="29"/>
        <v>0</v>
      </c>
      <c r="H39" s="278"/>
      <c r="I39" s="278">
        <f>AJ39*Nøgletal!H541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AJ39*Nøgletal!H543</f>
        <v>0</v>
      </c>
      <c r="V39" s="278">
        <f>AJ39*Nøgletal!H544</f>
        <v>0</v>
      </c>
      <c r="W39" s="278">
        <f>AJ39*Nøgletal!H545</f>
        <v>0</v>
      </c>
      <c r="X39" s="278">
        <f>AJ39*Nøgletal!H547</f>
        <v>0</v>
      </c>
      <c r="Y39" s="278">
        <f>AJ39*Nøgletal!H548</f>
        <v>0</v>
      </c>
      <c r="Z39" s="278"/>
      <c r="AA39" s="278"/>
      <c r="AB39" s="278">
        <f>Nøgletal!H549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-AO39/IF(Nøgletal!H367+Nøgletal!I367&gt;0,Nøgletal!H367+Nøgletal!I367,1)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BS39/IF(Nøgletal!I367&gt;0,Nøgletal!I367,1)*Nøgletal!H367</f>
        <v>0</v>
      </c>
      <c r="BS39" s="292">
        <f>BS$37*Nøgletal!H328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D$4+E39*Emissionsfaktorer!$D$3+F39*Emissionsfaktorer!$D$5+H39*Emissionsfaktorer!$D$7+I39*Emissionsfaktorer!$D$8+J39*Emissionsfaktorer!$D$9+K39*Emissionsfaktorer!$D$10+L39*Emissionsfaktorer!$D$11+M39*Emissionsfaktorer!$D$12)*-1*(1-Nøgletal!$H$325)+T39*Emissionsfaktorer!$D$13*Nøgletal!$H$325</f>
        <v>0</v>
      </c>
    </row>
    <row r="40" spans="2:78" x14ac:dyDescent="0.25"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D$4+E40*Emissionsfaktorer!$D$3+F40*Emissionsfaktorer!$D$5+H40*Emissionsfaktorer!$D$7+I40*Emissionsfaktorer!$D$8+J40*Emissionsfaktorer!$D$9+K40*Emissionsfaktorer!$D$10+L40*Emissionsfaktorer!$D$11+M40*Emissionsfaktorer!$D$12)*-1*(1-Nøgletal!$H$325)+T40*Emissionsfaktorer!$D$13*Nøgletal!$H$325</f>
        <v>0</v>
      </c>
    </row>
    <row r="41" spans="2:78" x14ac:dyDescent="0.25"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Nøgletal!H269/(1-Nøgletal!H296)</f>
        <v>0</v>
      </c>
      <c r="BT41" s="23">
        <f>Nøgletal!I269/(1-Nøgletal!I296)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</row>
    <row r="42" spans="2:78" x14ac:dyDescent="0.25">
      <c r="B42" s="31"/>
      <c r="C42" s="278"/>
      <c r="D42" s="278"/>
      <c r="E42" s="278"/>
      <c r="F42" s="278">
        <f>AJ42*Nøgletal!H469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AJ42*Nøgletal!H467</f>
        <v>0</v>
      </c>
      <c r="AA42" s="278">
        <f>AJ42*Nøgletal!H468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-AO42/IF(Nøgletal!H353+Nøgletal!I353&gt;0,Nøgletal!H353+Nøgletal!I353,1)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BS42/IF(Nøgletal!I353&gt;0,Nøgletal!I353,1)*Nøgletal!H353</f>
        <v>0</v>
      </c>
      <c r="BS42" s="289">
        <f>BS$41*Nøgletal!H312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D$4+E42*Emissionsfaktorer!$D$3+F42*Emissionsfaktorer!$D$5+H42*Emissionsfaktorer!$D$7+I42*Emissionsfaktorer!$D$8+J42*Emissionsfaktorer!$D$9+K42*Emissionsfaktorer!$D$10+L42*Emissionsfaktorer!$D$11+M42*Emissionsfaktorer!$D$12)*-1*(1-Nøgletal!$H$310)+T42*Emissionsfaktorer!$D$13*Nøgletal!$H$310</f>
        <v>0</v>
      </c>
    </row>
    <row r="43" spans="2:78" x14ac:dyDescent="0.25">
      <c r="B43" s="31"/>
      <c r="C43" s="278"/>
      <c r="D43" s="278"/>
      <c r="E43" s="278"/>
      <c r="F43" s="278">
        <f>AJ43*Nøgletal!H473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AJ43*Nøgletal!H471</f>
        <v>0</v>
      </c>
      <c r="AA43" s="278">
        <f>AJ43*Nøgletal!H472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-AO43/IF(Nøgletal!H354+Nøgletal!I354&gt;0,Nøgletal!H354+Nøgletal!I354,1)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BS43/IF(Nøgletal!I354&gt;0,Nøgletal!I354,1)*Nøgletal!H354</f>
        <v>0</v>
      </c>
      <c r="BS43" s="289">
        <f>BS$41*Nøgletal!H313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D$4+E43*Emissionsfaktorer!$D$3+F43*Emissionsfaktorer!$D$5+H43*Emissionsfaktorer!$D$7+I43*Emissionsfaktorer!$D$8+J43*Emissionsfaktorer!$D$9+K43*Emissionsfaktorer!$D$10+L43*Emissionsfaktorer!$D$11+M43*Emissionsfaktorer!$D$12)*-1*(1-Nøgletal!$H$310)+T43*Emissionsfaktorer!$D$13*Nøgletal!$H$310</f>
        <v>0</v>
      </c>
    </row>
    <row r="44" spans="2:78" x14ac:dyDescent="0.25">
      <c r="B44" s="31"/>
      <c r="C44" s="278"/>
      <c r="D44" s="278"/>
      <c r="E44" s="278"/>
      <c r="F44" s="278">
        <f>AJ44*Nøgletal!H477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AJ44*Nøgletal!H475</f>
        <v>0</v>
      </c>
      <c r="AA44" s="278">
        <f>AJ44*Nøgletal!H476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-AO44/IF(Nøgletal!H355+Nøgletal!I355&gt;0,Nøgletal!H355+Nøgletal!I355,1)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BS44/IF(Nøgletal!I355&gt;0,Nøgletal!I355,1)*Nøgletal!H355</f>
        <v>0</v>
      </c>
      <c r="BS44" s="289">
        <f>BS$41*Nøgletal!H314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D$4+E44*Emissionsfaktorer!$D$3+F44*Emissionsfaktorer!$D$5+H44*Emissionsfaktorer!$D$7+I44*Emissionsfaktorer!$D$8+J44*Emissionsfaktorer!$D$9+K44*Emissionsfaktorer!$D$10+L44*Emissionsfaktorer!$D$11+M44*Emissionsfaktorer!$D$12)*-1*(1-Nøgletal!$H$310)+T44*Emissionsfaktorer!$D$13*Nøgletal!$H$310</f>
        <v>0</v>
      </c>
    </row>
    <row r="45" spans="2:78" x14ac:dyDescent="0.25"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D$4+E45*Emissionsfaktorer!$D$3+F45*Emissionsfaktorer!$D$5+H45*Emissionsfaktorer!$D$7+I45*Emissionsfaktorer!$D$8+J45*Emissionsfaktorer!$D$9+K45*Emissionsfaktorer!$D$10+L45*Emissionsfaktorer!$D$11+M45*Emissionsfaktorer!$D$12)*-1*(1-Nøgletal!$H$310)+T45*Emissionsfaktorer!$D$13*Nøgletal!$H$310</f>
        <v>0</v>
      </c>
    </row>
    <row r="46" spans="2:78" x14ac:dyDescent="0.25"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-188.70390000000003</v>
      </c>
      <c r="AD46" s="23">
        <f t="shared" si="40"/>
        <v>0</v>
      </c>
      <c r="AE46" s="23">
        <f t="shared" si="40"/>
        <v>0</v>
      </c>
      <c r="AF46" s="23">
        <f t="shared" si="40"/>
        <v>-406.74150000000003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-595.44540000000006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595.44540000000006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406.74150000000003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188.70390000000003</v>
      </c>
      <c r="BX46" s="23"/>
      <c r="BY46" s="126">
        <f t="shared" si="41"/>
        <v>0</v>
      </c>
      <c r="BZ46" s="126">
        <f t="shared" si="41"/>
        <v>0</v>
      </c>
    </row>
    <row r="47" spans="2:78" x14ac:dyDescent="0.25">
      <c r="B47" s="31"/>
      <c r="C47" s="278">
        <f>AJ47*Nøgletal!H586</f>
        <v>0</v>
      </c>
      <c r="D47" s="278"/>
      <c r="E47" s="278">
        <f>AJ47*Nøgletal!H588</f>
        <v>0</v>
      </c>
      <c r="F47" s="278"/>
      <c r="G47" s="278">
        <f t="shared" si="29"/>
        <v>0</v>
      </c>
      <c r="H47" s="278"/>
      <c r="I47" s="278">
        <f>AJ47*Nøgletal!H587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AJ47*Nøgletal!H589</f>
        <v>0</v>
      </c>
      <c r="V47" s="278">
        <f>AJ47*Nøgletal!H590</f>
        <v>0</v>
      </c>
      <c r="W47" s="278">
        <f>AJ47*Nøgletal!H591</f>
        <v>0</v>
      </c>
      <c r="X47" s="278">
        <f>AJ47*Nøgletal!H592</f>
        <v>0</v>
      </c>
      <c r="Y47" s="278">
        <f>AJ47*Nøgletal!H593</f>
        <v>0</v>
      </c>
      <c r="Z47" s="278"/>
      <c r="AA47" s="278"/>
      <c r="AB47" s="278">
        <f>AJ47*Nøgletal!H594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-AO47/IF(Nøgletal!H375+Nøgletal!I375&gt;0,Nøgletal!H375+Nøgletal!I375,1)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BS47/IF(Nøgletal!I375&gt;0,Nøgletal!I375,1)*Nøgletal!H375</f>
        <v>0</v>
      </c>
      <c r="BS47" s="292">
        <f>(Nøgletal!H$202+Nøgletal!H$273/(1-Nøgletal!H$300))*Nøgletal!H338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D$4+E47*Emissionsfaktorer!$D$3+F47*Emissionsfaktorer!$D$5+H47*Emissionsfaktorer!$D$7+I47*Emissionsfaktorer!$D$8+J47*Emissionsfaktorer!$D$9+K47*Emissionsfaktorer!$D$10+L47*Emissionsfaktorer!$D$11+M47*Emissionsfaktorer!$D$12)*-1*(1-Nøgletal!$H$336)+T47*Emissionsfaktorer!$D$13*Nøgletal!$H$336</f>
        <v>0</v>
      </c>
    </row>
    <row r="48" spans="2:78" x14ac:dyDescent="0.25">
      <c r="B48" s="31"/>
      <c r="C48" s="278"/>
      <c r="D48" s="278"/>
      <c r="E48" s="278">
        <f>AJ48*Nøgletal!H600</f>
        <v>0</v>
      </c>
      <c r="F48" s="278"/>
      <c r="G48" s="278">
        <f t="shared" si="29"/>
        <v>0</v>
      </c>
      <c r="H48" s="278"/>
      <c r="I48" s="278">
        <f>AJ48*Nøgletal!H596</f>
        <v>0</v>
      </c>
      <c r="J48" s="278">
        <f>AJ48*Nøgletal!H597</f>
        <v>0</v>
      </c>
      <c r="K48" s="278">
        <f>AJ48*Nøgletal!H598</f>
        <v>0</v>
      </c>
      <c r="L48" s="278"/>
      <c r="M48" s="278">
        <f>AJ48*Nøgletal!H599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AJ48*Nøgletal!H601</f>
        <v>0</v>
      </c>
      <c r="V48" s="278">
        <f>Nøgletal!H602</f>
        <v>0</v>
      </c>
      <c r="W48" s="278">
        <f>Nøgletal!H603</f>
        <v>0</v>
      </c>
      <c r="X48" s="278">
        <f>AJ48*Nøgletal!H604</f>
        <v>0</v>
      </c>
      <c r="Y48" s="278">
        <f>AJ48*Nøgletal!H605</f>
        <v>0</v>
      </c>
      <c r="Z48" s="278"/>
      <c r="AA48" s="278"/>
      <c r="AB48" s="278">
        <f>AJ48*Nøgletal!H606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-AO48/IF(Nøgletal!H376+Nøgletal!I376&gt;0,Nøgletal!H376+Nøgletal!I376,1)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BS48/IF(Nøgletal!I376&gt;0,Nøgletal!I376,1)*Nøgletal!H376</f>
        <v>0</v>
      </c>
      <c r="BS48" s="292">
        <f>(Nøgletal!H$202+Nøgletal!H$273/(1-Nøgletal!H$300))*Nøgletal!H339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D$4+E48*Emissionsfaktorer!$D$3+F48*Emissionsfaktorer!$D$5+H48*Emissionsfaktorer!$D$7+I48*Emissionsfaktorer!$D$8+J48*Emissionsfaktorer!$D$9+K48*Emissionsfaktorer!$D$10+L48*Emissionsfaktorer!$D$11+M48*Emissionsfaktorer!$D$12)*-1*(1-Nøgletal!$H$336)+T48*Emissionsfaktorer!$D$13*Nøgletal!$H$336</f>
        <v>0</v>
      </c>
    </row>
    <row r="49" spans="2:80" x14ac:dyDescent="0.25">
      <c r="B49" s="31"/>
      <c r="C49" s="278"/>
      <c r="D49" s="278"/>
      <c r="E49" s="278">
        <f>AJ49*Nøgletal!H608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AJ49*Nøgletal!H609</f>
        <v>0</v>
      </c>
      <c r="V49" s="278"/>
      <c r="W49" s="278"/>
      <c r="X49" s="278"/>
      <c r="Y49" s="278"/>
      <c r="Z49" s="278"/>
      <c r="AA49" s="278"/>
      <c r="AB49" s="278">
        <f>AJ49*Nøgletal!H610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-AO49/IF(Nøgletal!H377+Nøgletal!I377&gt;0,Nøgletal!H377+Nøgletal!I377,1)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BS49/IF(Nøgletal!I377&gt;0,Nøgletal!I377,1)*Nøgletal!H377</f>
        <v>0</v>
      </c>
      <c r="BS49" s="292">
        <f>(Nøgletal!H$202+Nøgletal!H$273/(1-Nøgletal!H$300))*Nøgletal!H340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D$4+E49*Emissionsfaktorer!$D$3+F49*Emissionsfaktorer!$D$5+H49*Emissionsfaktorer!$D$7+I49*Emissionsfaktorer!$D$8+J49*Emissionsfaktorer!$D$9+K49*Emissionsfaktorer!$D$10+L49*Emissionsfaktorer!$D$11+M49*Emissionsfaktorer!$D$12)*-1*(1-Nøgletal!$H$336)+T49*Emissionsfaktorer!$D$13*Nøgletal!$H$336</f>
        <v>0</v>
      </c>
    </row>
    <row r="50" spans="2:80" x14ac:dyDescent="0.25">
      <c r="B50" s="31"/>
      <c r="C50" s="278">
        <f>AJ50*Nøgletal!H612</f>
        <v>0</v>
      </c>
      <c r="D50" s="278"/>
      <c r="E50" s="278">
        <f>AJ50*Nøgletal!H614</f>
        <v>0</v>
      </c>
      <c r="F50" s="278"/>
      <c r="G50" s="278">
        <f t="shared" si="29"/>
        <v>0</v>
      </c>
      <c r="H50" s="278"/>
      <c r="I50" s="278">
        <f>AJ50*Nøgletal!H613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AJ50*Nøgletal!H615</f>
        <v>0</v>
      </c>
      <c r="V50" s="278">
        <f>AJ50*Nøgletal!H626</f>
        <v>0</v>
      </c>
      <c r="W50" s="278">
        <f>AJ50*Nøgletal!H617</f>
        <v>0</v>
      </c>
      <c r="X50" s="278">
        <f>AJ50*Nøgletal!H628</f>
        <v>0</v>
      </c>
      <c r="Y50" s="278">
        <f>AJ50*Nøgletal!H619</f>
        <v>0</v>
      </c>
      <c r="Z50" s="278"/>
      <c r="AA50" s="278"/>
      <c r="AB50" s="278">
        <f>AJ50*Nøgletal!H620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-AO50/IF(Nøgletal!H378+Nøgletal!I378&gt;0,Nøgletal!H378+Nøgletal!I378,1)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BS50/IF(Nøgletal!I378&gt;0,Nøgletal!I378,1)*Nøgletal!H378</f>
        <v>0</v>
      </c>
      <c r="BS50" s="292">
        <f>(Nøgletal!H$202+Nøgletal!H$273/(1-Nøgletal!H$300))*Nøgletal!H341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D$4+E50*Emissionsfaktorer!$D$3+F50*Emissionsfaktorer!$D$5+H50*Emissionsfaktorer!$D$7+I50*Emissionsfaktorer!$D$8+J50*Emissionsfaktorer!$D$9+K50*Emissionsfaktorer!$D$10+L50*Emissionsfaktorer!$D$11+M50*Emissionsfaktorer!$D$12)*-1*(1-Nøgletal!$H$336)+T50*Emissionsfaktorer!$D$13*Nøgletal!$H$336</f>
        <v>0</v>
      </c>
    </row>
    <row r="51" spans="2:80" x14ac:dyDescent="0.25">
      <c r="B51" s="31"/>
      <c r="C51" s="278">
        <f>AJ51*Nøgletal!H622</f>
        <v>0</v>
      </c>
      <c r="D51" s="278"/>
      <c r="E51" s="278">
        <f>AJ51*Nøgletal!H624</f>
        <v>0</v>
      </c>
      <c r="F51" s="278"/>
      <c r="G51" s="278">
        <f t="shared" si="29"/>
        <v>0</v>
      </c>
      <c r="H51" s="278"/>
      <c r="I51" s="278">
        <f>AJ51*Nøgletal!H623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AJ51*Nøgletal!H625</f>
        <v>0</v>
      </c>
      <c r="V51" s="278">
        <f>AJ51*Nøgletal!H626</f>
        <v>0</v>
      </c>
      <c r="W51" s="278">
        <f>AJ51*Nøgletal!H627</f>
        <v>0</v>
      </c>
      <c r="X51" s="278">
        <f>AJ51*Nøgletal!H628</f>
        <v>0</v>
      </c>
      <c r="Y51" s="278">
        <f>AJ51*Nøgletal!H629</f>
        <v>0</v>
      </c>
      <c r="Z51" s="278"/>
      <c r="AA51" s="278"/>
      <c r="AB51" s="278">
        <f>AJ51*Nøgletal!H630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-AO51/IF(Nøgletal!H379+Nøgletal!I379&gt;0,Nøgletal!H379+Nøgletal!I379,1)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BS51/IF(Nøgletal!I379&gt;0,Nøgletal!I379,1)*Nøgletal!H379</f>
        <v>0</v>
      </c>
      <c r="BS51" s="292">
        <f>(Nøgletal!H$202+Nøgletal!H$273/(1-Nøgletal!H$300))*Nøgletal!H342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D$4+E51*Emissionsfaktorer!$D$3+F51*Emissionsfaktorer!$D$5+H51*Emissionsfaktorer!$D$7+I51*Emissionsfaktorer!$D$8+J51*Emissionsfaktorer!$D$9+K51*Emissionsfaktorer!$D$10+L51*Emissionsfaktorer!$D$11+M51*Emissionsfaktorer!$D$12)*-1*(1-Nøgletal!$H$336)+T51*Emissionsfaktorer!$D$13*Nøgletal!$H$336</f>
        <v>0</v>
      </c>
    </row>
    <row r="52" spans="2:80" x14ac:dyDescent="0.25"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-406.74150000000003</v>
      </c>
      <c r="AG52" s="280"/>
      <c r="AH52" s="280"/>
      <c r="AI52" s="280"/>
      <c r="AJ52" s="105">
        <f>-AO52/IF(Nøgletal!H380+Nøgletal!I380&gt;0,Nøgletal!H380+Nøgletal!I380,1)</f>
        <v>-406.74150000000003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406.74150000000003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BS52/IF(Nøgletal!I380&gt;0,Nøgletal!I380,1)*Nøgletal!H380</f>
        <v>0</v>
      </c>
      <c r="BS52" s="292">
        <f>(Nøgletal!H$202+Nøgletal!H$273/(1-Nøgletal!H$300))*Nøgletal!H343</f>
        <v>406.74150000000003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D$4+E52*Emissionsfaktorer!$D$3+F52*Emissionsfaktorer!$D$5+H52*Emissionsfaktorer!$D$7+I52*Emissionsfaktorer!$D$8+J52*Emissionsfaktorer!$D$9+K52*Emissionsfaktorer!$D$10+L52*Emissionsfaktorer!$D$11+M52*Emissionsfaktorer!$D$12)*-1*(1-Nøgletal!$H$336)+T52*Emissionsfaktorer!$D$13*Nøgletal!$H$336</f>
        <v>0</v>
      </c>
    </row>
    <row r="53" spans="2:80" x14ac:dyDescent="0.25"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Nøgletal!H201*-1</f>
        <v>-188.70390000000003</v>
      </c>
      <c r="AD53" s="280"/>
      <c r="AE53" s="280"/>
      <c r="AF53" s="280"/>
      <c r="AG53" s="280"/>
      <c r="AH53" s="280"/>
      <c r="AI53" s="280"/>
      <c r="AJ53" s="105">
        <f>AC53</f>
        <v>-188.70390000000003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188.70390000000003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Nøgletal!H201</f>
        <v>188.70390000000003</v>
      </c>
      <c r="BX53" s="292"/>
      <c r="BY53" s="124">
        <f t="shared" si="42"/>
        <v>0</v>
      </c>
      <c r="BZ53" s="123">
        <f>(C53*Emissionsfaktorer!$D$4+E53*Emissionsfaktorer!$D$3+F53*Emissionsfaktorer!$D$5+H53*Emissionsfaktorer!$D$7+I53*Emissionsfaktorer!$D$8+J53*Emissionsfaktorer!$D$9+K53*Emissionsfaktorer!$D$10+L53*Emissionsfaktorer!$D$11+M53*Emissionsfaktorer!$D$12)*-1*(1-Nøgletal!$H$336)+T53*Emissionsfaktorer!$D$13*Nøgletal!$H$336</f>
        <v>0</v>
      </c>
    </row>
    <row r="54" spans="2:80" x14ac:dyDescent="0.25"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Nøgletal!H202</f>
        <v>0</v>
      </c>
      <c r="BX54" s="292"/>
      <c r="BY54" s="124">
        <f t="shared" si="42"/>
        <v>0</v>
      </c>
      <c r="BZ54" s="123">
        <f>(C54*Emissionsfaktorer!$D$4+E54*Emissionsfaktorer!$D$3+F54*Emissionsfaktorer!$D$5+H54*Emissionsfaktorer!$D$7+I54*Emissionsfaktorer!$D$8+J54*Emissionsfaktorer!$D$9+K54*Emissionsfaktorer!$D$10+L54*Emissionsfaktorer!$D$11+M54*Emissionsfaktorer!$D$12)*-1*(1-Nøgletal!$H$336)+T54*Emissionsfaktorer!$D$13*Nøgletal!$H$336</f>
        <v>0</v>
      </c>
    </row>
    <row r="55" spans="2:80" x14ac:dyDescent="0.25"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D$4+E55*Emissionsfaktorer!$D$3+F55*Emissionsfaktorer!$D$5+H55*Emissionsfaktorer!$D$7+I55*Emissionsfaktorer!$D$8+J55*Emissionsfaktorer!$D$9+K55*Emissionsfaktorer!$D$10+L55*Emissionsfaktorer!$D$11+M55*Emissionsfaktorer!$D$12)*-1*(1-Nøgletal!$H$336)+T55*Emissionsfaktorer!$D$13*Nøgletal!$H$336</f>
        <v>0</v>
      </c>
      <c r="CA55" s="40"/>
    </row>
    <row r="56" spans="2:80" x14ac:dyDescent="0.25"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2:80" x14ac:dyDescent="0.25"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-3000</v>
      </c>
      <c r="F57" s="20">
        <f t="shared" si="43"/>
        <v>-187.91190000000003</v>
      </c>
      <c r="G57" s="20">
        <f t="shared" si="43"/>
        <v>-345.51</v>
      </c>
      <c r="H57" s="20">
        <f t="shared" si="43"/>
        <v>0</v>
      </c>
      <c r="I57" s="20">
        <f t="shared" si="43"/>
        <v>0</v>
      </c>
      <c r="J57" s="20">
        <f t="shared" si="43"/>
        <v>-345.51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-247.75410000000005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-4.9170000000000007</v>
      </c>
      <c r="Y57" s="20">
        <f t="shared" si="43"/>
        <v>-3.2340000000000004</v>
      </c>
      <c r="Z57" s="20">
        <f t="shared" si="43"/>
        <v>0</v>
      </c>
      <c r="AA57" s="20">
        <f t="shared" si="43"/>
        <v>-229.67010000000005</v>
      </c>
      <c r="AB57" s="20">
        <f t="shared" si="43"/>
        <v>-9.9330000000000016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-3781.1760000000004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2975.7855120000004</v>
      </c>
      <c r="AP57" s="37">
        <f t="shared" ref="AP57:AP64" si="44">IF(AJ57=0,0,AO57/AJ57*-1)</f>
        <v>0.78700000000000003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835.63989600000002</v>
      </c>
      <c r="BS57" s="20">
        <f>Nøgletal!H272/(1-Nøgletal!H299)</f>
        <v>2140.1456160000002</v>
      </c>
      <c r="BT57" s="20">
        <f>Nøgletal!I272/(1-Nøgletal!I299)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805.390488</v>
      </c>
      <c r="BZ57" s="126">
        <f t="shared" si="47"/>
        <v>210.46023067199999</v>
      </c>
      <c r="CB57" s="40"/>
    </row>
    <row r="58" spans="2:80" x14ac:dyDescent="0.25">
      <c r="B58" s="31"/>
      <c r="C58" s="23">
        <f>AJ58*Nøgletal!H551</f>
        <v>0</v>
      </c>
      <c r="D58" s="23"/>
      <c r="E58" s="23">
        <f>AJ58*Nøgletal!H553</f>
        <v>0</v>
      </c>
      <c r="F58" s="23"/>
      <c r="G58" s="23">
        <f t="shared" ref="G58:G64" si="48">SUM(H58:M58)</f>
        <v>0</v>
      </c>
      <c r="H58" s="23"/>
      <c r="I58" s="23">
        <f>AJ58*Nøgletal!H552</f>
        <v>0</v>
      </c>
      <c r="J58" s="23">
        <f>AJ58*Nøgletal!H557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AJ58*Nøgletal!H554</f>
        <v>0</v>
      </c>
      <c r="V58" s="23">
        <f>AJ58*Nøgletal!H555</f>
        <v>0</v>
      </c>
      <c r="W58" s="23">
        <f>AJ58*Nøgletal!H556</f>
        <v>0</v>
      </c>
      <c r="X58" s="23">
        <f>AJ58*Nøgletal!H558</f>
        <v>0</v>
      </c>
      <c r="Y58" s="23">
        <f>AJ58*Nøgletal!H559</f>
        <v>0</v>
      </c>
      <c r="Z58" s="23"/>
      <c r="AA58" s="23"/>
      <c r="AB58" s="23">
        <f>AJ58*Nøgletal!H560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-AO58/IF(Nøgletal!I369+Nøgletal!H369&gt;0,Nøgletal!I369+Nøgletal!H369,1)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BS58/IF(Nøgletal!I369&gt;0,Nøgletal!I369,1)*Nøgletal!H369</f>
        <v>0</v>
      </c>
      <c r="BS58" s="78">
        <f>BS$57*Nøgletal!H331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D$4+E58*Emissionsfaktorer!$D$3+F58*Emissionsfaktorer!$D$5+H58*Emissionsfaktorer!$D$7+I58*Emissionsfaktorer!$D$8+J58*Emissionsfaktorer!$D$9+K58*Emissionsfaktorer!$D$10+L58*Emissionsfaktorer!$D$11+M58*Emissionsfaktorer!$D$12)*-1*(1-Nøgletal!$H$329)+T58*Emissionsfaktorer!$D$13*Nøgletal!$H$329</f>
        <v>0</v>
      </c>
    </row>
    <row r="59" spans="2:80" x14ac:dyDescent="0.25"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-AO59*(1-1/IF(Nøgletal!I370&gt;0,Nøgletal!I370,1))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-AO59/IF(Nøgletal!I514&gt;0,Nøgletal!I514,1)/(1-Nøgletal!H294)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BS59/IF(Nøgletal!I370&gt;0,Nøgletal!I370,1)*Nøgletal!H370</f>
        <v>0</v>
      </c>
      <c r="BS59" s="78">
        <f>BS$57*Nøgletal!H332</f>
        <v>0</v>
      </c>
      <c r="BT59" s="32"/>
      <c r="BU59" s="32"/>
      <c r="BV59" s="32"/>
      <c r="BW59" s="32"/>
      <c r="BX59" s="32"/>
      <c r="BY59" s="124"/>
      <c r="BZ59" s="123">
        <f>(C59*Emissionsfaktorer!$D$4+E59*Emissionsfaktorer!$D$3+F59*Emissionsfaktorer!$D$5+H59*Emissionsfaktorer!$D$7+I59*Emissionsfaktorer!$D$8+J59*Emissionsfaktorer!$D$9+K59*Emissionsfaktorer!$D$10+L59*Emissionsfaktorer!$D$11+M59*Emissionsfaktorer!$D$12)*-1*(1-Nøgletal!$H$329)+T59*Emissionsfaktorer!$D$13*Nøgletal!$H$329</f>
        <v>0</v>
      </c>
    </row>
    <row r="60" spans="2:80" x14ac:dyDescent="0.25"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-AO60/IF(Nøgletal!I371+Nøgletal!H371&gt;0,Nøgletal!I371+Nøgletal!H371,1)/(1-Nøgletal!H294)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BS$57*Nøgletal!H333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D$4+E60*Emissionsfaktorer!$D$3+F60*Emissionsfaktorer!$D$5+H60*Emissionsfaktorer!$D$7+I60*Emissionsfaktorer!$D$8+J60*Emissionsfaktorer!$D$9+K60*Emissionsfaktorer!$D$10+L60*Emissionsfaktorer!$D$11+M60*Emissionsfaktorer!$D$12)*-1*(1-Nøgletal!$H$329)+T60*Emissionsfaktorer!$D$13*Nøgletal!$H$329</f>
        <v>0</v>
      </c>
    </row>
    <row r="61" spans="2:80" x14ac:dyDescent="0.25"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-AO61/IF(Nøgletal!I372+Nøgletal!H372&gt;0,Nøgletal!I372+Nøgletal!H372,1)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BS61/IF(Nøgletal!I372&gt;0,Nøgletal!I372,1)*Nøgletal!H372</f>
        <v>0</v>
      </c>
      <c r="BS61" s="78">
        <f>BS$57*Nøgletal!H334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D$4+E61*Emissionsfaktorer!$D$3+F61*Emissionsfaktorer!$D$5+H61*Emissionsfaktorer!$D$7+I61*Emissionsfaktorer!$D$8+J61*Emissionsfaktorer!$D$9+K61*Emissionsfaktorer!$D$10+L61*Emissionsfaktorer!$D$11+M61*Emissionsfaktorer!$D$12)*-1*(1-Nøgletal!$H$329)+T61*Emissionsfaktorer!$D$13*Nøgletal!$H$329</f>
        <v>0</v>
      </c>
    </row>
    <row r="62" spans="2:80" x14ac:dyDescent="0.25"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-AO62/IF(Nøgletal!I373+Nøgletal!H373&gt;0,Nøgletal!I373+Nøgletal!H373,1)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BS62/IF(Nøgletal!I373&gt;0,Nøgletal!I373,1)*Nøgletal!H373</f>
        <v>0</v>
      </c>
      <c r="BS62" s="78">
        <f>BS$57*Nøgletal!H335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D$4+E62*Emissionsfaktorer!$D$3+F62*Emissionsfaktorer!$D$5+H62*Emissionsfaktorer!$D$7+I62*Emissionsfaktorer!$D$8+J62*Emissionsfaktorer!$D$9+K62*Emissionsfaktorer!$D$10+L62*Emissionsfaktorer!$D$11+M62*Emissionsfaktorer!$D$12)*-1*(1-Nøgletal!$H$329)+T62*Emissionsfaktorer!$D$13*Nøgletal!$H$329</f>
        <v>0</v>
      </c>
    </row>
    <row r="63" spans="2:80" x14ac:dyDescent="0.25"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BS63/IF(Nøgletal!I351&gt;0,Nøgletal!I351,1)*Nøgletal!H351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D$4+E63*Emissionsfaktorer!$D$3+F63*Emissionsfaktorer!$D$5+H63*Emissionsfaktorer!$D$7+I63*Emissionsfaktorer!$D$8+J63*Emissionsfaktorer!$D$9+K63*Emissionsfaktorer!$D$10+L63*Emissionsfaktorer!$D$11+M63*Emissionsfaktorer!$D$12)*-1*(1-Nøgletal!$H$329)+T63*Emissionsfaktorer!$D$13*Nøgletal!$H$329</f>
        <v>0</v>
      </c>
    </row>
    <row r="64" spans="2:80" x14ac:dyDescent="0.25">
      <c r="B64" s="31"/>
      <c r="C64" s="23">
        <f>AJ64*Nøgletal!H567</f>
        <v>0</v>
      </c>
      <c r="D64" s="23"/>
      <c r="E64" s="23">
        <f>AJ64*Nøgletal!H572</f>
        <v>-3000</v>
      </c>
      <c r="F64" s="23">
        <f>AJ64*Nøgletal!H584</f>
        <v>-187.91190000000003</v>
      </c>
      <c r="G64" s="23">
        <f t="shared" si="48"/>
        <v>-345.51</v>
      </c>
      <c r="H64" s="23">
        <f>AJ64*Nøgletal!H566</f>
        <v>0</v>
      </c>
      <c r="I64" s="23">
        <f>AJ64*Nøgletal!H568</f>
        <v>0</v>
      </c>
      <c r="J64" s="23">
        <f>AJ64*Nøgletal!H569</f>
        <v>-345.51</v>
      </c>
      <c r="K64" s="23">
        <f>AJ64*Nøgletal!H570</f>
        <v>0</v>
      </c>
      <c r="L64" s="23"/>
      <c r="M64" s="23">
        <f>AJ64*Nøgletal!H571</f>
        <v>0</v>
      </c>
      <c r="N64" s="23">
        <f t="shared" si="49"/>
        <v>0</v>
      </c>
      <c r="O64" s="23"/>
      <c r="P64" s="23"/>
      <c r="Q64" s="23">
        <f>AJ64*Nøgletal!H573</f>
        <v>0</v>
      </c>
      <c r="R64" s="23">
        <f>AJ64*Nøgletal!H574</f>
        <v>0</v>
      </c>
      <c r="S64" s="23">
        <f>AJ64*Nøgletal!H575</f>
        <v>0</v>
      </c>
      <c r="T64" s="23">
        <f t="shared" si="50"/>
        <v>-247.75410000000005</v>
      </c>
      <c r="U64" s="23">
        <f>AJ64*Nøgletal!H576</f>
        <v>0</v>
      </c>
      <c r="V64" s="23">
        <f>AJ64*Nøgletal!H577</f>
        <v>0</v>
      </c>
      <c r="W64" s="23">
        <f>AJ64*Nøgletal!H578</f>
        <v>0</v>
      </c>
      <c r="X64" s="23">
        <f>AJ64*Nøgletal!H579</f>
        <v>-4.9170000000000007</v>
      </c>
      <c r="Y64" s="23">
        <f>AJ64*Nøgletal!H580</f>
        <v>-3.2340000000000004</v>
      </c>
      <c r="Z64" s="23">
        <f>AJ64*Nøgletal!H581</f>
        <v>0</v>
      </c>
      <c r="AA64" s="23">
        <f>AJ64*Nøgletal!H582</f>
        <v>-229.67010000000005</v>
      </c>
      <c r="AB64" s="23">
        <f>AJ64*Nøgletal!H583</f>
        <v>-9.9330000000000016</v>
      </c>
      <c r="AC64" s="23"/>
      <c r="AD64" s="23"/>
      <c r="AE64" s="23"/>
      <c r="AF64" s="23"/>
      <c r="AG64" s="23"/>
      <c r="AH64" s="23"/>
      <c r="AI64" s="23"/>
      <c r="AJ64" s="105">
        <f>-AO64/IF(Nøgletal!I351+Nøgletal!H351&gt;0,Nøgletal!I351+Nøgletal!H351,1)</f>
        <v>-3781.1760000000004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2975.7855120000004</v>
      </c>
      <c r="AP64" s="37">
        <f t="shared" si="44"/>
        <v>0.78700000000000003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BS64/IF(Nøgletal!I351&gt;0,Nøgletal!I351,1)*Nøgletal!H351</f>
        <v>835.63989600000002</v>
      </c>
      <c r="BS64" s="78">
        <f>BS$57*Nøgletal!H309</f>
        <v>2140.1456160000002</v>
      </c>
      <c r="BT64" s="23"/>
      <c r="BU64" s="32"/>
      <c r="BV64" s="32"/>
      <c r="BW64" s="93"/>
      <c r="BX64" s="93"/>
      <c r="BY64" s="124">
        <f t="shared" si="54"/>
        <v>805.390488</v>
      </c>
      <c r="BZ64" s="123">
        <f>(C64*Emissionsfaktorer!$D$4+E64*Emissionsfaktorer!$D$3+F64*Emissionsfaktorer!$D$5+H64*Emissionsfaktorer!$D$7+I64*Emissionsfaktorer!$D$8+J64*Emissionsfaktorer!$D$9+K64*Emissionsfaktorer!$D$10+L64*Emissionsfaktorer!$D$11+M64*Emissionsfaktorer!$D$12)*-1*(1-Nøgletal!$H$329)+T64*Emissionsfaktorer!$D$13*Nøgletal!$H$329</f>
        <v>210.46023067199999</v>
      </c>
    </row>
    <row r="65" spans="2:80" x14ac:dyDescent="0.25">
      <c r="B65" s="31"/>
      <c r="C65" s="295"/>
      <c r="D65" s="20">
        <f>AV65/IF(Nøgletal!H708&gt;0,Nøgletal!H708,1)*-1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$BT65/IF(Nøgletal!$H$720&gt;0,Nøgletal!$H$720,1)*-Nøgletal!$H711*Nøgletal!$H710</f>
        <v>0</v>
      </c>
      <c r="V65" s="20">
        <f>$BT65/IF(Nøgletal!$H$720&gt;0,Nøgletal!$H$720,1)*-Nøgletal!$H712*Nøgletal!$H710</f>
        <v>0</v>
      </c>
      <c r="W65" s="20">
        <f>$BT65/IF(Nøgletal!$H$720&gt;0,Nøgletal!$H$720,1)*-Nøgletal!$H713*Nøgletal!$H710</f>
        <v>0</v>
      </c>
      <c r="X65" s="20">
        <f>$BT65/IF(Nøgletal!$H$720&gt;0,Nøgletal!$H$720,1)*-Nøgletal!$H714*Nøgletal!$H710</f>
        <v>0</v>
      </c>
      <c r="Y65" s="20">
        <f>$BT65/IF(Nøgletal!$H$720&gt;0,Nøgletal!$H$720,1)*-Nøgletal!$H715*Nøgletal!$H710</f>
        <v>0</v>
      </c>
      <c r="Z65" s="20">
        <f>$BT65/IF(Nøgletal!$H$720&gt;0,Nøgletal!$H$720,1)*-Nøgletal!$H716*Nøgletal!$H710</f>
        <v>0</v>
      </c>
      <c r="AA65" s="20">
        <f>$BT65/IF(Nøgletal!$H$720&gt;0,Nøgletal!$H$720,1)*-Nøgletal!$H717*Nøgletal!$H710</f>
        <v>0</v>
      </c>
      <c r="AB65" s="20">
        <f>$BT65/IF(Nøgletal!$H$720&gt;0,Nøgletal!$H$720,1)*-Nøgletal!$H718*Nøgletal!$H710</f>
        <v>0</v>
      </c>
      <c r="AC65" s="20">
        <f>BT65/IF(Nøgletal!H720&gt;0,Nøgletal!H720,1)*-Nøgletal!H719</f>
        <v>0</v>
      </c>
      <c r="AD65" s="20"/>
      <c r="AE65" s="20"/>
      <c r="AF65" s="20"/>
      <c r="AG65" s="20"/>
      <c r="AH65" s="20"/>
      <c r="AI65" s="20"/>
      <c r="AJ65" s="105">
        <f>AV65/IF(Nøgletal!H708&gt;0,Nøgletal!H708,1)+BT65/IF(Nøgletal!H720&gt;0,Nøgletal!H720,1)*-1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Nøgletal!H701</f>
        <v>0</v>
      </c>
      <c r="AW65" s="20">
        <f>$AV65*Nøgletal!H702</f>
        <v>0</v>
      </c>
      <c r="AX65" s="20">
        <f>$AV65*Nøgletal!H703</f>
        <v>0</v>
      </c>
      <c r="AY65" s="20">
        <f>$AV65*Nøgletal!H704</f>
        <v>0</v>
      </c>
      <c r="AZ65" s="20">
        <f>$AV65*Nøgletal!H705</f>
        <v>0</v>
      </c>
      <c r="BA65" s="20">
        <f>$AV65*Nøgletal!H706</f>
        <v>0</v>
      </c>
      <c r="BB65" s="20">
        <f>$AV65*Nøgletal!H707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Nøgletal!H709</f>
        <v>0</v>
      </c>
      <c r="BU65" s="21"/>
      <c r="BV65" s="21"/>
      <c r="BW65" s="86"/>
      <c r="BX65" s="86"/>
      <c r="BY65" s="124">
        <f t="shared" si="54"/>
        <v>0</v>
      </c>
      <c r="BZ65" s="300"/>
      <c r="CB65" s="231" t="e">
        <f>#REF!*#REF!/1.25/#REF!*-1</f>
        <v>#REF!</v>
      </c>
    </row>
    <row r="66" spans="2:80" x14ac:dyDescent="0.25">
      <c r="B66" s="31"/>
      <c r="C66" s="80"/>
      <c r="D66" s="80"/>
      <c r="E66" s="80"/>
      <c r="F66" s="80"/>
      <c r="G66" s="81">
        <f t="shared" si="29"/>
        <v>-2126.9123839999997</v>
      </c>
      <c r="H66" s="80">
        <f t="shared" ref="H66:M66" si="55">H68</f>
        <v>-22.2</v>
      </c>
      <c r="I66" s="80">
        <f t="shared" si="55"/>
        <v>-9.3999999999999986</v>
      </c>
      <c r="J66" s="80">
        <f t="shared" si="55"/>
        <v>-160</v>
      </c>
      <c r="K66" s="80">
        <f t="shared" si="55"/>
        <v>-959.25730399999986</v>
      </c>
      <c r="L66" s="80">
        <f t="shared" si="55"/>
        <v>-318.19999999999993</v>
      </c>
      <c r="M66" s="80">
        <f t="shared" si="55"/>
        <v>-657.85507999999982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-1277.6066189095684</v>
      </c>
      <c r="AD66" s="82">
        <f>-BS9</f>
        <v>-2546.8871160000003</v>
      </c>
      <c r="AE66" s="80"/>
      <c r="AF66" s="80"/>
      <c r="AG66" s="80"/>
      <c r="AH66" s="267">
        <f>-BW9</f>
        <v>-188.70390000000003</v>
      </c>
      <c r="AI66" s="80"/>
      <c r="AJ66" s="105">
        <f t="shared" ref="AJ66:AJ83" si="56">SUM(C66:G66,N66,T66,AC66:AG66)</f>
        <v>-5951.4061189095682</v>
      </c>
      <c r="AK66" s="13" t="s">
        <v>233</v>
      </c>
      <c r="AL66" s="13" t="s">
        <v>234</v>
      </c>
      <c r="AM66" s="99"/>
      <c r="AN66" s="37"/>
      <c r="AO66" s="38">
        <f t="shared" si="1"/>
        <v>5466.1544732811699</v>
      </c>
      <c r="AP66" s="37">
        <f t="shared" si="6"/>
        <v>0.91846437027938743</v>
      </c>
      <c r="AQ66" s="31"/>
      <c r="AR66" s="80"/>
      <c r="AS66" s="80"/>
      <c r="AT66" s="80"/>
      <c r="AU66" s="80"/>
      <c r="AV66" s="95">
        <f t="shared" si="7"/>
        <v>2126.9123839999997</v>
      </c>
      <c r="AW66" s="80">
        <f t="shared" ref="AW66:BB66" si="57">H66*-1</f>
        <v>22.2</v>
      </c>
      <c r="AX66" s="80">
        <f t="shared" si="57"/>
        <v>9.3999999999999986</v>
      </c>
      <c r="AY66" s="80">
        <f t="shared" si="57"/>
        <v>160</v>
      </c>
      <c r="AZ66" s="80">
        <f t="shared" si="57"/>
        <v>959.25730399999986</v>
      </c>
      <c r="BA66" s="80">
        <f t="shared" si="57"/>
        <v>318.19999999999993</v>
      </c>
      <c r="BB66" s="80">
        <f t="shared" si="57"/>
        <v>657.85507999999982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1184.3413357291699</v>
      </c>
      <c r="BS66" s="80">
        <f>AD68*-1</f>
        <v>1966.196853552</v>
      </c>
      <c r="BT66" s="80"/>
      <c r="BU66" s="80"/>
      <c r="BV66" s="80"/>
      <c r="BW66" s="267">
        <f>-AH66</f>
        <v>188.70390000000003</v>
      </c>
      <c r="BX66" s="80"/>
      <c r="BY66" s="124">
        <f t="shared" si="54"/>
        <v>485.25164562839836</v>
      </c>
      <c r="BZ66" s="123"/>
    </row>
    <row r="67" spans="2:80" x14ac:dyDescent="0.25"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3.306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3.306</v>
      </c>
      <c r="BD67" s="11">
        <f>-1*O68</f>
        <v>0</v>
      </c>
      <c r="BE67" s="11">
        <f>-1*P68</f>
        <v>0</v>
      </c>
      <c r="BF67" s="11">
        <f>-1*Q68</f>
        <v>2.8</v>
      </c>
      <c r="BG67" s="11">
        <f>-1*R68</f>
        <v>0</v>
      </c>
      <c r="BH67" s="11">
        <f>-1*S68</f>
        <v>0.50600000000000012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(C67*Emissionsfaktorer!$D$4+E67*Emissionsfaktorer!$D$3+F67*Emissionsfaktorer!$D$5+H67*Emissionsfaktorer!$D$7+I67*Emissionsfaktorer!$D$8+J67*Emissionsfaktorer!$D$9+K67*Emissionsfaktorer!$D$10+L67*Emissionsfaktorer!$D$11+M67*Emissionsfaktorer!$D$12)*-1</f>
        <v>0</v>
      </c>
      <c r="CA67" s="2"/>
    </row>
    <row r="68" spans="2:80" x14ac:dyDescent="0.25"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-271.76</v>
      </c>
      <c r="F68" s="267">
        <f t="shared" si="58"/>
        <v>0</v>
      </c>
      <c r="G68" s="267">
        <f t="shared" si="58"/>
        <v>-2126.9123839999997</v>
      </c>
      <c r="H68" s="267">
        <f t="shared" si="58"/>
        <v>-22.2</v>
      </c>
      <c r="I68" s="267">
        <f t="shared" si="58"/>
        <v>-9.3999999999999986</v>
      </c>
      <c r="J68" s="267">
        <f t="shared" si="58"/>
        <v>-160</v>
      </c>
      <c r="K68" s="267">
        <f t="shared" si="58"/>
        <v>-959.25730399999986</v>
      </c>
      <c r="L68" s="267">
        <f t="shared" si="58"/>
        <v>-318.19999999999993</v>
      </c>
      <c r="M68" s="267">
        <f t="shared" si="58"/>
        <v>-657.85507999999982</v>
      </c>
      <c r="N68" s="267">
        <f t="shared" si="58"/>
        <v>-3.306</v>
      </c>
      <c r="O68" s="267">
        <f t="shared" si="58"/>
        <v>0</v>
      </c>
      <c r="P68" s="267">
        <f t="shared" si="58"/>
        <v>0</v>
      </c>
      <c r="Q68" s="267">
        <f t="shared" si="58"/>
        <v>-2.8</v>
      </c>
      <c r="R68" s="267">
        <f t="shared" si="58"/>
        <v>0</v>
      </c>
      <c r="S68" s="267">
        <f t="shared" si="58"/>
        <v>-0.50600000000000012</v>
      </c>
      <c r="T68" s="267">
        <f t="shared" si="58"/>
        <v>-247.32761599999998</v>
      </c>
      <c r="U68" s="267">
        <f t="shared" si="58"/>
        <v>0</v>
      </c>
      <c r="V68" s="267">
        <f t="shared" si="58"/>
        <v>-3.3276160000000004</v>
      </c>
      <c r="W68" s="267">
        <f t="shared" si="58"/>
        <v>-33</v>
      </c>
      <c r="X68" s="267">
        <f t="shared" si="58"/>
        <v>-168.99999999999997</v>
      </c>
      <c r="Y68" s="267">
        <f t="shared" si="58"/>
        <v>-42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-1184.3413357291699</v>
      </c>
      <c r="AD68" s="267">
        <f t="shared" si="58"/>
        <v>-1966.196853552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-188.70390000000003</v>
      </c>
      <c r="AI68" s="267">
        <f>SUM(AI69:AI70,AI79:AI80,AI84)</f>
        <v>0</v>
      </c>
      <c r="AJ68" s="105">
        <f t="shared" si="56"/>
        <v>-5799.8441892811697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4251.3258128519474</v>
      </c>
      <c r="AP68" s="37">
        <f t="shared" si="6"/>
        <v>0.73300690054897055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4251.3258128519474</v>
      </c>
      <c r="BX68" s="267">
        <f t="shared" si="59"/>
        <v>0</v>
      </c>
      <c r="BY68" s="268">
        <f t="shared" si="59"/>
        <v>1548.5183764292228</v>
      </c>
      <c r="BZ68" s="268">
        <f t="shared" si="59"/>
        <v>171.34113573599993</v>
      </c>
    </row>
    <row r="69" spans="2:80" x14ac:dyDescent="0.25"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IF(-($BR$11+$BR$18+$BR$57)-($AC$70+AC79+AC80+AC84)/(1-Nøgletal!$H$294)-$AC$9&lt;0,-($BR$11+$BR$18+$BR$57)-($AC$70+AC79+AC80+AC84)/(1-Nøgletal!$H$294)-$AC$9,0)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AC69*Emissionsfaktorer!D6+AE69*Emissionsfaktorer!D14</f>
        <v>0</v>
      </c>
    </row>
    <row r="70" spans="2:80" x14ac:dyDescent="0.25"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-1912.8106239999997</v>
      </c>
      <c r="H70" s="79">
        <f t="shared" ref="H70:M70" si="62">SUM(H71:H78)</f>
        <v>-4.4400000000000004</v>
      </c>
      <c r="I70" s="79">
        <f t="shared" si="62"/>
        <v>-9.3999999999999986</v>
      </c>
      <c r="J70" s="79">
        <f t="shared" si="62"/>
        <v>0</v>
      </c>
      <c r="K70" s="79">
        <f t="shared" si="62"/>
        <v>-922.91554399999984</v>
      </c>
      <c r="L70" s="79">
        <f t="shared" si="62"/>
        <v>-318.19999999999993</v>
      </c>
      <c r="M70" s="79">
        <f t="shared" si="62"/>
        <v>-657.85507999999982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-3.2693760000000003</v>
      </c>
      <c r="U70" s="79">
        <f t="shared" ref="U70:AI70" si="63">SUM(U71:U78)</f>
        <v>0</v>
      </c>
      <c r="V70" s="79">
        <f t="shared" si="63"/>
        <v>-3.2693760000000003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0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-1916.0799999999997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510.41699999999992</v>
      </c>
      <c r="AP70" s="37">
        <f t="shared" si="6"/>
        <v>0.26638605903720097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510.41699999999992</v>
      </c>
      <c r="BX70" s="21">
        <f t="shared" si="64"/>
        <v>0</v>
      </c>
      <c r="BY70" s="127">
        <f t="shared" si="64"/>
        <v>1405.6629999999998</v>
      </c>
      <c r="BZ70" s="127">
        <f t="shared" si="64"/>
        <v>140.25137109599993</v>
      </c>
    </row>
    <row r="71" spans="2:80" x14ac:dyDescent="0.25">
      <c r="B71" s="31"/>
      <c r="C71" s="78"/>
      <c r="D71" s="78"/>
      <c r="E71" s="78">
        <f>BW71*Nøgletal!H635*-1/Nøgletal!H401</f>
        <v>0</v>
      </c>
      <c r="F71" s="78"/>
      <c r="G71" s="23">
        <f t="shared" si="29"/>
        <v>-914.81200799999988</v>
      </c>
      <c r="H71" s="78"/>
      <c r="I71" s="78"/>
      <c r="J71" s="78"/>
      <c r="K71" s="78">
        <f>AO71*Nøgletal!H287/(Nøgletal!H286+Nøgletal!H287+Nøgletal!H284)*Nøgletal!H642/Nøgletal!H402*-1</f>
        <v>-257.75692799999996</v>
      </c>
      <c r="L71" s="78"/>
      <c r="M71" s="78">
        <f>AO71*Nøgletal!H286/(Nøgletal!H286+Nøgletal!H287+Nøgletal!H284)*Nøgletal!H634/Nøgletal!H401*-1</f>
        <v>-657.05507999999986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-2.2579920000000002</v>
      </c>
      <c r="U71" s="78">
        <f>IF(Nøgletal!H636=0,0,$AO$71*Nøgletal!H636/Nøgletal!$H$401*-1)</f>
        <v>0</v>
      </c>
      <c r="V71" s="78">
        <f>AO71*(Nøgletal!H286/(Nøgletal!H286+Nøgletal!H287+Nøgletal!H284)*Nøgletal!H637/Nøgletal!H401+Nøgletal!H287/(Nøgletal!H286+Nøgletal!H287+Nøgletal!H284)*Nøgletal!H646/Nøgletal!H402)*-1</f>
        <v>-2.2579920000000002</v>
      </c>
      <c r="W71" s="78"/>
      <c r="X71" s="78"/>
      <c r="Y71" s="78"/>
      <c r="Z71" s="78"/>
      <c r="AA71" s="78"/>
      <c r="AB71" s="78">
        <f>IF(Nøgletal!H638=0,0,AO71*Nøgletal!H638/Nøgletal!H401*-1)</f>
        <v>0</v>
      </c>
      <c r="AC71" s="32">
        <f>AO71*Nøgletal!H284/(Nøgletal!H284+Nøgletal!H286+Nøgletal!H287)/(Nøgletal!H410*-1)</f>
        <v>0</v>
      </c>
      <c r="AD71" s="32"/>
      <c r="AE71" s="32">
        <f>AO71*Nøgletal!H286/(Nøgletal!H286+Nøgletal!H287+Nøgletal!H284)*Nøgletal!H639/Nøgletal!H401*-1+AO71*Nøgletal!H287/(Nøgletal!H286+Nøgletal!H287+Nøgletal!H284)*Nøgletal!H647/Nøgletal!H402*-1</f>
        <v>0</v>
      </c>
      <c r="AF71" s="32"/>
      <c r="AG71" s="32"/>
      <c r="AH71" s="32"/>
      <c r="AI71" s="32"/>
      <c r="AJ71" s="105">
        <f t="shared" si="56"/>
        <v>-917.06999999999982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196.32249999999999</v>
      </c>
      <c r="AP71" s="37">
        <f t="shared" si="6"/>
        <v>0.21407580664507619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Nøgletal!H$282*(Nøgletal!H286+Nøgletal!H287+Nøgletal!H284)</f>
        <v>196.32249999999999</v>
      </c>
      <c r="BX71" s="78"/>
      <c r="BY71" s="127">
        <f t="shared" ref="BY71:BY79" si="67">(AJ71+BW71)*-1</f>
        <v>720.74749999999983</v>
      </c>
      <c r="BZ71" s="123">
        <f>(C71*Emissionsfaktorer!$D$4+E71*Emissionsfaktorer!$D$3+F71*Emissionsfaktorer!$D$5+H71*Emissionsfaktorer!$D$7+I71*Emissionsfaktorer!$D$8+J71*Emissionsfaktorer!$D$9+K71*Emissionsfaktorer!$D$10+L71*Emissionsfaktorer!$D$11+M71*Emissionsfaktorer!$D$12)*-1</f>
        <v>67.039033511999975</v>
      </c>
    </row>
    <row r="72" spans="2:80" x14ac:dyDescent="0.25">
      <c r="B72" s="31"/>
      <c r="C72" s="78"/>
      <c r="D72" s="78"/>
      <c r="E72" s="149"/>
      <c r="F72" s="78"/>
      <c r="G72" s="23">
        <f>SUM(H72:M72)</f>
        <v>-4.4400000000000004</v>
      </c>
      <c r="H72" s="78">
        <f>AO72/Nøgletal!H411*-1</f>
        <v>-4.4400000000000004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-4.4400000000000004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1.6872</v>
      </c>
      <c r="AP72" s="37">
        <f>IF(AJ72=0,0,AO72/AJ72*-1)</f>
        <v>0.37999999999999995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Nøgletal!H$282*Nøgletal!H285</f>
        <v>1.6872</v>
      </c>
      <c r="BX72" s="78"/>
      <c r="BY72" s="127">
        <f t="shared" si="67"/>
        <v>2.7528000000000006</v>
      </c>
      <c r="BZ72" s="123">
        <f>(C72*Emissionsfaktorer!$D$4+E72*Emissionsfaktorer!$D$3+F72*Emissionsfaktorer!$D$5+H72*Emissionsfaktorer!$D$7+I72*Emissionsfaktorer!$D$8+J72*Emissionsfaktorer!$D$9+K72*Emissionsfaktorer!$D$10+L72*Emissionsfaktorer!$D$11+M72*Emissionsfaktorer!$D$12)*-1</f>
        <v>0.28860000000000002</v>
      </c>
    </row>
    <row r="73" spans="2:80" x14ac:dyDescent="0.25">
      <c r="B73" s="31"/>
      <c r="C73" s="78"/>
      <c r="D73" s="78"/>
      <c r="E73" s="78">
        <f>AO73*Nøgletal!H654/IF(Nøgletal!$H$403&gt;0,Nøgletal!H403,1)*-1</f>
        <v>0</v>
      </c>
      <c r="F73" s="78"/>
      <c r="G73" s="23">
        <f t="shared" si="29"/>
        <v>-197.11498</v>
      </c>
      <c r="H73" s="78"/>
      <c r="I73" s="78"/>
      <c r="J73" s="78"/>
      <c r="K73" s="78">
        <f>$AO$73*Nøgletal!H650/IF(Nøgletal!H403&gt;0,Nøgletal!H403,1)*-1</f>
        <v>-197.11498</v>
      </c>
      <c r="L73" s="78"/>
      <c r="M73" s="78">
        <f>AO73*Nøgletal!H651/IF(Nøgletal!H403&gt;0,Nøgletal!H403,1)*-1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-0.39501999999999998</v>
      </c>
      <c r="U73" s="78">
        <f>AO73*Nøgletal!H653/IF(Nøgletal!H403&gt;0,Nøgletal!H403,1)*-1</f>
        <v>0</v>
      </c>
      <c r="V73" s="78">
        <f>AO73*Nøgletal!H655/IF(Nøgletal!H403&gt;0,Nøgletal!H403,1)*-1</f>
        <v>-0.39501999999999998</v>
      </c>
      <c r="W73" s="78"/>
      <c r="X73" s="78"/>
      <c r="Y73" s="78"/>
      <c r="Z73" s="78"/>
      <c r="AA73" s="78"/>
      <c r="AB73" s="78">
        <f>AO73*Nøgletal!H652/IF(Nøgletal!H403&gt;0,Nøgletal!H403,1)*-1</f>
        <v>0</v>
      </c>
      <c r="AC73" s="32">
        <f>AO73*Nøgletal!H657/IF(Nøgletal!H410&gt;0,Nøgletal!H410,1)*-1</f>
        <v>0</v>
      </c>
      <c r="AD73" s="32"/>
      <c r="AE73" s="32">
        <f>AO73*Nøgletal!H656/IF(Nøgletal!H403&gt;0,Nøgletal!H403,1)*-1</f>
        <v>0</v>
      </c>
      <c r="AF73" s="32"/>
      <c r="AG73" s="32"/>
      <c r="AH73" s="32"/>
      <c r="AI73" s="32"/>
      <c r="AJ73" s="105">
        <f t="shared" si="56"/>
        <v>-197.51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49.377499999999998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Nøgletal!H$282*Nøgletal!H288</f>
        <v>49.377499999999998</v>
      </c>
      <c r="BX73" s="78"/>
      <c r="BY73" s="127">
        <f t="shared" si="67"/>
        <v>148.13249999999999</v>
      </c>
      <c r="BZ73" s="123">
        <f>(C73*Emissionsfaktorer!$D$4+E73*Emissionsfaktorer!$D$3+F73*Emissionsfaktorer!$D$5+H73*Emissionsfaktorer!$D$7+I73*Emissionsfaktorer!$D$8+J73*Emissionsfaktorer!$D$9+K73*Emissionsfaktorer!$D$10+L73*Emissionsfaktorer!$D$11+M73*Emissionsfaktorer!$D$12)*-1</f>
        <v>14.586508519999999</v>
      </c>
    </row>
    <row r="74" spans="2:80" x14ac:dyDescent="0.25">
      <c r="B74" s="31"/>
      <c r="C74" s="78"/>
      <c r="D74" s="78"/>
      <c r="E74" s="78">
        <f>AO74*Nøgletal!H662/Nøgletal!H404*-1</f>
        <v>0</v>
      </c>
      <c r="F74" s="78"/>
      <c r="G74" s="23">
        <f t="shared" si="29"/>
        <v>-12.245459999999998</v>
      </c>
      <c r="H74" s="78"/>
      <c r="I74" s="78"/>
      <c r="J74" s="78"/>
      <c r="K74" s="78">
        <f>AO74*Nøgletal!H659/Nøgletal!H404*-1</f>
        <v>-12.245459999999998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-2.4539999999999992E-2</v>
      </c>
      <c r="U74" s="78">
        <f>AO75*Nøgletal!H661/Nøgletal!H404*-1</f>
        <v>0</v>
      </c>
      <c r="V74" s="78">
        <f>AO74*Nøgletal!H663/Nøgletal!H404*-1</f>
        <v>-2.4539999999999992E-2</v>
      </c>
      <c r="W74" s="78"/>
      <c r="X74" s="78"/>
      <c r="Y74" s="78"/>
      <c r="Z74" s="78"/>
      <c r="AA74" s="78"/>
      <c r="AB74" s="78">
        <f>AO74*Nøgletal!H660/Nøgletal!H404*-1</f>
        <v>0</v>
      </c>
      <c r="AC74" s="269">
        <f>AO74*Nøgletal!H665/Nøgletal!H410*-1</f>
        <v>0</v>
      </c>
      <c r="AD74" s="32"/>
      <c r="AE74" s="32">
        <f>AO74*Nøgletal!H664/Nøgletal!H404*-1</f>
        <v>0</v>
      </c>
      <c r="AF74" s="32"/>
      <c r="AG74" s="32"/>
      <c r="AH74" s="32"/>
      <c r="AI74" s="32"/>
      <c r="AJ74" s="105">
        <f t="shared" si="56"/>
        <v>-12.269999999999998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4.0490999999999993</v>
      </c>
      <c r="AP74" s="37">
        <f t="shared" ref="AP74:AP89" si="68">IF(AJ74=0,0,AO74/AJ74*-1)</f>
        <v>0.33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Nøgletal!H$282*Nøgletal!H289</f>
        <v>4.0490999999999993</v>
      </c>
      <c r="BX74" s="78"/>
      <c r="BY74" s="127">
        <f t="shared" si="67"/>
        <v>8.2208999999999985</v>
      </c>
      <c r="BZ74" s="123">
        <f>(C74*Emissionsfaktorer!$D$4+E74*Emissionsfaktorer!$D$3+F74*Emissionsfaktorer!$D$5+H74*Emissionsfaktorer!$D$7+I74*Emissionsfaktorer!$D$8+J74*Emissionsfaktorer!$D$9+K74*Emissionsfaktorer!$D$10+L74*Emissionsfaktorer!$D$11+M74*Emissionsfaktorer!$D$12)*-1</f>
        <v>0.90616403999999984</v>
      </c>
    </row>
    <row r="75" spans="2:80" x14ac:dyDescent="0.25">
      <c r="B75" s="31"/>
      <c r="C75" s="78"/>
      <c r="D75" s="78"/>
      <c r="E75" s="78">
        <f>AO75*Nøgletal!H670/Nøgletal!H405*-1</f>
        <v>0</v>
      </c>
      <c r="F75" s="78"/>
      <c r="G75" s="23">
        <f t="shared" si="29"/>
        <v>-369.2981759999999</v>
      </c>
      <c r="H75" s="78"/>
      <c r="I75" s="78"/>
      <c r="J75" s="78"/>
      <c r="K75" s="78">
        <f>AO75*Nøgletal!H667/Nøgletal!H405*-1</f>
        <v>-369.2981759999999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-0.59182399999999991</v>
      </c>
      <c r="U75" s="78">
        <f>AO76*Nøgletal!H669/Nøgletal!H405*-1</f>
        <v>0</v>
      </c>
      <c r="V75" s="78">
        <f>AO75*Nøgletal!H671/Nøgletal!H405*-1</f>
        <v>-0.59182399999999991</v>
      </c>
      <c r="W75" s="78"/>
      <c r="X75" s="78"/>
      <c r="Y75" s="78"/>
      <c r="Z75" s="78"/>
      <c r="AA75" s="78"/>
      <c r="AB75" s="78">
        <f>AO75*Nøgletal!H668/Nøgletal!H405*-1</f>
        <v>0</v>
      </c>
      <c r="AC75" s="269">
        <f>AO75*Nøgletal!H673/Nøgletal!H410*-1</f>
        <v>0</v>
      </c>
      <c r="AD75" s="32"/>
      <c r="AE75" s="32">
        <f>AO75*Nøgletal!H672/Nøgletal!H405*-1</f>
        <v>0</v>
      </c>
      <c r="AF75" s="32"/>
      <c r="AG75" s="32"/>
      <c r="AH75" s="32"/>
      <c r="AI75" s="32"/>
      <c r="AJ75" s="105">
        <f t="shared" si="56"/>
        <v>-369.88999999999987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122.06369999999997</v>
      </c>
      <c r="AP75" s="37">
        <f t="shared" si="68"/>
        <v>0.33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Nøgletal!H$282*Nøgletal!H290</f>
        <v>122.06369999999997</v>
      </c>
      <c r="BX75" s="78"/>
      <c r="BY75" s="127">
        <f t="shared" si="67"/>
        <v>247.82629999999989</v>
      </c>
      <c r="BZ75" s="123">
        <f>(C75*Emissionsfaktorer!$D$4+E75*Emissionsfaktorer!$D$3+F75*Emissionsfaktorer!$D$5+H75*Emissionsfaktorer!$D$7+I75*Emissionsfaktorer!$D$8+J75*Emissionsfaktorer!$D$9+K75*Emissionsfaktorer!$D$10+L75*Emissionsfaktorer!$D$11+M75*Emissionsfaktorer!$D$12)*-1</f>
        <v>27.32806502399999</v>
      </c>
    </row>
    <row r="76" spans="2:80" x14ac:dyDescent="0.25">
      <c r="B76" s="31"/>
      <c r="C76" s="78"/>
      <c r="D76" s="78"/>
      <c r="E76" s="78"/>
      <c r="F76" s="78"/>
      <c r="G76" s="23">
        <f t="shared" si="29"/>
        <v>-28</v>
      </c>
      <c r="H76" s="78"/>
      <c r="I76" s="78"/>
      <c r="J76" s="78"/>
      <c r="K76" s="78">
        <f>AO76*Nøgletal!H675/Nøgletal!H407*-1</f>
        <v>-28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AO76*Nøgletal!H676/Nøgletal!H407*-1</f>
        <v>0</v>
      </c>
      <c r="W76" s="78"/>
      <c r="X76" s="78"/>
      <c r="Y76" s="78"/>
      <c r="Z76" s="78"/>
      <c r="AA76" s="78"/>
      <c r="AB76" s="78"/>
      <c r="AC76" s="269">
        <f>AO76*Nøgletal!H678/Nøgletal!H410*-1</f>
        <v>0</v>
      </c>
      <c r="AD76" s="32"/>
      <c r="AE76" s="32">
        <f>AO76*Nøgletal!H677/Nøgletal!H407*-1</f>
        <v>0</v>
      </c>
      <c r="AF76" s="32"/>
      <c r="AG76" s="32"/>
      <c r="AH76" s="32"/>
      <c r="AI76" s="32"/>
      <c r="AJ76" s="105">
        <f t="shared" si="56"/>
        <v>-28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9.24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Nøgletal!H$282*Nøgletal!H291</f>
        <v>9.24</v>
      </c>
      <c r="BX76" s="78"/>
      <c r="BY76" s="127">
        <f t="shared" si="67"/>
        <v>18.759999999999998</v>
      </c>
      <c r="BZ76" s="123">
        <f>(C76*Emissionsfaktorer!$D$4+E76*Emissionsfaktorer!$D$3+F76*Emissionsfaktorer!$D$5+H76*Emissionsfaktorer!$D$7+I76*Emissionsfaktorer!$D$8+J76*Emissionsfaktorer!$D$9+K76*Emissionsfaktorer!$D$10+L76*Emissionsfaktorer!$D$11+M76*Emissionsfaktorer!$D$12)*-1</f>
        <v>2.0720000000000001</v>
      </c>
    </row>
    <row r="77" spans="2:80" x14ac:dyDescent="0.25">
      <c r="B77" s="31"/>
      <c r="C77" s="78"/>
      <c r="D77" s="78"/>
      <c r="E77" s="78"/>
      <c r="F77" s="78"/>
      <c r="G77" s="23">
        <f t="shared" si="29"/>
        <v>-318.99999999999994</v>
      </c>
      <c r="H77" s="78"/>
      <c r="I77" s="78"/>
      <c r="J77" s="78"/>
      <c r="K77" s="78"/>
      <c r="L77" s="78">
        <f>AO77*Nøgletal!H680/Nøgletal!H408*-1</f>
        <v>-318.19999999999993</v>
      </c>
      <c r="M77" s="78">
        <f>AO77*Nøgletal!H681/Nøgletal!H408*-1</f>
        <v>-0.79999999999999982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AO77*Nøgletal!H682/Nøgletal!H407*-1</f>
        <v>0</v>
      </c>
      <c r="W77" s="78"/>
      <c r="X77" s="78"/>
      <c r="Y77" s="78"/>
      <c r="Z77" s="78"/>
      <c r="AA77" s="78"/>
      <c r="AB77" s="78"/>
      <c r="AC77" s="269">
        <f>AO77*Nøgletal!H684/Nøgletal!H410</f>
        <v>0</v>
      </c>
      <c r="AD77" s="32"/>
      <c r="AE77" s="32">
        <f>AO77*Nøgletal!H683/Nøgletal!H408*-1</f>
        <v>0</v>
      </c>
      <c r="AF77" s="32"/>
      <c r="AG77" s="32"/>
      <c r="AH77" s="32"/>
      <c r="AI77" s="32"/>
      <c r="AJ77" s="105">
        <f t="shared" si="56"/>
        <v>-318.99999999999994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105.27</v>
      </c>
      <c r="AP77" s="37">
        <f t="shared" si="68"/>
        <v>0.33000000000000007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Nøgletal!H$282*Nøgletal!H292</f>
        <v>105.27</v>
      </c>
      <c r="BX77" s="78"/>
      <c r="BY77" s="127">
        <f t="shared" si="67"/>
        <v>213.72999999999996</v>
      </c>
      <c r="BZ77" s="123">
        <f>(C77*Emissionsfaktorer!$D$4+E77*Emissionsfaktorer!$D$3+F77*Emissionsfaktorer!$D$5+H77*Emissionsfaktorer!$D$7+I77*Emissionsfaktorer!$D$8+J77*Emissionsfaktorer!$D$9+K77*Emissionsfaktorer!$D$10+L77*Emissionsfaktorer!$D$11+M77*Emissionsfaktorer!$D$12)*-1</f>
        <v>22.968799999999991</v>
      </c>
    </row>
    <row r="78" spans="2:80" x14ac:dyDescent="0.25">
      <c r="B78" s="31"/>
      <c r="C78" s="78"/>
      <c r="D78" s="78"/>
      <c r="E78" s="78"/>
      <c r="F78" s="78"/>
      <c r="G78" s="23">
        <f t="shared" si="29"/>
        <v>-67.899999999999991</v>
      </c>
      <c r="H78" s="78"/>
      <c r="I78" s="78">
        <f>-AO78/Nøgletal!H409*Nøgletal!H686</f>
        <v>-9.3999999999999986</v>
      </c>
      <c r="J78" s="78"/>
      <c r="K78" s="78">
        <f>AO78*Nøgletal!H687/Nøgletal!H409*-1</f>
        <v>-58.499999999999993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AO78*Nøgletal!H688/Nøgletal!H409*-1</f>
        <v>0</v>
      </c>
      <c r="W78" s="78"/>
      <c r="X78" s="78"/>
      <c r="Y78" s="78"/>
      <c r="Z78" s="78"/>
      <c r="AA78" s="78"/>
      <c r="AB78" s="78"/>
      <c r="AC78" s="269">
        <f>AO78*Nøgletal!H690/Nøgletal!H410*-1</f>
        <v>0</v>
      </c>
      <c r="AD78" s="32"/>
      <c r="AE78" s="32">
        <f>AO78*Nøgletal!H689/Nøgletal!H409*-1</f>
        <v>0</v>
      </c>
      <c r="AF78" s="32"/>
      <c r="AG78" s="32"/>
      <c r="AH78" s="32"/>
      <c r="AI78" s="32"/>
      <c r="AJ78" s="105">
        <f t="shared" si="56"/>
        <v>-67.899999999999991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22.407000000000004</v>
      </c>
      <c r="AP78" s="37">
        <f t="shared" si="68"/>
        <v>0.33000000000000007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Nøgletal!H$282*Nøgletal!H293</f>
        <v>22.407000000000004</v>
      </c>
      <c r="BX78" s="78"/>
      <c r="BY78" s="127">
        <f t="shared" si="67"/>
        <v>45.492999999999988</v>
      </c>
      <c r="BZ78" s="123">
        <f>(C78*Emissionsfaktorer!$D$4+E78*Emissionsfaktorer!$D$3+F78*Emissionsfaktorer!$D$5+H78*Emissionsfaktorer!$D$7+I78*Emissionsfaktorer!$D$8+J78*Emissionsfaktorer!$D$9+K78*Emissionsfaktorer!$D$10+L78*Emissionsfaktorer!$D$11+M78*Emissionsfaktorer!$D$12)*-1</f>
        <v>5.0621999999999989</v>
      </c>
    </row>
    <row r="79" spans="2:80" x14ac:dyDescent="0.25">
      <c r="B79" s="31"/>
      <c r="C79" s="21"/>
      <c r="D79" s="21"/>
      <c r="E79" s="21">
        <f>Nøgletal!H37*Nøgletal!H38*Nøgletal!H43/Nøgletal!I391*-1</f>
        <v>-0.63</v>
      </c>
      <c r="F79" s="21"/>
      <c r="G79" s="20">
        <f t="shared" si="29"/>
        <v>-135.44</v>
      </c>
      <c r="H79" s="21">
        <f>Nøgletal!H34/Nøgletal!I389*-1</f>
        <v>-4.4400000000000004</v>
      </c>
      <c r="I79" s="21"/>
      <c r="J79" s="21">
        <f>Nøgletal!H37*Nøgletal!H38*Nøgletal!H42/Nøgletal!I390*-1</f>
        <v>-131</v>
      </c>
      <c r="K79" s="21"/>
      <c r="L79" s="21"/>
      <c r="M79" s="21"/>
      <c r="N79" s="20">
        <f t="shared" si="32"/>
        <v>-3.306</v>
      </c>
      <c r="O79" s="21"/>
      <c r="P79" s="21"/>
      <c r="Q79" s="21">
        <f>Nøgletal!H37*Nøgletal!H38*Nøgletal!H47/Nøgletal!I395*-1</f>
        <v>-2.8</v>
      </c>
      <c r="R79" s="21"/>
      <c r="S79" s="21">
        <f>Nøgletal!H37*Nøgletal!H38*Nøgletal!H41*(1-1/Nøgletal!I388)*-1</f>
        <v>-0.50600000000000012</v>
      </c>
      <c r="T79" s="20">
        <f t="shared" si="30"/>
        <v>-243.99999999999997</v>
      </c>
      <c r="U79" s="21"/>
      <c r="V79" s="21"/>
      <c r="W79" s="21">
        <f>Nøgletal!H37*Nøgletal!H38*Nøgletal!H46/Nøgletal!I394*-1</f>
        <v>-33</v>
      </c>
      <c r="X79" s="21">
        <f>Nøgletal!H37*Nøgletal!H38*Nøgletal!H45/Nøgletal!I393*-1</f>
        <v>-168.99999999999997</v>
      </c>
      <c r="Y79" s="21">
        <f>Nøgletal!H37*Nøgletal!H38*Nøgletal!H44/Nøgletal!I392*-1</f>
        <v>-42</v>
      </c>
      <c r="Z79" s="21"/>
      <c r="AA79" s="21"/>
      <c r="AB79" s="21"/>
      <c r="AC79" s="79">
        <f>-(Nøgletal!H31/Nøgletal!H$385+Nøgletal!H32/Nøgletal!H$386+Nøgletal!H33/Nøgletal!H$387+Nøgletal!H30/Nøgletal!H382+Nøgletal!H37*Nøgletal!H38*Nøgletal!H48/Nøgletal!H384+Nøgletal!H37*Nøgletal!H38*Nøgletal!H49/Nøgletal!H383+Nøgletal!H37*Nøgletal!H38*Nøgletal!H41/Nøgletal!I388)</f>
        <v>-322.06062372916983</v>
      </c>
      <c r="AD79" s="21">
        <f>Nøgletal!H37*Nøgletal!H39*-1</f>
        <v>-1252.467395712624</v>
      </c>
      <c r="AE79" s="21"/>
      <c r="AF79" s="21"/>
      <c r="AG79" s="21"/>
      <c r="AH79" s="21"/>
      <c r="AI79" s="21"/>
      <c r="AJ79" s="105">
        <f t="shared" si="56"/>
        <v>-1957.9040194417939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1803.759230694571</v>
      </c>
      <c r="AP79" s="37">
        <f t="shared" si="68"/>
        <v>0.92127050804504185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Nøgletal!H28</f>
        <v>1803.759230694571</v>
      </c>
      <c r="BX79" s="79"/>
      <c r="BY79" s="127">
        <f t="shared" si="67"/>
        <v>154.14478874722295</v>
      </c>
      <c r="BZ79" s="123">
        <f>(C79*Emissionsfaktorer!$D$4+E79*Emissionsfaktorer!$D$3+F79*Emissionsfaktorer!$D$5+H79*Emissionsfaktorer!$D$7+I79*Emissionsfaktorer!$D$8+J79*Emissionsfaktorer!$D$9+K79*Emissionsfaktorer!$D$10+L79*Emissionsfaktorer!$D$11+M79*Emissionsfaktorer!$D$12)*-1</f>
        <v>10.018314699999999</v>
      </c>
    </row>
    <row r="80" spans="2:80" x14ac:dyDescent="0.25"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-415.92038400000001</v>
      </c>
      <c r="AD80" s="21">
        <f>SUM(AD81:AD83)</f>
        <v>-578.06187494428798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-993.98225894428799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933.72325119028801</v>
      </c>
      <c r="AP80" s="37">
        <f t="shared" si="68"/>
        <v>0.93937617375786842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933.72325119028801</v>
      </c>
      <c r="BX80" s="79"/>
      <c r="BY80" s="230">
        <f>SUM(BY81:BY83)</f>
        <v>60.259007754000038</v>
      </c>
      <c r="BZ80" s="123">
        <f>(C80*Emissionsfaktorer!$D$4+E80*Emissionsfaktorer!$D$3+F80*Emissionsfaktorer!$D$5+H80*Emissionsfaktorer!$D$7+I80*Emissionsfaktorer!$D$8+J80*Emissionsfaktorer!$D$9+K80*Emissionsfaktorer!$D$10+L80*Emissionsfaktorer!$D$11+M80*Emissionsfaktorer!$D$12)*-1</f>
        <v>0</v>
      </c>
    </row>
    <row r="81" spans="2:80" x14ac:dyDescent="0.25">
      <c r="B81" s="31"/>
      <c r="C81" s="32"/>
      <c r="D81" s="32"/>
      <c r="E81" s="32">
        <f>Nøgletal!H65*Nøgletal!H66*Nøgletal!H71/Nøgletal!I391*-1</f>
        <v>0</v>
      </c>
      <c r="F81" s="32"/>
      <c r="G81" s="23">
        <f t="shared" si="29"/>
        <v>0</v>
      </c>
      <c r="H81" s="32">
        <f>Nøgletal!H62/Nøgletal!I389*-1</f>
        <v>0</v>
      </c>
      <c r="I81" s="32"/>
      <c r="J81" s="32">
        <f>Nøgletal!H65*Nøgletal!H66*Nøgletal!H70/Nøgletal!I390*-1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Nøgletal!H65*Nøgletal!H66*Nøgletal!H75/Nøgletal!I395*-1</f>
        <v>0</v>
      </c>
      <c r="R81" s="32"/>
      <c r="S81" s="32">
        <f>Nøgletal!H65*Nøgletal!H66*Nøgletal!H69*(1-1/Nøgletal!I388)*-1</f>
        <v>0</v>
      </c>
      <c r="T81" s="23">
        <f t="shared" si="30"/>
        <v>0</v>
      </c>
      <c r="U81" s="32"/>
      <c r="V81" s="32"/>
      <c r="W81" s="32">
        <f>Nøgletal!H65*Nøgletal!H66*Nøgletal!H74/Nøgletal!I394*-1</f>
        <v>0</v>
      </c>
      <c r="X81" s="32">
        <f>Nøgletal!H65*Nøgletal!H66*Nøgletal!H73/Nøgletal!I393*-1</f>
        <v>0</v>
      </c>
      <c r="Y81" s="32">
        <f>Nøgletal!H65*Nøgletal!H66*Nøgletal!H72/Nøgletal!I392*-1</f>
        <v>0</v>
      </c>
      <c r="Z81" s="32"/>
      <c r="AA81" s="32"/>
      <c r="AB81" s="32"/>
      <c r="AC81" s="78">
        <f>-(Nøgletal!H59/Nøgletal!H$385+Nøgletal!H60/Nøgletal!H$386+Nøgletal!H61/Nøgletal!H$387+Nøgletal!H65*Nøgletal!H66*Nøgletal!H76/Nøgletal!H384+Nøgletal!H65*Nøgletal!H66*Nøgletal!H69/Nøgletal!I388+Nøgletal!H77*Nøgletal!H65*Nøgletal!H66/Nøgletal!H383)</f>
        <v>-196.69537800000001</v>
      </c>
      <c r="AD81" s="32">
        <f>Nøgletal!H65*Nøgletal!H67*-1</f>
        <v>-180.89011052678399</v>
      </c>
      <c r="AE81" s="32"/>
      <c r="AF81" s="32"/>
      <c r="AG81" s="32"/>
      <c r="AH81" s="32"/>
      <c r="AI81" s="32"/>
      <c r="AJ81" s="105">
        <f t="shared" si="56"/>
        <v>-377.58548852678399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329.49346860578396</v>
      </c>
      <c r="AP81" s="37">
        <f t="shared" si="68"/>
        <v>0.87263276428170089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Nøgletal!H57</f>
        <v>329.49346860578396</v>
      </c>
      <c r="BX81" s="78"/>
      <c r="BY81" s="127">
        <f>(AJ81+BW81)*-1</f>
        <v>48.092019921000031</v>
      </c>
      <c r="BZ81" s="123">
        <f>(C81*Emissionsfaktorer!$D$4+E81*Emissionsfaktorer!$D$3+F81*Emissionsfaktorer!$D$5+H81*Emissionsfaktorer!$D$7+I81*Emissionsfaktorer!$D$8+J81*Emissionsfaktorer!$D$9+K81*Emissionsfaktorer!$D$10+L81*Emissionsfaktorer!$D$11+M81*Emissionsfaktorer!$D$12)*-1</f>
        <v>0</v>
      </c>
    </row>
    <row r="82" spans="2:80" x14ac:dyDescent="0.25">
      <c r="B82" s="31"/>
      <c r="C82" s="32"/>
      <c r="D82" s="32"/>
      <c r="E82" s="32">
        <f>Nøgletal!H93*Nøgletal!H94*Nøgletal!H99/Nøgletal!I391*-1</f>
        <v>0</v>
      </c>
      <c r="F82" s="32"/>
      <c r="G82" s="23">
        <f t="shared" si="29"/>
        <v>0</v>
      </c>
      <c r="H82" s="32">
        <f>Nøgletal!H90/Nøgletal!I389*-1</f>
        <v>0</v>
      </c>
      <c r="I82" s="32"/>
      <c r="J82" s="32">
        <f>Nøgletal!H93*Nøgletal!H94*Nøgletal!H98/Nøgletal!I390*-1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Nøgletal!H93*Nøgletal!H94*Nøgletal!H103/Nøgletal!I395*-1</f>
        <v>0</v>
      </c>
      <c r="R82" s="32"/>
      <c r="S82" s="32">
        <f>Nøgletal!H93*Nøgletal!H94*Nøgletal!H97*(1-1/Nøgletal!I388)*-1</f>
        <v>0</v>
      </c>
      <c r="T82" s="23">
        <f t="shared" si="30"/>
        <v>0</v>
      </c>
      <c r="U82" s="32"/>
      <c r="V82" s="32"/>
      <c r="W82" s="32">
        <f>Nøgletal!H93*Nøgletal!H94*Nøgletal!H102/Nøgletal!I394*-1</f>
        <v>0</v>
      </c>
      <c r="X82" s="32">
        <f>Nøgletal!H93*Nøgletal!H94*Nøgletal!H101/Nøgletal!I393*-1</f>
        <v>0</v>
      </c>
      <c r="Y82" s="32">
        <f>Nøgletal!H93*Nøgletal!H94*Nøgletal!H100/Nøgletal!I392*-1</f>
        <v>0</v>
      </c>
      <c r="Z82" s="32"/>
      <c r="AA82" s="32"/>
      <c r="AB82" s="32"/>
      <c r="AC82" s="78">
        <f>-(Nøgletal!H87/Nøgletal!H$385+Nøgletal!H88/Nøgletal!H$386+Nøgletal!H89/Nøgletal!H$387+Nøgletal!H93*Nøgletal!H94*(Nøgletal!H97/Nøgletal!I388+Nøgletal!H104/Nøgletal!H384+Nøgletal!H105/Nøgletal!H383))</f>
        <v>-113.46743880000001</v>
      </c>
      <c r="AD82" s="32">
        <f>Nøgletal!H93*Nøgletal!H95*-1</f>
        <v>-259.537984668864</v>
      </c>
      <c r="AE82" s="32"/>
      <c r="AF82" s="32"/>
      <c r="AG82" s="32"/>
      <c r="AH82" s="32"/>
      <c r="AI82" s="32"/>
      <c r="AJ82" s="105">
        <f t="shared" si="56"/>
        <v>-373.00542346886402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366.70798061546401</v>
      </c>
      <c r="AP82" s="37">
        <f t="shared" si="68"/>
        <v>0.98311702067268825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Nøgletal!H85</f>
        <v>366.70798061546401</v>
      </c>
      <c r="BX82" s="78"/>
      <c r="BY82" s="127">
        <f>(AJ82+BW82)*-1</f>
        <v>6.297442853400014</v>
      </c>
      <c r="BZ82" s="123">
        <f>(C82*Emissionsfaktorer!$D$4+E82*Emissionsfaktorer!$D$3+F82*Emissionsfaktorer!$D$5+H82*Emissionsfaktorer!$D$7+I82*Emissionsfaktorer!$D$8+J82*Emissionsfaktorer!$D$9+K82*Emissionsfaktorer!$D$10+L82*Emissionsfaktorer!$D$11+M82*Emissionsfaktorer!$D$12)*-1</f>
        <v>0</v>
      </c>
    </row>
    <row r="83" spans="2:80" x14ac:dyDescent="0.25">
      <c r="B83" s="31"/>
      <c r="C83" s="32"/>
      <c r="D83" s="32"/>
      <c r="E83" s="32">
        <f>Nøgletal!H121*Nøgletal!H122*Nøgletal!H127/Nøgletal!I391*-1</f>
        <v>0</v>
      </c>
      <c r="F83" s="32"/>
      <c r="G83" s="23">
        <f t="shared" si="29"/>
        <v>0</v>
      </c>
      <c r="H83" s="32">
        <f>Nøgletal!H118/Nøgletal!I389*-1</f>
        <v>0</v>
      </c>
      <c r="I83" s="32"/>
      <c r="J83" s="32">
        <f>Nøgletal!H121*Nøgletal!H122*Nøgletal!H126/Nøgletal!I390*-1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Nøgletal!H121*Nøgletal!H122*Nøgletal!H131/Nøgletal!I395*-1</f>
        <v>0</v>
      </c>
      <c r="R83" s="32"/>
      <c r="S83" s="32">
        <f>Nøgletal!H121*Nøgletal!H122*Nøgletal!H125*(1-1/Nøgletal!I388)*-1</f>
        <v>0</v>
      </c>
      <c r="T83" s="23">
        <f t="shared" si="30"/>
        <v>0</v>
      </c>
      <c r="U83" s="32"/>
      <c r="V83" s="32"/>
      <c r="W83" s="32">
        <f>Nøgletal!H121*Nøgletal!H122*Nøgletal!H130/Nøgletal!I394*-1</f>
        <v>0</v>
      </c>
      <c r="X83" s="32">
        <f>Nøgletal!H121*Nøgletal!H122*Nøgletal!H129/Nøgletal!I392*-1</f>
        <v>0</v>
      </c>
      <c r="Y83" s="32">
        <f>Nøgletal!H121*Nøgletal!H122*Nøgletal!H128/Nøgletal!I392*-1</f>
        <v>0</v>
      </c>
      <c r="Z83" s="32"/>
      <c r="AA83" s="32"/>
      <c r="AB83" s="32"/>
      <c r="AC83" s="78">
        <f>-(Nøgletal!H115/Nøgletal!H$385+Nøgletal!H116/Nøgletal!H$386+Nøgletal!H117/Nøgletal!H$387+Nøgletal!H121*Nøgletal!H122*(Nøgletal!H125/Nøgletal!I388+Nøgletal!H132/Nøgletal!H384+Nøgletal!H133/Nøgletal!H383))</f>
        <v>-105.75756720000001</v>
      </c>
      <c r="AD83" s="32">
        <f>Nøgletal!H121*Nøgletal!H123*-1</f>
        <v>-137.63377974864002</v>
      </c>
      <c r="AE83" s="32"/>
      <c r="AF83" s="32"/>
      <c r="AG83" s="32"/>
      <c r="AH83" s="32"/>
      <c r="AI83" s="32"/>
      <c r="AJ83" s="105">
        <f t="shared" si="56"/>
        <v>-243.39134694864003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237.52180196904004</v>
      </c>
      <c r="AP83" s="37">
        <f t="shared" si="68"/>
        <v>0.97588433174315525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Nøgletal!H113</f>
        <v>237.52180196904004</v>
      </c>
      <c r="BX83" s="78"/>
      <c r="BY83" s="127">
        <f>(AJ83+BW83)*-1</f>
        <v>5.8695449795999934</v>
      </c>
      <c r="BZ83" s="123">
        <f>(C83*Emissionsfaktorer!$D$4+E83*Emissionsfaktorer!$D$3+F83*Emissionsfaktorer!$D$5+H83*Emissionsfaktorer!$D$7+I83*Emissionsfaktorer!$D$8+J83*Emissionsfaktorer!$D$9+K83*Emissionsfaktorer!$D$10+L83*Emissionsfaktorer!$D$11+M83*Emissionsfaktorer!$D$12)*-1</f>
        <v>0</v>
      </c>
    </row>
    <row r="84" spans="2:80" x14ac:dyDescent="0.25"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-271.13</v>
      </c>
      <c r="F84" s="266">
        <f t="shared" si="71"/>
        <v>0</v>
      </c>
      <c r="G84" s="266">
        <f t="shared" si="71"/>
        <v>-78.661760000000001</v>
      </c>
      <c r="H84" s="266">
        <f t="shared" si="71"/>
        <v>-13.319999999999999</v>
      </c>
      <c r="I84" s="266">
        <f t="shared" si="71"/>
        <v>0</v>
      </c>
      <c r="J84" s="266">
        <f t="shared" si="71"/>
        <v>-29</v>
      </c>
      <c r="K84" s="266">
        <f t="shared" si="71"/>
        <v>-36.341760000000001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-5.8240000000000007E-2</v>
      </c>
      <c r="U84" s="266">
        <f t="shared" si="71"/>
        <v>0</v>
      </c>
      <c r="V84" s="266">
        <f t="shared" si="71"/>
        <v>-5.8240000000000007E-2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-446.36032800000004</v>
      </c>
      <c r="AD84" s="266">
        <f t="shared" si="71"/>
        <v>-135.667582895088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-188.70390000000003</v>
      </c>
      <c r="AI84" s="266">
        <f t="shared" si="71"/>
        <v>0</v>
      </c>
      <c r="AJ84" s="105">
        <f>SUM(AJ85:AJ88)</f>
        <v>-931.87791089508801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1003.4263309670881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1003.4263309670881</v>
      </c>
      <c r="BX84" s="266">
        <f t="shared" si="72"/>
        <v>0</v>
      </c>
      <c r="BY84" s="123">
        <f t="shared" si="72"/>
        <v>-71.548420072000098</v>
      </c>
      <c r="BZ84" s="123">
        <f t="shared" si="72"/>
        <v>21.071449940000001</v>
      </c>
    </row>
    <row r="85" spans="2:80" x14ac:dyDescent="0.25">
      <c r="B85" s="31"/>
      <c r="C85" s="32"/>
      <c r="D85" s="32"/>
      <c r="E85" s="32">
        <f>Nøgletal!H149*Nøgletal!H150*Nøgletal!H155/Nøgletal!I391*-1</f>
        <v>0</v>
      </c>
      <c r="F85" s="32"/>
      <c r="G85" s="23">
        <f>SUM(H85:M85)</f>
        <v>0</v>
      </c>
      <c r="H85" s="32">
        <f>Nøgletal!H146/Nøgletal!I389*-1</f>
        <v>0</v>
      </c>
      <c r="I85" s="32"/>
      <c r="J85" s="32">
        <f>Nøgletal!H149*Nøgletal!H150*Nøgletal!H154/Nøgletal!I390*-1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Nøgletal!H149*Nøgletal!H150*Nøgletal!H159/Nøgletal!I395*-1</f>
        <v>0</v>
      </c>
      <c r="R85" s="32"/>
      <c r="S85" s="32">
        <f>Nøgletal!H149*Nøgletal!H150*Nøgletal!H153*(1-1/Nøgletal!I388)*-1</f>
        <v>0</v>
      </c>
      <c r="T85" s="23">
        <f>SUM(U85:AB85)</f>
        <v>0</v>
      </c>
      <c r="U85" s="32"/>
      <c r="V85" s="32"/>
      <c r="W85" s="32">
        <f>Nøgletal!H149*Nøgletal!H150*Nøgletal!H158/Nøgletal!I394*-1</f>
        <v>0</v>
      </c>
      <c r="X85" s="32">
        <f>Nøgletal!H149*Nøgletal!H150*Nøgletal!H157/Nøgletal!I393*-1</f>
        <v>0</v>
      </c>
      <c r="Y85" s="32">
        <f>Nøgletal!H149*Nøgletal!H150*Nøgletal!H156/Nøgletal!I392*-1</f>
        <v>0</v>
      </c>
      <c r="Z85" s="32"/>
      <c r="AA85" s="32"/>
      <c r="AB85" s="32"/>
      <c r="AC85" s="78">
        <f>-(Nøgletal!H143/Nøgletal!H$385+Nøgletal!H144/Nøgletal!H$386+Nøgletal!H145/Nøgletal!H$387+Nøgletal!H149*Nøgletal!H150*(Nøgletal!H153/Nøgletal!I388+Nøgletal!H160/Nøgletal!H384+Nøgletal!H161/Nøgletal!H383))</f>
        <v>-11.405401200000002</v>
      </c>
      <c r="AD85" s="32">
        <f>Nøgletal!H149*Nøgletal!H151*-1</f>
        <v>0</v>
      </c>
      <c r="AE85" s="32"/>
      <c r="AF85" s="32"/>
      <c r="AG85" s="32"/>
      <c r="AH85" s="32"/>
      <c r="AI85" s="32"/>
      <c r="AJ85" s="105">
        <f>SUM(C85:G85,N85,T85,AC85:AG85)</f>
        <v>-11.405401200000002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10.0481584572</v>
      </c>
      <c r="AP85" s="37">
        <f t="shared" si="68"/>
        <v>0.88099999999999978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Nøgletal!H141</f>
        <v>10.0481584572</v>
      </c>
      <c r="BX85" s="78"/>
      <c r="BY85" s="127">
        <f>(AJ85+BW85)*-1</f>
        <v>1.3572427428000022</v>
      </c>
      <c r="BZ85" s="123">
        <f>(C85*Emissionsfaktorer!$D$4+E85*Emissionsfaktorer!$D$3+F85*Emissionsfaktorer!$D$5+H85*Emissionsfaktorer!$D$7+I85*Emissionsfaktorer!$D$8+J85*Emissionsfaktorer!$D$9+K85*Emissionsfaktorer!$D$10+L85*Emissionsfaktorer!$D$11+M85*Emissionsfaktorer!$D$12)*-1</f>
        <v>0</v>
      </c>
    </row>
    <row r="86" spans="2:80" x14ac:dyDescent="0.25">
      <c r="B86" s="31"/>
      <c r="C86" s="32"/>
      <c r="D86" s="32"/>
      <c r="E86" s="78">
        <f>Nøgletal!H181*Nøgletal!H182*Nøgletal!H187/Nøgletal!I391*-1+Nøgletal!H177/Nøgletal!I397*Nøgletal!H413*-1+Nøgletal!H178/Nøgletal!I398*Nøgletal!H424*-1</f>
        <v>-271.13</v>
      </c>
      <c r="F86" s="32">
        <f>Nøgletal!H178/Nøgletal!I398*Nøgletal!H427*-1</f>
        <v>0</v>
      </c>
      <c r="G86" s="23">
        <f>SUM(H86:M86)</f>
        <v>-42.32</v>
      </c>
      <c r="H86" s="32">
        <f>Nøgletal!H175/Nøgletal!I389*-1</f>
        <v>-13.319999999999999</v>
      </c>
      <c r="I86" s="32">
        <f>Nøgletal!H178/Nøgletal!I398*Nøgletal!H425*-1</f>
        <v>0</v>
      </c>
      <c r="J86" s="32">
        <f>Nøgletal!H181*Nøgletal!H182*Nøgletal!H186/Nøgletal!I390*-1+Nøgletal!H176/Nøgletal!I396*Nøgletal!H416*-1</f>
        <v>-29</v>
      </c>
      <c r="K86" s="32"/>
      <c r="L86" s="32"/>
      <c r="M86" s="32"/>
      <c r="N86" s="23">
        <f>SUM(O86:S86)</f>
        <v>0</v>
      </c>
      <c r="O86" s="32"/>
      <c r="P86" s="32"/>
      <c r="Q86" s="32">
        <f>Nøgletal!H181*Nøgletal!H182*Nøgletal!H191/Nøgletal!I395*-1</f>
        <v>0</v>
      </c>
      <c r="R86" s="32"/>
      <c r="S86" s="32">
        <f>Nøgletal!H181*Nøgletal!H182*Nøgletal!H185*(1-1/Nøgletal!I388)*-1</f>
        <v>0</v>
      </c>
      <c r="T86" s="23">
        <f>SUM(U86:AB86)</f>
        <v>0</v>
      </c>
      <c r="U86" s="32"/>
      <c r="V86" s="32"/>
      <c r="W86" s="32">
        <f>Nøgletal!H181*Nøgletal!H182*Nøgletal!H190/Nøgletal!I394*-1</f>
        <v>0</v>
      </c>
      <c r="X86" s="32">
        <f>Nøgletal!$H$177/Nøgletal!$I$397*Nøgletal!$H$414*-1+Nøgletal!H176/Nøgletal!I396*Nøgletal!H417*-1</f>
        <v>0</v>
      </c>
      <c r="Y86" s="32">
        <f>Nøgletal!H178/Nøgletal!I398*Nøgletal!H426*-1</f>
        <v>0</v>
      </c>
      <c r="Z86" s="32"/>
      <c r="AA86" s="32"/>
      <c r="AB86" s="32"/>
      <c r="AC86" s="78">
        <f>-(Nøgletal!H171/Nøgletal!H$385+Nøgletal!H172/Nøgletal!H$386+Nøgletal!H173/Nøgletal!H$387+Nøgletal!H181*Nøgletal!H182*(Nøgletal!H185/Nøgletal!I388+Nøgletal!H192/Nøgletal!H384+Nøgletal!H193/Nøgletal!H383))</f>
        <v>-413.40491280000003</v>
      </c>
      <c r="AD86" s="32">
        <f>(Nøgletal!H181*Nøgletal!H183+Nøgletal!H202)*-1</f>
        <v>-98.309842677600017</v>
      </c>
      <c r="AE86" s="32"/>
      <c r="AF86" s="32"/>
      <c r="AG86" s="32"/>
      <c r="AH86" s="269">
        <f>AH68</f>
        <v>-188.70390000000003</v>
      </c>
      <c r="AI86" s="32"/>
      <c r="AJ86" s="105">
        <f>SUM(C86:G86,N86,T86,AC86:AG86)</f>
        <v>-825.16475547760001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926.40207085440011</v>
      </c>
      <c r="AP86" s="37">
        <f t="shared" si="68"/>
        <v>1.1226873963105763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Nøgletal!H169</f>
        <v>926.40207085440011</v>
      </c>
      <c r="BX86" s="78"/>
      <c r="BY86" s="127">
        <f>(AJ86+BW86)*-1</f>
        <v>-101.2373153768001</v>
      </c>
      <c r="BZ86" s="123">
        <f>(C86*Emissionsfaktorer!$D$4+E86*Emissionsfaktorer!$D$3+F86*Emissionsfaktorer!$D$5+H86*Emissionsfaktorer!$D$7+I86*Emissionsfaktorer!$D$8+J86*Emissionsfaktorer!$D$9+K86*Emissionsfaktorer!$D$10+L86*Emissionsfaktorer!$D$11+M86*Emissionsfaktorer!$D$12)*-1</f>
        <v>18.382159699999999</v>
      </c>
    </row>
    <row r="87" spans="2:80" x14ac:dyDescent="0.25">
      <c r="B87" s="31"/>
      <c r="C87" s="32"/>
      <c r="D87" s="32"/>
      <c r="E87" s="32">
        <f>Nøgletal!H211*Nøgletal!H212*Nøgletal!H217/Nøgletal!I391*-1</f>
        <v>0</v>
      </c>
      <c r="F87" s="32"/>
      <c r="G87" s="23">
        <f>SUM(H87:M87)</f>
        <v>0</v>
      </c>
      <c r="H87" s="32">
        <f>Nøgletal!H208/Nøgletal!I389*-1</f>
        <v>0</v>
      </c>
      <c r="I87" s="149"/>
      <c r="J87" s="32">
        <f>Nøgletal!H211*Nøgletal!H212*Nøgletal!H216/Nøgletal!I390*-1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Nøgletal!H211*Nøgletal!H212*Nøgletal!H221/Nøgletal!I395*-1</f>
        <v>0</v>
      </c>
      <c r="R87" s="32"/>
      <c r="S87" s="32">
        <f>Nøgletal!H211*Nøgletal!H212*Nøgletal!H215*(1-1/Nøgletal!I388)*-1</f>
        <v>0</v>
      </c>
      <c r="T87" s="23">
        <f>SUM(U87:AB87)</f>
        <v>0</v>
      </c>
      <c r="U87" s="32"/>
      <c r="V87" s="32"/>
      <c r="W87" s="32">
        <f>Nøgletal!H211*Nøgletal!H212*Nøgletal!H220/Nøgletal!I394*-1</f>
        <v>0</v>
      </c>
      <c r="X87" s="32">
        <f>Nøgletal!H211*Nøgletal!H212*Nøgletal!H219/Nøgletal!I393*-1</f>
        <v>0</v>
      </c>
      <c r="Y87" s="32">
        <f>Nøgletal!H211*Nøgletal!H212*Nøgletal!H218/Nøgletal!I392*-1</f>
        <v>0</v>
      </c>
      <c r="Z87" s="32"/>
      <c r="AA87" s="32"/>
      <c r="AB87" s="32"/>
      <c r="AC87" s="78">
        <f>-(Nøgletal!H205/Nøgletal!H$385+Nøgletal!H206/Nøgletal!H$386+Nøgletal!H207/Nøgletal!H$387+Nøgletal!H211*Nøgletal!H212*(Nøgletal!H215/Nøgletal!I388+Nøgletal!H222/Nøgletal!H384+Nøgletal!H223/Nøgletal!H383))</f>
        <v>-1.4361624000000002</v>
      </c>
      <c r="AD87" s="32">
        <f>Nøgletal!H211*Nøgletal!H213*-1</f>
        <v>-37.357740217488001</v>
      </c>
      <c r="AE87" s="32"/>
      <c r="AF87" s="32"/>
      <c r="AG87" s="32"/>
      <c r="AH87" s="32"/>
      <c r="AI87" s="32"/>
      <c r="AJ87" s="105">
        <f>SUM(C87:G87,N87,T87,AC87:AG87)</f>
        <v>-38.793902617488001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38.531084898288</v>
      </c>
      <c r="AP87" s="37">
        <f t="shared" si="68"/>
        <v>0.99322528280303712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Nøgletal!H203</f>
        <v>38.531084898288</v>
      </c>
      <c r="BX87" s="78"/>
      <c r="BY87" s="127">
        <f>(AJ87+BW87)*-1</f>
        <v>0.26281771920000097</v>
      </c>
      <c r="BZ87" s="123">
        <f>(C87*Emissionsfaktorer!$D$4+E87*Emissionsfaktorer!$D$3+F87*Emissionsfaktorer!$D$5+H87*Emissionsfaktorer!$D$7+I87*Emissionsfaktorer!$D$8+J87*Emissionsfaktorer!$D$9+K87*Emissionsfaktorer!$D$10+L87*Emissionsfaktorer!$D$11+M87*Emissionsfaktorer!$D$12)*-1</f>
        <v>0</v>
      </c>
    </row>
    <row r="88" spans="2:80" x14ac:dyDescent="0.25">
      <c r="B88" s="31"/>
      <c r="C88" s="32"/>
      <c r="D88" s="32"/>
      <c r="E88" s="32">
        <f>(Nøgletal!H236/Nøgletal!H406*Nøgletal!H696+Nøgletal!H240*Nøgletal!H241*Nøgletal!H246/Nøgletal!I391)*-1</f>
        <v>0</v>
      </c>
      <c r="F88" s="32"/>
      <c r="G88" s="23">
        <f>SUM(H88:M88)</f>
        <v>-36.341760000000001</v>
      </c>
      <c r="H88" s="32">
        <f>Nøgletal!H237/Nøgletal!I389*-1</f>
        <v>0</v>
      </c>
      <c r="I88" s="32"/>
      <c r="J88" s="32">
        <f>Nøgletal!H240*Nøgletal!H241*Nøgletal!H245/Nøgletal!I390*-1</f>
        <v>0</v>
      </c>
      <c r="K88" s="78">
        <f>Nøgletal!H236/Nøgletal!H406*Nøgletal!H692*-1</f>
        <v>-36.341760000000001</v>
      </c>
      <c r="L88" s="32"/>
      <c r="M88" s="32">
        <f>Nøgletal!H236/Nøgletal!H406*Nøgletal!H693*-1</f>
        <v>0</v>
      </c>
      <c r="N88" s="23">
        <f>SUM(O88:S88)</f>
        <v>0</v>
      </c>
      <c r="O88" s="32"/>
      <c r="P88" s="32"/>
      <c r="Q88" s="32">
        <f>Nøgletal!H240*Nøgletal!H241*Nøgletal!H250/Nøgletal!I395*-1</f>
        <v>0</v>
      </c>
      <c r="R88" s="32"/>
      <c r="S88" s="32">
        <f>Nøgletal!H240*Nøgletal!H241*Nøgletal!H244*(1-1/Nøgletal!I388)*-1</f>
        <v>0</v>
      </c>
      <c r="T88" s="23">
        <f>SUM(U88:AB88)</f>
        <v>-5.8240000000000007E-2</v>
      </c>
      <c r="U88" s="32">
        <f>Nøgletal!H236*Nøgletal!H695/Nøgletal!H406*-1</f>
        <v>0</v>
      </c>
      <c r="V88" s="32">
        <f>Nøgletal!H236*Nøgletal!H697/Nøgletal!H406*-1</f>
        <v>-5.8240000000000007E-2</v>
      </c>
      <c r="W88" s="32">
        <f>Nøgletal!H240*Nøgletal!H241*Nøgletal!H249/Nøgletal!I394*-1</f>
        <v>0</v>
      </c>
      <c r="X88" s="32">
        <f>Nøgletal!H240*Nøgletal!H241*Nøgletal!H248/Nøgletal!I393*-1</f>
        <v>0</v>
      </c>
      <c r="Y88" s="32">
        <f>Nøgletal!H240*Nøgletal!H241*Nøgletal!H247/Nøgletal!I392*-1</f>
        <v>0</v>
      </c>
      <c r="Z88" s="32"/>
      <c r="AA88" s="32"/>
      <c r="AB88" s="32">
        <f>Nøgletal!H236*Nøgletal!H694/Nøgletal!H406*-1</f>
        <v>0</v>
      </c>
      <c r="AC88" s="78">
        <f>-(Nøgletal!H233/Nøgletal!H$385+Nøgletal!H234/Nøgletal!H$386+Nøgletal!H235/Nøgletal!H$387+Nøgletal!H236*Nøgletal!H698/Nøgletal!H406+Nøgletal!H240*Nøgletal!H241*(Nøgletal!H244/Nøgletal!I388+Nøgletal!H251/Nøgletal!H384+Nøgletal!H252/Nøgletal!H383))</f>
        <v>-20.113851599999997</v>
      </c>
      <c r="AD88" s="32">
        <f>Nøgletal!H240*Nøgletal!H242</f>
        <v>0</v>
      </c>
      <c r="AE88" s="32"/>
      <c r="AF88" s="32"/>
      <c r="AG88" s="32"/>
      <c r="AH88" s="32"/>
      <c r="AI88" s="32"/>
      <c r="AJ88" s="105">
        <f>SUM(C88:G88,N88,T88,AC88:AG88)</f>
        <v>-56.513851599999995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28.445016757199998</v>
      </c>
      <c r="AP88" s="37">
        <f t="shared" si="68"/>
        <v>0.50332822753846773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Nøgletal!H231</f>
        <v>28.445016757199998</v>
      </c>
      <c r="BX88" s="78"/>
      <c r="BY88" s="127">
        <f>(AJ88+BW88)*-1</f>
        <v>28.068834842799998</v>
      </c>
      <c r="BZ88" s="123">
        <f>(C88*Emissionsfaktorer!$D$4+E88*Emissionsfaktorer!$D$3+F88*Emissionsfaktorer!$D$5+H88*Emissionsfaktorer!$D$7+I88*Emissionsfaktorer!$D$8+J88*Emissionsfaktorer!$D$9+K88*Emissionsfaktorer!$D$10+L88*Emissionsfaktorer!$D$11+M88*Emissionsfaktorer!$D$12)*-1</f>
        <v>2.6892902400000001</v>
      </c>
    </row>
    <row r="89" spans="2:80" x14ac:dyDescent="0.25"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-5988.5480892811702</v>
      </c>
      <c r="AJ89" s="155">
        <f>AJ90+AJ101+AJ112+AJ117</f>
        <v>-5988.5480892811702</v>
      </c>
      <c r="AK89" s="88" t="s">
        <v>274</v>
      </c>
      <c r="AL89" s="89" t="s">
        <v>275</v>
      </c>
      <c r="AM89" s="89"/>
      <c r="AN89" s="37"/>
      <c r="AO89" s="38">
        <f t="shared" si="61"/>
        <v>4251.3258128519474</v>
      </c>
      <c r="AP89" s="37">
        <f t="shared" si="68"/>
        <v>0.7099092717417339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4251.3258128519474</v>
      </c>
      <c r="BX89" s="82"/>
      <c r="BY89" s="128">
        <f>BY90+BY101+BY112+BY117</f>
        <v>1751.0056729412229</v>
      </c>
      <c r="BZ89" s="128">
        <f>BZ90+BZ101+BZ112+BZ117</f>
        <v>0</v>
      </c>
    </row>
    <row r="90" spans="2:80" x14ac:dyDescent="0.25"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-1916.08</v>
      </c>
      <c r="AJ90" s="156">
        <f>SUM(AJ91:AJ100)</f>
        <v>-1916.08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510.41699999999997</v>
      </c>
      <c r="AP90" s="146">
        <f t="shared" ref="AP90:AP127" si="73">BW90/IF(AJ90&lt;0,AJ90,1)*-1</f>
        <v>0.26638605903720097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510.41699999999997</v>
      </c>
      <c r="BX90" s="108"/>
      <c r="BY90" s="129">
        <f>SUM(BY91:BY100)</f>
        <v>1402.9101999999998</v>
      </c>
      <c r="BZ90" s="129">
        <f>SUM(BZ91:BZ100)</f>
        <v>0</v>
      </c>
    </row>
    <row r="91" spans="2:80" x14ac:dyDescent="0.25"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-658.9</v>
      </c>
      <c r="AJ91" s="156">
        <f>AO91/Nøgletal!H401*-1</f>
        <v>-658.9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131.78</v>
      </c>
      <c r="AP91" s="146">
        <f t="shared" si="73"/>
        <v>0.2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W91" s="78">
        <f>Nøgletal!H$282*Nøgletal!H286</f>
        <v>131.78</v>
      </c>
      <c r="BX91" s="119"/>
      <c r="BY91" s="127">
        <f t="shared" ref="BY91:BY98" si="76">(AJ91+BW91)*-1</f>
        <v>527.12</v>
      </c>
      <c r="BZ91" s="125">
        <v>0</v>
      </c>
      <c r="CB91" s="151"/>
    </row>
    <row r="92" spans="2:80" x14ac:dyDescent="0.25"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-258.17</v>
      </c>
      <c r="AJ92" s="156">
        <f>AO92/Nøgletal!H402*-1</f>
        <v>-258.17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64.542500000000004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W92" s="78">
        <f>Nøgletal!H$282*Nøgletal!H287</f>
        <v>64.542500000000004</v>
      </c>
      <c r="BX92" s="119"/>
      <c r="BY92" s="127">
        <f t="shared" si="76"/>
        <v>193.6275</v>
      </c>
      <c r="BZ92" s="125">
        <v>0</v>
      </c>
      <c r="CB92" s="151"/>
    </row>
    <row r="93" spans="2:80" x14ac:dyDescent="0.25"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-197.51</v>
      </c>
      <c r="AJ93" s="156">
        <f>AO93/IF(Nøgletal!H403&gt;0,Nøgletal!H403,1)*-1</f>
        <v>-197.51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49.377499999999998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W93" s="78">
        <f>Nøgletal!H$282*Nøgletal!H288</f>
        <v>49.377499999999998</v>
      </c>
      <c r="BX93" s="119"/>
      <c r="BY93" s="127">
        <f t="shared" si="76"/>
        <v>148.13249999999999</v>
      </c>
      <c r="BZ93" s="125">
        <v>0</v>
      </c>
      <c r="CB93" s="151"/>
    </row>
    <row r="94" spans="2:80" x14ac:dyDescent="0.25"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-12.269999999999998</v>
      </c>
      <c r="AJ94" s="156">
        <f>AO94/Nøgletal!H404*-1</f>
        <v>-12.269999999999998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4.0490999999999993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W94" s="78">
        <f>Nøgletal!H$282*Nøgletal!H289</f>
        <v>4.0490999999999993</v>
      </c>
      <c r="BX94" s="119"/>
      <c r="BY94" s="127">
        <f t="shared" si="76"/>
        <v>8.2208999999999985</v>
      </c>
      <c r="BZ94" s="125">
        <v>0</v>
      </c>
      <c r="CB94" s="151"/>
    </row>
    <row r="95" spans="2:80" x14ac:dyDescent="0.25"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-369.88999999999987</v>
      </c>
      <c r="AJ95" s="156">
        <f>AO95/Nøgletal!H405*-1</f>
        <v>-369.88999999999987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122.06369999999997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W95" s="78">
        <f>Nøgletal!H$282*Nøgletal!H290</f>
        <v>122.06369999999997</v>
      </c>
      <c r="BX95" s="119"/>
      <c r="BY95" s="127">
        <f t="shared" si="76"/>
        <v>247.82629999999989</v>
      </c>
      <c r="BZ95" s="125">
        <v>0</v>
      </c>
      <c r="CB95" s="151"/>
    </row>
    <row r="96" spans="2:80" x14ac:dyDescent="0.25"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-28</v>
      </c>
      <c r="AJ96" s="156">
        <f>AO96/Nøgletal!H407*-1</f>
        <v>-28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9.24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W96" s="78">
        <f>Nøgletal!H$282*Nøgletal!H291</f>
        <v>9.24</v>
      </c>
      <c r="BX96" s="119"/>
      <c r="BY96" s="127">
        <f t="shared" si="76"/>
        <v>18.759999999999998</v>
      </c>
      <c r="BZ96" s="125">
        <v>0</v>
      </c>
      <c r="CB96" s="151"/>
    </row>
    <row r="97" spans="2:80" x14ac:dyDescent="0.25"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-319</v>
      </c>
      <c r="AJ97" s="156">
        <f>AO97/Nøgletal!H408*-1</f>
        <v>-319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105.27</v>
      </c>
      <c r="AP97" s="146">
        <f t="shared" si="73"/>
        <v>0.32999999999999996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W97" s="78">
        <f>Nøgletal!H$282*Nøgletal!H292</f>
        <v>105.27</v>
      </c>
      <c r="BX97" s="119"/>
      <c r="BY97" s="127">
        <f t="shared" si="76"/>
        <v>213.73000000000002</v>
      </c>
      <c r="BZ97" s="125">
        <v>0</v>
      </c>
      <c r="CB97" s="151"/>
    </row>
    <row r="98" spans="2:80" x14ac:dyDescent="0.25"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-67.900000000000006</v>
      </c>
      <c r="AJ98" s="156">
        <f>AO98/Nøgletal!H409*-1</f>
        <v>-67.900000000000006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22.407000000000004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W98" s="78">
        <f>Nøgletal!H$282*Nøgletal!H293</f>
        <v>22.407000000000004</v>
      </c>
      <c r="BX98" s="119"/>
      <c r="BY98" s="127">
        <f t="shared" si="76"/>
        <v>45.493000000000002</v>
      </c>
      <c r="BZ98" s="125">
        <v>0</v>
      </c>
      <c r="CB98" s="151"/>
    </row>
    <row r="99" spans="2:80" x14ac:dyDescent="0.25"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0</v>
      </c>
      <c r="AJ99" s="156">
        <f>AO99/Nøgletal!H410*-1</f>
        <v>0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0</v>
      </c>
      <c r="AP99" s="146">
        <f t="shared" si="73"/>
        <v>0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W99" s="78">
        <f>Nøgletal!H$282*Nøgletal!H284</f>
        <v>0</v>
      </c>
      <c r="BX99" s="119"/>
      <c r="BY99" s="147">
        <v>0</v>
      </c>
      <c r="BZ99" s="125">
        <v>0</v>
      </c>
      <c r="CB99" s="151"/>
    </row>
    <row r="100" spans="2:80" x14ac:dyDescent="0.25"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-4.4400000000000004</v>
      </c>
      <c r="AJ100" s="156">
        <f>AO100/Nøgletal!H411*-1</f>
        <v>-4.4400000000000004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1.6872</v>
      </c>
      <c r="AP100" s="146">
        <f t="shared" si="73"/>
        <v>0.37999999999999995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W100" s="78">
        <f>Nøgletal!H$282*Nøgletal!H285</f>
        <v>1.6872</v>
      </c>
      <c r="BX100" s="119"/>
      <c r="BY100" s="147">
        <v>0</v>
      </c>
      <c r="BZ100" s="125">
        <v>0</v>
      </c>
      <c r="CB100" s="151"/>
    </row>
    <row r="101" spans="2:80" x14ac:dyDescent="0.25"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-931.59451803200011</v>
      </c>
      <c r="AJ101" s="156">
        <f>SUM(AJ102:AJ111)</f>
        <v>-931.59451803200011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829.38928079280004</v>
      </c>
      <c r="AP101" s="146">
        <f t="shared" si="73"/>
        <v>0.89028999713833723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829.38928079280004</v>
      </c>
      <c r="BX101" s="108"/>
      <c r="BY101" s="129">
        <f>SUM(BY102:BY111)</f>
        <v>118.74143375120003</v>
      </c>
      <c r="BZ101" s="129">
        <f>SUM(BZ102:BZ111)</f>
        <v>0</v>
      </c>
      <c r="CB101" s="19"/>
    </row>
    <row r="102" spans="2:80" x14ac:dyDescent="0.25"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-33.072393024</v>
      </c>
      <c r="AJ102" s="156">
        <f>AO102/Nøgletal!H386*-1</f>
        <v>-33.072393024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49.608589536000004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Nøgletal!H172</f>
        <v>49.608589536000004</v>
      </c>
      <c r="BX102" s="119"/>
      <c r="BY102" s="127">
        <v>0</v>
      </c>
      <c r="BZ102" s="125">
        <v>0</v>
      </c>
      <c r="CB102" s="19"/>
    </row>
    <row r="103" spans="2:80" x14ac:dyDescent="0.25"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-355.52822500800005</v>
      </c>
      <c r="AJ103" s="156">
        <f>AO103/Nøgletal!H387*-1</f>
        <v>-355.52822500800005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302.19899125680001</v>
      </c>
      <c r="AP103" s="146">
        <f t="shared" si="73"/>
        <v>0.84999999999999987</v>
      </c>
      <c r="AQ103" s="49"/>
      <c r="AR103" s="19"/>
      <c r="AS103" s="19"/>
      <c r="AT103" s="19"/>
      <c r="AU103" s="19"/>
      <c r="AV103" s="19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Nøgletal!H173</f>
        <v>302.19899125680001</v>
      </c>
      <c r="BX103" s="119"/>
      <c r="BY103" s="127">
        <f t="shared" ref="BY103:BY111" si="77">(AJ103+BW103)*-1</f>
        <v>53.329233751200036</v>
      </c>
      <c r="BZ103" s="125">
        <v>0</v>
      </c>
      <c r="CB103" s="19"/>
    </row>
    <row r="104" spans="2:80" x14ac:dyDescent="0.25"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-29</v>
      </c>
      <c r="AJ104" s="156">
        <f>AO104/Nøgletal!I396*-1</f>
        <v>-29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26.1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Nøgletal!H176</f>
        <v>26.1</v>
      </c>
      <c r="BX104" s="119"/>
      <c r="BY104" s="127">
        <f t="shared" si="77"/>
        <v>2.8999999999999986</v>
      </c>
      <c r="BZ104" s="125">
        <v>0</v>
      </c>
      <c r="CB104" s="19"/>
    </row>
    <row r="105" spans="2:80" x14ac:dyDescent="0.25"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-271.13</v>
      </c>
      <c r="AJ105" s="156">
        <f>AO105/IF(Nøgletal!I397&gt;0,Nøgletal!I397,1)*-1</f>
        <v>-271.13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244.017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Nøgletal!H177</f>
        <v>244.017</v>
      </c>
      <c r="BX105" s="119"/>
      <c r="BY105" s="127">
        <f t="shared" si="77"/>
        <v>27.113</v>
      </c>
      <c r="BZ105" s="125">
        <v>0</v>
      </c>
      <c r="CB105" s="19"/>
    </row>
    <row r="106" spans="2:80" x14ac:dyDescent="0.25"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'2025'!AO106/Nøgletal!I398*-1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Nøgletal!H178</f>
        <v>0</v>
      </c>
      <c r="BX106" s="119"/>
      <c r="BY106" s="127">
        <f t="shared" si="77"/>
        <v>0</v>
      </c>
      <c r="BZ106" s="125">
        <v>0</v>
      </c>
      <c r="CB106" s="19"/>
    </row>
    <row r="107" spans="2:80" x14ac:dyDescent="0.25"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-4.4400000000000004</v>
      </c>
      <c r="AJ107" s="156">
        <f>AO107/Nøgletal!I389*-1</f>
        <v>-4.4400000000000004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1.6872</v>
      </c>
      <c r="AP107" s="146">
        <f t="shared" si="73"/>
        <v>0.37999999999999995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Nøgletal!H34+Nøgletal!H62+Nøgletal!H90+Nøgletal!H118+Nøgletal!H146+Nøgletal!H208+Nøgletal!H237</f>
        <v>1.6872</v>
      </c>
      <c r="BX107" s="119"/>
      <c r="BY107" s="127">
        <f t="shared" si="77"/>
        <v>2.7528000000000006</v>
      </c>
      <c r="BZ107" s="125">
        <v>0</v>
      </c>
      <c r="CB107" s="19"/>
    </row>
    <row r="108" spans="2:80" x14ac:dyDescent="0.25"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-13.319999999999999</v>
      </c>
      <c r="AJ108" s="156">
        <f>AO108/Nøgletal!I389*-1</f>
        <v>-13.319999999999999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5.0615999999999994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Nøgletal!H175</f>
        <v>5.0615999999999994</v>
      </c>
      <c r="BX108" s="119"/>
      <c r="BY108" s="127">
        <f t="shared" si="77"/>
        <v>8.2583999999999982</v>
      </c>
      <c r="BZ108" s="125">
        <v>0</v>
      </c>
      <c r="CB108" s="19"/>
    </row>
    <row r="109" spans="2:80" x14ac:dyDescent="0.25"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-188.70390000000003</v>
      </c>
      <c r="AJ109" s="156">
        <f>AO109*-1</f>
        <v>-188.70390000000003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188.70390000000003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Nøgletal!H201</f>
        <v>188.70390000000003</v>
      </c>
      <c r="BX109" s="119"/>
      <c r="BY109" s="127">
        <f t="shared" si="77"/>
        <v>0</v>
      </c>
      <c r="BZ109" s="125">
        <v>0</v>
      </c>
      <c r="CB109" s="19"/>
    </row>
    <row r="110" spans="2:80" x14ac:dyDescent="0.25"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-36.399999999999991</v>
      </c>
      <c r="AJ110" s="156">
        <f>AO110/Nøgletal!H406*-1</f>
        <v>-36.399999999999991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12.011999999999997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W110" s="78">
        <f>Nøgletal!H236</f>
        <v>12.011999999999997</v>
      </c>
      <c r="BX110" s="119"/>
      <c r="BY110" s="127">
        <f t="shared" si="77"/>
        <v>24.387999999999995</v>
      </c>
      <c r="BZ110" s="125">
        <v>0</v>
      </c>
      <c r="CB110" s="151"/>
    </row>
    <row r="111" spans="2:80" x14ac:dyDescent="0.25"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Nøgletal!H202</f>
        <v>0</v>
      </c>
      <c r="BX111" s="119"/>
      <c r="BY111" s="127">
        <f t="shared" si="77"/>
        <v>0</v>
      </c>
      <c r="BZ111" s="125">
        <v>0</v>
      </c>
      <c r="CB111" s="19"/>
    </row>
    <row r="112" spans="2:80" x14ac:dyDescent="0.25"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-764.63792448824347</v>
      </c>
      <c r="AJ112" s="157">
        <f>SUM(AJ113:AJ116)</f>
        <v>-764.63792448824347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643.36680097250519</v>
      </c>
      <c r="AP112" s="146">
        <f t="shared" si="73"/>
        <v>0.84140059022457914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643.36680097250519</v>
      </c>
      <c r="BX112" s="108"/>
      <c r="BY112" s="129">
        <f>SUM(BY113:BY116)</f>
        <v>121.27112351573824</v>
      </c>
      <c r="BZ112" s="129">
        <f>SUM(BZ113:BZ116)</f>
        <v>0</v>
      </c>
    </row>
    <row r="113" spans="1:78" x14ac:dyDescent="0.25"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-181.73358823063774</v>
      </c>
      <c r="AJ113" s="157">
        <f>AO113/Nøgletal!H385*-1</f>
        <v>-181.73358823063774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90.866794115318868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Nøgletal!H31+Nøgletal!H59+Nøgletal!H87+Nøgletal!H115+Nøgletal!H143+Nøgletal!H171+Nøgletal!H205+Nøgletal!H233</f>
        <v>90.866794115318868</v>
      </c>
      <c r="BX113" s="119"/>
      <c r="BY113" s="127">
        <f>(AJ113+BW113)*-1</f>
        <v>90.866794115318868</v>
      </c>
      <c r="BZ113" s="125">
        <v>0</v>
      </c>
    </row>
    <row r="114" spans="1:78" x14ac:dyDescent="0.25"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-45.098463730637725</v>
      </c>
      <c r="AJ114" s="157">
        <f>AO114/Nøgletal!H382*-1</f>
        <v>-45.098463730637725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19.843324041480599</v>
      </c>
      <c r="AP114" s="146">
        <f t="shared" si="73"/>
        <v>0.44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Nøgletal!H30</f>
        <v>19.843324041480599</v>
      </c>
      <c r="BX114" s="119"/>
      <c r="BY114" s="127">
        <f>(AJ114+BW114)*-1</f>
        <v>25.255139689157126</v>
      </c>
      <c r="BZ114" s="125">
        <v>0</v>
      </c>
    </row>
    <row r="115" spans="1:78" x14ac:dyDescent="0.25"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-116.18721718120456</v>
      </c>
      <c r="AJ115" s="157">
        <f>AO115/Nøgletal!H386*-1</f>
        <v>-116.18721718120456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174.28082577180683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Nøgletal!H32+Nøgletal!H60+Nøgletal!H88+Nøgletal!H116+Nøgletal!H144+Nøgletal!H206+Nøgletal!H234</f>
        <v>174.28082577180683</v>
      </c>
      <c r="BX115" s="119"/>
      <c r="BY115" s="127">
        <f>(AJ115+BW115)*-1</f>
        <v>-58.093608590602273</v>
      </c>
      <c r="BZ115" s="125">
        <v>0</v>
      </c>
    </row>
    <row r="116" spans="1:78" x14ac:dyDescent="0.25"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-421.61865534576339</v>
      </c>
      <c r="AJ116" s="157">
        <f>AO116/Nøgletal!H387*-1</f>
        <v>-421.61865534576339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358.37585704389886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Nøgletal!H33+Nøgletal!H61+Nøgletal!H89+Nøgletal!H117+Nøgletal!H145+Nøgletal!H207+Nøgletal!H235</f>
        <v>358.37585704389886</v>
      </c>
      <c r="BX116" s="119"/>
      <c r="BY116" s="127">
        <f>(AJ116+BW116)*-1</f>
        <v>63.242798301864525</v>
      </c>
      <c r="BZ116" s="125">
        <v>0</v>
      </c>
    </row>
    <row r="117" spans="1:78" x14ac:dyDescent="0.25"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-2376.235646760927</v>
      </c>
      <c r="AJ117" s="157">
        <f>SUM(AJ118:AJ127)</f>
        <v>-2376.235646760927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2268.1527310866422</v>
      </c>
      <c r="AP117" s="146">
        <f t="shared" si="73"/>
        <v>0.95451506847748291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2268.1527310866422</v>
      </c>
      <c r="BX117" s="108"/>
      <c r="BY117" s="129">
        <f>SUM(BY118:BY127)</f>
        <v>108.08291567428469</v>
      </c>
      <c r="BZ117" s="129">
        <f>SUM(BZ118:BZ127)</f>
        <v>0</v>
      </c>
    </row>
    <row r="118" spans="1:78" x14ac:dyDescent="0.25"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-5.8841567428470034</v>
      </c>
      <c r="AJ118" s="157">
        <f>AO118/Nøgletal!H383*-1</f>
        <v>-5.8841567428470034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5.295741068562303</v>
      </c>
      <c r="AP118" s="146">
        <f t="shared" si="73"/>
        <v>0.9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H49*Nøgletal!H38*Nøgletal!H37+Nøgletal!H65*Nøgletal!H66*Nøgletal!H77+Nøgletal!H93*Nøgletal!H94*Nøgletal!H105+Nøgletal!H121*Nøgletal!H122*Nøgletal!H133+Nøgletal!H149*Nøgletal!H150*Nøgletal!H161+Nøgletal!H181*Nøgletal!H182*Nøgletal!H193+Nøgletal!H211*Nøgletal!H212*Nøgletal!H223+Nøgletal!H240*Nøgletal!H241*Nøgletal!H252</f>
        <v>5.295741068562303</v>
      </c>
      <c r="BX118" s="119"/>
      <c r="BY118" s="127">
        <f t="shared" ref="BY118:BY127" si="78">(AJ118+BW118)*-1</f>
        <v>0.58841567428470043</v>
      </c>
      <c r="BZ118" s="125">
        <v>0</v>
      </c>
    </row>
    <row r="119" spans="1:78" x14ac:dyDescent="0.25"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-24.965636466079427</v>
      </c>
      <c r="AJ119" s="157">
        <f>AO119*Nøgletal!H384*-1</f>
        <v>-24.965636466079427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24.965636466079427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H37*Nøgletal!H38*Nøgletal!H48+Nøgletal!H65*Nøgletal!H66*Nøgletal!H76+Nøgletal!H93*Nøgletal!H94*Nøgletal!H104+Nøgletal!H121*Nøgletal!H122*Nøgletal!H132+Nøgletal!H149*Nøgletal!H150*Nøgletal!H160+Nøgletal!H181*Nøgletal!H182*Nøgletal!H192+Nøgletal!H211*Nøgletal!H212*Nøgletal!H222+Nøgletal!H240*Nøgletal!H241*Nøgletal!H251</f>
        <v>24.965636466079427</v>
      </c>
      <c r="BX119" s="119"/>
      <c r="BY119" s="127">
        <f t="shared" si="78"/>
        <v>0</v>
      </c>
      <c r="BZ119" s="125">
        <v>0</v>
      </c>
    </row>
    <row r="120" spans="1:78" x14ac:dyDescent="0.25"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-0.75900000000000001</v>
      </c>
      <c r="AJ120" s="157">
        <f>AO120*-1</f>
        <v>-0.75900000000000001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0.75900000000000001</v>
      </c>
      <c r="AP120" s="146">
        <f t="shared" si="73"/>
        <v>1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H37*Nøgletal!H38*Nøgletal!H41+Nøgletal!H65*Nøgletal!H66*Nøgletal!H69+Nøgletal!H93*Nøgletal!H94*Nøgletal!H97+Nøgletal!H121*Nøgletal!H122*Nøgletal!H125+Nøgletal!H149*Nøgletal!H150*Nøgletal!H153+Nøgletal!H181*Nøgletal!H182*Nøgletal!H185+Nøgletal!H211*Nøgletal!H212*Nøgletal!H215+Nøgletal!H240*Nøgletal!H241*Nøgletal!H244</f>
        <v>0.75900000000000001</v>
      </c>
      <c r="BX120" s="119"/>
      <c r="BY120" s="127">
        <f t="shared" si="78"/>
        <v>0</v>
      </c>
      <c r="BZ120" s="125">
        <v>0</v>
      </c>
    </row>
    <row r="121" spans="1:78" x14ac:dyDescent="0.25"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-131</v>
      </c>
      <c r="AJ121" s="157">
        <f>AO121/Nøgletal!I390*-1</f>
        <v>-131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104.8</v>
      </c>
      <c r="AP121" s="146">
        <f t="shared" si="73"/>
        <v>0.79999999999999993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H$37*Nøgletal!H$38*Nøgletal!H42+Nøgletal!H$65*Nøgletal!H$66*Nøgletal!H70+Nøgletal!H$93*Nøgletal!H$94*Nøgletal!H98+Nøgletal!H$121*Nøgletal!H$122*Nøgletal!H126+Nøgletal!H$149*Nøgletal!H$150*Nøgletal!H154+Nøgletal!H$181*Nøgletal!H$182*Nøgletal!H186+Nøgletal!H$211*Nøgletal!H$212*Nøgletal!H216+Nøgletal!H$240*Nøgletal!H$241*Nøgletal!H245</f>
        <v>104.8</v>
      </c>
      <c r="BX121" s="119"/>
      <c r="BY121" s="127">
        <f t="shared" si="78"/>
        <v>26.200000000000003</v>
      </c>
      <c r="BZ121" s="125">
        <v>0</v>
      </c>
    </row>
    <row r="122" spans="1:78" x14ac:dyDescent="0.25"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-0.63</v>
      </c>
      <c r="AJ122" s="157">
        <f>AO122/Nøgletal!I391*-1</f>
        <v>-0.63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0.53549999999999998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H$37*Nøgletal!H$38*Nøgletal!H43+Nøgletal!H$65*Nøgletal!H$66*Nøgletal!H71+Nøgletal!H$93*Nøgletal!H$94*Nøgletal!H99+Nøgletal!H$121*Nøgletal!H$122*Nøgletal!H127+Nøgletal!H$149*Nøgletal!H$150*Nøgletal!H155+Nøgletal!H$181*Nøgletal!H$182*Nøgletal!H187+Nøgletal!H$211*Nøgletal!H$212*Nøgletal!H217+Nøgletal!H$240*Nøgletal!H$241*Nøgletal!H246</f>
        <v>0.53549999999999998</v>
      </c>
      <c r="BX122" s="119"/>
      <c r="BY122" s="127">
        <f t="shared" si="78"/>
        <v>9.4500000000000028E-2</v>
      </c>
      <c r="BZ122" s="125">
        <v>0</v>
      </c>
    </row>
    <row r="123" spans="1:78" x14ac:dyDescent="0.25"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-42</v>
      </c>
      <c r="AJ123" s="157">
        <f>AO123/Nøgletal!I392*-1</f>
        <v>-42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31.5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H$37*Nøgletal!H$38*Nøgletal!H44+Nøgletal!H$65*Nøgletal!H$66*Nøgletal!H72+Nøgletal!H$93*Nøgletal!H$94*Nøgletal!H100+Nøgletal!H$121*Nøgletal!H$122*Nøgletal!H128+Nøgletal!H$149*Nøgletal!H$150*Nøgletal!H156+Nøgletal!H$181*Nøgletal!H$182*Nøgletal!H188+Nøgletal!H$211*Nøgletal!H$212*Nøgletal!H218+Nøgletal!H$240*Nøgletal!H$241*Nøgletal!H247</f>
        <v>31.5</v>
      </c>
      <c r="BX123" s="119"/>
      <c r="BY123" s="127">
        <f t="shared" si="78"/>
        <v>10.5</v>
      </c>
      <c r="BZ123" s="125">
        <v>0</v>
      </c>
    </row>
    <row r="124" spans="1:78" x14ac:dyDescent="0.25"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-168.99999999999997</v>
      </c>
      <c r="AJ124" s="157">
        <f>AO124/Nøgletal!I393*-1</f>
        <v>-168.99999999999997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109.84999999999998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H$37*Nøgletal!H$38*Nøgletal!H45+Nøgletal!H$65*Nøgletal!H$66*Nøgletal!H73+Nøgletal!H$93*Nøgletal!H$94*Nøgletal!H101+Nøgletal!H$121*Nøgletal!H$122*Nøgletal!H129+Nøgletal!H$149*Nøgletal!H$150*Nøgletal!H157+Nøgletal!H$181*Nøgletal!H$182*Nøgletal!H189+Nøgletal!H$211*Nøgletal!H$212*Nøgletal!H219+Nøgletal!H$240*Nøgletal!H$241*Nøgletal!H248</f>
        <v>109.84999999999998</v>
      </c>
      <c r="BX124" s="119"/>
      <c r="BY124" s="127">
        <f t="shared" si="78"/>
        <v>59.149999999999991</v>
      </c>
      <c r="BZ124" s="125">
        <v>0</v>
      </c>
    </row>
    <row r="125" spans="1:78" x14ac:dyDescent="0.25"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-33</v>
      </c>
      <c r="AJ125" s="157">
        <f>AO125/Nøgletal!I394*-1</f>
        <v>-33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21.45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H$37*Nøgletal!H$38*Nøgletal!H46+Nøgletal!H$65*Nøgletal!H$66*Nøgletal!H74+Nøgletal!H$93*Nøgletal!H$94*Nøgletal!H102+Nøgletal!H$121*Nøgletal!H$122*Nøgletal!H130+Nøgletal!H$149*Nøgletal!H$150*Nøgletal!H158+Nøgletal!H$181*Nøgletal!H$182*Nøgletal!H190+Nøgletal!H$211*Nøgletal!H$212*Nøgletal!H220+Nøgletal!H$240*Nøgletal!H$241*Nøgletal!H249</f>
        <v>21.45</v>
      </c>
      <c r="BX125" s="119"/>
      <c r="BY125" s="127">
        <f t="shared" si="78"/>
        <v>11.55</v>
      </c>
      <c r="BZ125" s="125">
        <v>0</v>
      </c>
    </row>
    <row r="126" spans="1:78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-1966.1968535520002</v>
      </c>
      <c r="AJ126" s="157">
        <f>AO126*-1</f>
        <v>-1966.1968535520002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1966.1968535520002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Nøgletal!H37*Nøgletal!H39+Nøgletal!H65*Nøgletal!H67+Nøgletal!H93*Nøgletal!H95+Nøgletal!H121*Nøgletal!H123+Nøgletal!H149*Nøgletal!H151+Nøgletal!H181*Nøgletal!H183+Nøgletal!H211*Nøgletal!H213+Nøgletal!H240*Nøgletal!H242</f>
        <v>1966.1968535520002</v>
      </c>
      <c r="BX126" s="119"/>
      <c r="BY126" s="127">
        <f t="shared" si="78"/>
        <v>0</v>
      </c>
      <c r="BZ126" s="125">
        <v>0</v>
      </c>
    </row>
    <row r="127" spans="1:78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-2.8</v>
      </c>
      <c r="AJ127" s="157">
        <f>AO127/Nøgletal!I395*-1</f>
        <v>-2.8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2.8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H$37*Nøgletal!H$38*Nøgletal!H47+Nøgletal!H$65*Nøgletal!H$66*Nøgletal!H75+Nøgletal!H$93*Nøgletal!H$94*Nøgletal!H103+Nøgletal!H$121*Nøgletal!H$122*Nøgletal!H131+Nøgletal!H$149*Nøgletal!H$150*Nøgletal!H159+Nøgletal!H$181*Nøgletal!H$182*Nøgletal!H191+Nøgletal!H$211*Nøgletal!H$212*Nøgletal!H221+Nøgletal!H$240*Nøgletal!H$241*Nøgletal!H250</f>
        <v>2.8</v>
      </c>
      <c r="BX127" s="119"/>
      <c r="BY127" s="127">
        <f t="shared" si="78"/>
        <v>0</v>
      </c>
      <c r="BZ127" s="125">
        <v>0</v>
      </c>
    </row>
    <row r="128" spans="1:78" x14ac:dyDescent="0.25">
      <c r="C128" s="40">
        <f>C9+C68+' Plan Energi 2009'!C81</f>
        <v>0</v>
      </c>
      <c r="E128" s="40">
        <f>E9+E68+' Plan Energi 2009'!I81</f>
        <v>2.3760000000038417E-2</v>
      </c>
      <c r="F128" s="40">
        <f>F9+F68+' Plan Energi 2009'!W81</f>
        <v>0</v>
      </c>
      <c r="H128" s="40">
        <f>H9+H68+' Plan Energi 2009'!B81</f>
        <v>0</v>
      </c>
      <c r="I128" s="40">
        <f>I9+I68+' Plan Energi 2009'!D81</f>
        <v>0</v>
      </c>
      <c r="J128" s="40">
        <f>J9+J68+' Plan Energi 2009'!E81</f>
        <v>0</v>
      </c>
      <c r="K128" s="40">
        <f>K9+K68+' Plan Energi 2009'!F81</f>
        <v>0</v>
      </c>
      <c r="L128" s="40">
        <f>L9+L68+' Plan Energi 2009'!G81</f>
        <v>0</v>
      </c>
      <c r="M128" s="40">
        <f>M9+M68+' Plan Energi 2009'!H81</f>
        <v>0</v>
      </c>
      <c r="O128" s="40">
        <f>O9+O68+' Plan Energi 2009'!J81</f>
        <v>0</v>
      </c>
      <c r="P128" s="40">
        <f>P9+P68+' Plan Energi 2009'!K81</f>
        <v>-64.093484992816258</v>
      </c>
      <c r="Q128" s="40">
        <f>Q9+Q68+' Plan Energi 2009'!L81</f>
        <v>0</v>
      </c>
      <c r="R128" s="40">
        <f>R9+R68+' Plan Energi 2009'!M81</f>
        <v>0</v>
      </c>
      <c r="S128" s="40">
        <f>S9+S68+' Plan Energi 2009'!N81</f>
        <v>0</v>
      </c>
      <c r="U128" s="40">
        <f>U9+U68+' Plan Energi 2009'!O81</f>
        <v>0</v>
      </c>
      <c r="V128" s="40">
        <f>V9+V68+' Plan Energi 2009'!P81</f>
        <v>0</v>
      </c>
      <c r="W128" s="40">
        <f>W9+W68+' Plan Energi 2009'!Q81</f>
        <v>0</v>
      </c>
      <c r="X128" s="40">
        <f>X9+X68+' Plan Energi 2009'!R81</f>
        <v>0</v>
      </c>
      <c r="Y128" s="40">
        <f>Y9+Y68+' Plan Energi 2009'!S81</f>
        <v>0</v>
      </c>
      <c r="Z128" s="40">
        <f>Z9+Z68+' Plan Energi 2009'!T81</f>
        <v>0</v>
      </c>
      <c r="AA128" s="40">
        <f>AA9+AA68+' Plan Energi 2009'!U81</f>
        <v>0</v>
      </c>
      <c r="AB128" s="40">
        <f>AB9+AB68+' Plan Energi 2009'!V81</f>
        <v>0</v>
      </c>
      <c r="AC128" s="143">
        <f>BR10-' Plan Energi 2009'!A15</f>
        <v>8.814960000222527E-3</v>
      </c>
      <c r="AD128" s="40">
        <f>AD68+SUM(' Plan Energi 2009'!AI39:AP68)+SUM(' Plan Energi 2009'!AI70:AP71)</f>
        <v>3.34800000000007</v>
      </c>
      <c r="AK128" s="122"/>
      <c r="AP128" s="102"/>
      <c r="BA128" s="22"/>
    </row>
    <row r="129" spans="3:53" x14ac:dyDescent="0.25">
      <c r="C129" s="40"/>
      <c r="D129" s="40"/>
      <c r="E129" s="40"/>
      <c r="F129" s="40"/>
      <c r="AB129" s="231" t="s">
        <v>667</v>
      </c>
      <c r="AC129" s="143">
        <f>AC69-' Plan Energi 2009'!A15</f>
        <v>-539.2463229567519</v>
      </c>
      <c r="AD129" s="143">
        <f>BS10+BS11+BS18+BS57+BS65-(SUM(' Plan Energi 2009'!AF32:AF38,' Plan Energi 2009'!AF40:AF42,' Plan Energi 2009'!AF44:AF51,' Plan Energi 2009'!AF53:AF54,' Plan Energi 2009'!AF56:AF61,' Plan Energi 2009'!AF63:AF68))</f>
        <v>0</v>
      </c>
      <c r="AP129" s="1"/>
      <c r="BA129" s="22"/>
    </row>
    <row r="130" spans="3:53" x14ac:dyDescent="0.25">
      <c r="AP130" s="1"/>
      <c r="BA130" s="2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B130"/>
  <sheetViews>
    <sheetView topLeftCell="AB1" workbookViewId="0">
      <selection activeCell="AK10" sqref="AK10"/>
    </sheetView>
  </sheetViews>
  <sheetFormatPr defaultRowHeight="15" x14ac:dyDescent="0.25"/>
  <cols>
    <col min="1" max="7" width="9.140625" style="231"/>
    <col min="8" max="8" width="12.7109375" style="231" bestFit="1" customWidth="1"/>
    <col min="9" max="36" width="9.140625" style="231"/>
    <col min="37" max="37" width="41.7109375" style="231" customWidth="1"/>
    <col min="38" max="16384" width="9.140625" style="231"/>
  </cols>
  <sheetData>
    <row r="1" spans="1:80" ht="157.5" x14ac:dyDescent="0.25"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</row>
    <row r="2" spans="1:80" ht="36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</row>
    <row r="3" spans="1:80" ht="37.5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</row>
    <row r="4" spans="1:80" ht="18.75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</row>
    <row r="5" spans="1:80" x14ac:dyDescent="0.25"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4979.5818329999993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3496.8310000000006</v>
      </c>
      <c r="AU5" s="11">
        <f>(F7+F5)*-1</f>
        <v>197.58816000000002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506.16347300000001</v>
      </c>
      <c r="BJ5" s="11">
        <f t="shared" ref="BJ5:BQ5" si="4">(U7+U5)*-1</f>
        <v>0</v>
      </c>
      <c r="BK5" s="11">
        <f t="shared" si="4"/>
        <v>1.895529</v>
      </c>
      <c r="BL5" s="11">
        <f t="shared" si="4"/>
        <v>31.999999999999993</v>
      </c>
      <c r="BM5" s="11">
        <f t="shared" si="4"/>
        <v>172.57920000000004</v>
      </c>
      <c r="BN5" s="11">
        <f t="shared" si="4"/>
        <v>44.956800000000001</v>
      </c>
      <c r="BO5" s="11">
        <f t="shared" si="4"/>
        <v>0</v>
      </c>
      <c r="BP5" s="11">
        <f t="shared" si="4"/>
        <v>241.49664000000004</v>
      </c>
      <c r="BQ5" s="11">
        <f t="shared" si="4"/>
        <v>13.235303999999999</v>
      </c>
      <c r="BR5" s="11"/>
      <c r="BS5" s="11"/>
      <c r="BT5" s="11"/>
      <c r="BU5" s="11">
        <f>-1*SUM(AF5,AF7,AF9,AF66,AF68)</f>
        <v>399.35279999999995</v>
      </c>
      <c r="BV5" s="11">
        <f>-1*SUM(AG5,AG7,AG9,AG66,AG68)</f>
        <v>0</v>
      </c>
      <c r="BW5" s="11">
        <f>-1*SUM(AH5,AH7,AH9,AH66,AH68)</f>
        <v>379.64640000000003</v>
      </c>
      <c r="BX5" s="11"/>
      <c r="BY5" s="123">
        <v>0</v>
      </c>
      <c r="BZ5" s="123">
        <f>(C5*Emissionsfaktorer!$C$4+E5*Emissionsfaktorer!$C$3+F5*Emissionsfaktorer!$C$5+H5*Emissionsfaktorer!$C$7+I5*Emissionsfaktorer!$C$8+J5*Emissionsfaktorer!$C$9+K5*Emissionsfaktorer!$C$10+L5*Emissionsfaktorer!$C$11+M5*Emissionsfaktorer!$C$12)*-1</f>
        <v>0</v>
      </c>
    </row>
    <row r="6" spans="1:80" x14ac:dyDescent="0.25"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Nøgletal!$F$283/IF(Nøgletal!$G$399=0,1,Nøgletal!$G$399)*Nøgletal!$F419*-1</f>
        <v>0</v>
      </c>
      <c r="V6" s="84"/>
      <c r="W6" s="84"/>
      <c r="X6" s="84"/>
      <c r="Y6" s="84"/>
      <c r="Z6" s="84">
        <f>Nøgletal!$F$283/IF(Nøgletal!$G$399=0,1,Nøgletal!$G$399)*Nøgletal!$F420*-1</f>
        <v>0</v>
      </c>
      <c r="AA6" s="84">
        <f>Nøgletal!$F$283/IF(Nøgletal!$G$399=0,1,Nøgletal!$G$399)*Nøgletal!$F421*-1</f>
        <v>0</v>
      </c>
      <c r="AB6" s="84">
        <f>Nøgletal!$F$283/IF(Nøgletal!$G$399=0,1,Nøgletal!$G$399)*Nøgletal!$F422*-1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Nøgletal!F283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(C6*Emissionsfaktorer!$C$4+E6*Emissionsfaktorer!$C$3+F6*Emissionsfaktorer!$C$5+H6*Emissionsfaktorer!$C$7+I6*Emissionsfaktorer!$C$8+J6*Emissionsfaktorer!$C$9+K6*Emissionsfaktorer!$C$10+L6*Emissionsfaktorer!$C$11+M6*Emissionsfaktorer!$C$12)*-1</f>
        <v>0</v>
      </c>
    </row>
    <row r="7" spans="1:80" x14ac:dyDescent="0.25">
      <c r="B7" s="31"/>
      <c r="C7" s="11">
        <f>AR7*-1</f>
        <v>0</v>
      </c>
      <c r="D7" s="11">
        <f>AS7*-1</f>
        <v>0</v>
      </c>
      <c r="E7" s="11">
        <f>AT7*-1</f>
        <v>-3496.8310000000006</v>
      </c>
      <c r="F7" s="11">
        <f>AU7*-1</f>
        <v>-197.58816000000002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-506.16347300000001</v>
      </c>
      <c r="U7" s="11">
        <f>BJ7*-1</f>
        <v>0</v>
      </c>
      <c r="V7" s="11">
        <f t="shared" ref="V7:AB7" si="5">BK7*-1</f>
        <v>-1.895529</v>
      </c>
      <c r="W7" s="11">
        <f t="shared" si="5"/>
        <v>-31.999999999999993</v>
      </c>
      <c r="X7" s="11">
        <f t="shared" si="5"/>
        <v>-172.57920000000004</v>
      </c>
      <c r="Y7" s="11">
        <f t="shared" si="5"/>
        <v>-44.956800000000001</v>
      </c>
      <c r="Z7" s="11">
        <f t="shared" si="5"/>
        <v>0</v>
      </c>
      <c r="AA7" s="11">
        <f t="shared" si="5"/>
        <v>-241.49664000000004</v>
      </c>
      <c r="AB7" s="11">
        <f t="shared" si="5"/>
        <v>-13.235303999999999</v>
      </c>
      <c r="AC7" s="11"/>
      <c r="AD7" s="11"/>
      <c r="AE7" s="11"/>
      <c r="AF7" s="11"/>
      <c r="AG7" s="11"/>
      <c r="AH7" s="11"/>
      <c r="AI7" s="11"/>
      <c r="AJ7" s="105">
        <f t="shared" si="0"/>
        <v>-4200.582633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4200.582633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3496.8310000000006</v>
      </c>
      <c r="AU7" s="11">
        <f>(F9+F68)*-1</f>
        <v>197.58816000000002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506.16347300000001</v>
      </c>
      <c r="BJ7" s="11">
        <f t="shared" ref="BJ7:BQ7" si="9">(U9+U68)*-1</f>
        <v>0</v>
      </c>
      <c r="BK7" s="11">
        <f t="shared" si="9"/>
        <v>1.895529</v>
      </c>
      <c r="BL7" s="11">
        <f t="shared" si="9"/>
        <v>31.999999999999993</v>
      </c>
      <c r="BM7" s="11">
        <f t="shared" si="9"/>
        <v>172.57920000000004</v>
      </c>
      <c r="BN7" s="11">
        <f t="shared" si="9"/>
        <v>44.956800000000001</v>
      </c>
      <c r="BO7" s="11">
        <f t="shared" si="9"/>
        <v>0</v>
      </c>
      <c r="BP7" s="11">
        <f t="shared" si="9"/>
        <v>241.49664000000004</v>
      </c>
      <c r="BQ7" s="11">
        <f t="shared" si="9"/>
        <v>13.235303999999999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</row>
    <row r="8" spans="1:80" x14ac:dyDescent="0.25"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16.11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16.11</v>
      </c>
      <c r="BD8" s="11">
        <f>-1*SUM(O5,O7,O9)</f>
        <v>16.11</v>
      </c>
      <c r="BE8" s="11">
        <f>-1*SUM(P5,P7,P9)</f>
        <v>0</v>
      </c>
      <c r="BF8" s="11">
        <f>-1*SUM(Q5,Q7,Q9)</f>
        <v>0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(C8*Emissionsfaktorer!$C$4+E8*Emissionsfaktorer!$C$3+F8*Emissionsfaktorer!$C$5+H8*Emissionsfaktorer!$C$7+I8*Emissionsfaktorer!$C$8+J8*Emissionsfaktorer!$C$9+K8*Emissionsfaktorer!$C$10+L8*Emissionsfaktorer!$C$11+M8*Emissionsfaktorer!$C$12)*-1</f>
        <v>0</v>
      </c>
      <c r="CA8" s="2"/>
      <c r="CB8" s="2"/>
    </row>
    <row r="9" spans="1:80" x14ac:dyDescent="0.25"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-3200.0000000000005</v>
      </c>
      <c r="F9" s="11">
        <f t="shared" si="10"/>
        <v>-197.58816000000002</v>
      </c>
      <c r="G9" s="11">
        <f t="shared" si="10"/>
        <v>-101.95248000000001</v>
      </c>
      <c r="H9" s="11">
        <f t="shared" si="10"/>
        <v>-1.0080000000000002E-2</v>
      </c>
      <c r="I9" s="11">
        <f t="shared" si="10"/>
        <v>0</v>
      </c>
      <c r="J9" s="11">
        <f t="shared" si="10"/>
        <v>-101.94240000000001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-16.11</v>
      </c>
      <c r="O9" s="11">
        <f t="shared" si="10"/>
        <v>-16.11</v>
      </c>
      <c r="P9" s="11">
        <f t="shared" si="10"/>
        <v>0</v>
      </c>
      <c r="Q9" s="11">
        <f t="shared" si="10"/>
        <v>0</v>
      </c>
      <c r="R9" s="11">
        <f t="shared" si="10"/>
        <v>0</v>
      </c>
      <c r="S9" s="11">
        <f t="shared" si="10"/>
        <v>0</v>
      </c>
      <c r="T9" s="11">
        <f t="shared" si="10"/>
        <v>-259.267944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-1.5792000000000004</v>
      </c>
      <c r="Y9" s="11">
        <f t="shared" ref="Y9:AI9" si="11">SUM(Y10:Y11,Y18,Y57,Y65)</f>
        <v>-2.9568000000000008</v>
      </c>
      <c r="Z9" s="11">
        <f t="shared" si="11"/>
        <v>0</v>
      </c>
      <c r="AA9" s="11">
        <f t="shared" si="11"/>
        <v>-241.49664000000004</v>
      </c>
      <c r="AB9" s="11">
        <f t="shared" si="11"/>
        <v>-13.235303999999999</v>
      </c>
      <c r="AC9" s="11">
        <f t="shared" si="11"/>
        <v>-189.82320000000001</v>
      </c>
      <c r="AD9" s="11">
        <f t="shared" si="11"/>
        <v>0</v>
      </c>
      <c r="AE9" s="11">
        <f t="shared" si="11"/>
        <v>0</v>
      </c>
      <c r="AF9" s="11">
        <f t="shared" si="11"/>
        <v>-399.35279999999995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-4364.0945840000004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5970.1189302138273</v>
      </c>
      <c r="AP9" s="37">
        <f t="shared" si="6"/>
        <v>1.3680086018533981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2188.2844709999995</v>
      </c>
      <c r="AW9" s="11">
        <f>H66*-1</f>
        <v>25.600000000000005</v>
      </c>
      <c r="AX9" s="11">
        <f t="shared" ref="AX9:BB9" si="13">I66*-1</f>
        <v>10.500000000000002</v>
      </c>
      <c r="AY9" s="11">
        <f t="shared" si="13"/>
        <v>171</v>
      </c>
      <c r="AZ9" s="11">
        <f t="shared" si="13"/>
        <v>977.66139499999974</v>
      </c>
      <c r="BA9" s="11">
        <f t="shared" si="13"/>
        <v>359.09999999999997</v>
      </c>
      <c r="BB9" s="11">
        <f t="shared" si="13"/>
        <v>644.42307599999992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1247.2474649738274</v>
      </c>
      <c r="BS9" s="11">
        <f>SUM(BS10:BS11,BS18,BS57,BS65)+AD9</f>
        <v>2344.7637942400002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189.82320000000001</v>
      </c>
      <c r="BX9" s="11">
        <f t="shared" si="12"/>
        <v>0</v>
      </c>
      <c r="BY9" s="123">
        <f t="shared" si="12"/>
        <v>1005.1102435199999</v>
      </c>
      <c r="BZ9" s="123">
        <f t="shared" si="12"/>
        <v>337.13158370730673</v>
      </c>
      <c r="CA9" s="2"/>
      <c r="CB9" s="2"/>
    </row>
    <row r="10" spans="1:80" x14ac:dyDescent="0.25"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2902.9102697338267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2290.2369509999994</v>
      </c>
      <c r="AW10" s="85">
        <f>IF(-(AW$11+AW$18+AW$57+AW65)-(H$70+H$79+H$80+H$84)-H$9&gt;0,-(AW$11+AW$18+AW$57+AW65)-(H$70+H$79+H$80+H$84)-H$9,0)</f>
        <v>25.610080000000004</v>
      </c>
      <c r="AX10" s="85">
        <f t="shared" ref="AX10:BB10" si="17">IF(-(AX$11+AX$18+AX$57+AX65)-(I70+I79+I80+I84)-I$9&gt;0,-(AX$11+AX$18+AX$57+AX65)-(I70+I79+I80+I84)-I$9,0)</f>
        <v>10.500000000000002</v>
      </c>
      <c r="AY10" s="85">
        <f t="shared" si="17"/>
        <v>272.94240000000002</v>
      </c>
      <c r="AZ10" s="85">
        <f t="shared" si="17"/>
        <v>977.66139499999974</v>
      </c>
      <c r="BA10" s="85">
        <f t="shared" si="17"/>
        <v>359.09999999999997</v>
      </c>
      <c r="BB10" s="85">
        <f t="shared" si="17"/>
        <v>644.42307599999992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IF(-($BR$11+$BR$18+$BR$57+BR65)-(AC70+AC79+AC80+AC84)/(1-Nøgletal!$F$294)-$AC$9&gt;0,-($BR$11+$BR$18+$BR$57+BR65)-(AC70+AC79+AC80+AC84)/(1-Nøgletal!$F$294)-$AC$9,0)</f>
        <v>612.67331873382739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BR10*Emissionsfaktorer!C6+BT10*Emissionsfaktorer!C14</f>
        <v>132.33743684650671</v>
      </c>
      <c r="CA10" s="2"/>
      <c r="CB10" s="2"/>
    </row>
    <row r="11" spans="1:80" x14ac:dyDescent="0.25"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-16.11</v>
      </c>
      <c r="O11" s="20">
        <f t="shared" si="18"/>
        <v>-16.11</v>
      </c>
      <c r="P11" s="20">
        <f t="shared" si="18"/>
        <v>0</v>
      </c>
      <c r="Q11" s="20">
        <f t="shared" si="18"/>
        <v>0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-16.11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16.11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16.11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</row>
    <row r="12" spans="1:80" x14ac:dyDescent="0.25"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0</v>
      </c>
      <c r="O12" s="23"/>
      <c r="P12" s="23"/>
      <c r="Q12" s="23">
        <f>AJ12</f>
        <v>0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0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0</v>
      </c>
      <c r="AP12" s="37">
        <f t="shared" si="6"/>
        <v>0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Nøgletal!F279</f>
        <v>0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(C12*Emissionsfaktorer!$C$4+E12*Emissionsfaktorer!$C$3+F12*Emissionsfaktorer!$C$5+H12*Emissionsfaktorer!$C$7+I12*Emissionsfaktorer!$C$8+J12*Emissionsfaktorer!$C$9+K12*Emissionsfaktorer!$C$10+L12*Emissionsfaktorer!$C$11+M12*Emissionsfaktorer!$C$12)*-1</f>
        <v>0</v>
      </c>
      <c r="CA12" s="2"/>
      <c r="CB12" s="2"/>
    </row>
    <row r="13" spans="1:80" x14ac:dyDescent="0.25"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-16.11</v>
      </c>
      <c r="O13" s="23">
        <f t="shared" si="21"/>
        <v>-16.11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-16.11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16.11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16.11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</row>
    <row r="14" spans="1:80" x14ac:dyDescent="0.25"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-16.11</v>
      </c>
      <c r="O14" s="278">
        <f>AJ14</f>
        <v>-16.11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-16.11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16.11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Nøgletal!F277</f>
        <v>16.11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(C14*Emissionsfaktorer!$C$4+E14*Emissionsfaktorer!$C$3+F14*Emissionsfaktorer!$C$5+H14*Emissionsfaktorer!$C$7+I14*Emissionsfaktorer!$C$8+J14*Emissionsfaktorer!$C$9+K14*Emissionsfaktorer!$C$10+L14*Emissionsfaktorer!$C$11+M14*Emissionsfaktorer!$C$12)*-1</f>
        <v>0</v>
      </c>
      <c r="CB14" s="2"/>
    </row>
    <row r="15" spans="1:80" x14ac:dyDescent="0.25"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Nøgletal!F278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(C15*Emissionsfaktorer!$C$4+E15*Emissionsfaktorer!$C$3+F15*Emissionsfaktorer!$C$5+H15*Emissionsfaktorer!$C$7+I15*Emissionsfaktorer!$C$8+J15*Emissionsfaktorer!$C$9+K15*Emissionsfaktorer!$C$10+L15*Emissionsfaktorer!$C$11+M15*Emissionsfaktorer!$C$12)*-1</f>
        <v>0</v>
      </c>
    </row>
    <row r="16" spans="1:80" x14ac:dyDescent="0.25"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Nøgletal!F280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(C16*Emissionsfaktorer!$C$4+E16*Emissionsfaktorer!$C$3+F16*Emissionsfaktorer!$C$5+H16*Emissionsfaktorer!$C$7+I16*Emissionsfaktorer!$C$8+J16*Emissionsfaktorer!$C$9+K16*Emissionsfaktorer!$C$10+L16*Emissionsfaktorer!$C$11+M16*Emissionsfaktorer!$C$12)*-1</f>
        <v>0</v>
      </c>
    </row>
    <row r="17" spans="2:78" x14ac:dyDescent="0.25"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Nøgletal!F276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(C17*Emissionsfaktorer!$C$4+E17*Emissionsfaktorer!$C$3+F17*Emissionsfaktorer!$C$5+H17*Emissionsfaktorer!$C$7+I17*Emissionsfaktorer!$C$8+J17*Emissionsfaktorer!$C$9+K17*Emissionsfaktorer!$C$10+L17*Emissionsfaktorer!$C$11+M17*Emissionsfaktorer!$C$12)*-1</f>
        <v>0</v>
      </c>
    </row>
    <row r="18" spans="2:78" x14ac:dyDescent="0.25"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-3.1889039999999995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-3.1889039999999995</v>
      </c>
      <c r="AC18" s="20">
        <f t="shared" si="23"/>
        <v>-189.82320000000001</v>
      </c>
      <c r="AD18" s="20">
        <f t="shared" si="23"/>
        <v>0</v>
      </c>
      <c r="AE18" s="20">
        <f t="shared" si="23"/>
        <v>0</v>
      </c>
      <c r="AF18" s="20">
        <f t="shared" si="23"/>
        <v>-399.35279999999995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-592.36490399999991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590.00511503999996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0.82911503999999991</v>
      </c>
      <c r="BS18" s="20">
        <f t="shared" si="24"/>
        <v>399.35279999999995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189.82320000000001</v>
      </c>
      <c r="BX18" s="20">
        <f t="shared" si="24"/>
        <v>0</v>
      </c>
      <c r="BY18" s="263">
        <f t="shared" si="24"/>
        <v>2.3597889599999995</v>
      </c>
      <c r="BZ18" s="263">
        <f t="shared" si="24"/>
        <v>0</v>
      </c>
    </row>
    <row r="19" spans="2:78" x14ac:dyDescent="0.25"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Nøgletal!F268/(1-Nøgletal!F295)</f>
        <v>0</v>
      </c>
      <c r="BT19" s="23">
        <f>Nøgletal!G268/(1-Nøgletal!G295)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</row>
    <row r="20" spans="2:78" x14ac:dyDescent="0.25">
      <c r="B20" s="31"/>
      <c r="C20" s="278">
        <f>AJ20*Nøgletal!F429</f>
        <v>0</v>
      </c>
      <c r="D20" s="278"/>
      <c r="E20" s="278">
        <f>AJ20*Nøgletal!F431</f>
        <v>0</v>
      </c>
      <c r="F20" s="278"/>
      <c r="G20" s="278">
        <f t="shared" ref="G20:G83" si="29">SUM(H20:M20)</f>
        <v>0</v>
      </c>
      <c r="H20" s="278"/>
      <c r="I20" s="278">
        <f>AJ20*Nøgletal!F430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AJ20*Nøgletal!F432</f>
        <v>0</v>
      </c>
      <c r="V20" s="278">
        <f>AJ20*Nøgletal!F433</f>
        <v>0</v>
      </c>
      <c r="W20" s="278">
        <f>AJ20*Nøgletal!F434</f>
        <v>0</v>
      </c>
      <c r="X20" s="278">
        <f>AJ20*Nøgletal!F435</f>
        <v>0</v>
      </c>
      <c r="Y20" s="278">
        <f>AJ20*Nøgletal!F436</f>
        <v>0</v>
      </c>
      <c r="Z20" s="278"/>
      <c r="AA20" s="278"/>
      <c r="AB20" s="278">
        <f>AJ20*Nøgletal!F437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-AO20/IF(Nøgletal!F345+Nøgletal!G345&gt;0,Nøgletal!F345+Nøgletal!G345,1)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BS20/IF(Nøgletal!G345&gt;0,Nøgletal!G345,1)*Nøgletal!F345</f>
        <v>0</v>
      </c>
      <c r="BS20" s="278">
        <f>BS$19*Nøgletal!F303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C$4+E20*Emissionsfaktorer!$C$3+F20*Emissionsfaktorer!$C$5+H20*Emissionsfaktorer!$C$7+I20*Emissionsfaktorer!$C$8+J20*Emissionsfaktorer!$C$9+K20*Emissionsfaktorer!$C$10+L20*Emissionsfaktorer!$C$11+M20*Emissionsfaktorer!$C$12)*-1*(1-Nøgletal!$F$301)+T20*Emissionsfaktorer!$C$13*Nøgletal!$F$301</f>
        <v>0</v>
      </c>
    </row>
    <row r="21" spans="2:78" x14ac:dyDescent="0.25">
      <c r="B21" s="31"/>
      <c r="C21" s="278"/>
      <c r="D21" s="278"/>
      <c r="E21" s="278">
        <f>AJ21*Nøgletal!F443</f>
        <v>0</v>
      </c>
      <c r="F21" s="278"/>
      <c r="G21" s="278">
        <f t="shared" si="29"/>
        <v>0</v>
      </c>
      <c r="H21" s="278"/>
      <c r="I21" s="278">
        <f>AJ21*Nøgletal!F439</f>
        <v>0</v>
      </c>
      <c r="J21" s="278">
        <f>AJ21*Nøgletal!F440</f>
        <v>0</v>
      </c>
      <c r="K21" s="278">
        <f>AJ21*Nøgletal!F441</f>
        <v>0</v>
      </c>
      <c r="L21" s="278"/>
      <c r="M21" s="278">
        <f>AJ21*Nøgletal!F442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AJ21*Nøgletal!F444</f>
        <v>0</v>
      </c>
      <c r="V21" s="278">
        <f>AJ21*Nøgletal!F445</f>
        <v>0</v>
      </c>
      <c r="W21" s="278">
        <f>AJ21*Nøgletal!F446</f>
        <v>0</v>
      </c>
      <c r="X21" s="278">
        <f>AJ21*Nøgletal!F447</f>
        <v>0</v>
      </c>
      <c r="Y21" s="278">
        <f>AJ21*Nøgletal!F448</f>
        <v>0</v>
      </c>
      <c r="Z21" s="278"/>
      <c r="AA21" s="278"/>
      <c r="AB21" s="278">
        <f>AJ21*Nøgletal!F449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-AO21/IF(Nøgletal!F346+Nøgletal!G346&gt;0,Nøgletal!F346+Nøgletal!G346,1)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BS21/IF(Nøgletal!G346&gt;0,Nøgletal!G346,1)*Nøgletal!F346</f>
        <v>0</v>
      </c>
      <c r="BS21" s="278">
        <f>BS$19*Nøgletal!F304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C$4+E21*Emissionsfaktorer!$C$3+F21*Emissionsfaktorer!$C$5+H21*Emissionsfaktorer!$C$7+I21*Emissionsfaktorer!$C$8+J21*Emissionsfaktorer!$C$9+K21*Emissionsfaktorer!$C$10+L21*Emissionsfaktorer!$C$11+M21*Emissionsfaktorer!$C$12)*-1*(1-Nøgletal!$F$301)+T21*Emissionsfaktorer!$C$13*Nøgletal!$F$301</f>
        <v>0</v>
      </c>
    </row>
    <row r="22" spans="2:78" x14ac:dyDescent="0.25">
      <c r="B22" s="31"/>
      <c r="C22" s="278"/>
      <c r="D22" s="278"/>
      <c r="E22" s="278">
        <f>AJ22*Nøgletal!F451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AJ22*Nøgletal!F452</f>
        <v>0</v>
      </c>
      <c r="V22" s="278"/>
      <c r="W22" s="278"/>
      <c r="X22" s="278"/>
      <c r="Y22" s="278"/>
      <c r="Z22" s="278"/>
      <c r="AA22" s="278"/>
      <c r="AB22" s="278">
        <f>AJ22*Nøgletal!F453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-AO22/IF(Nøgletal!F347+Nøgletal!G347&gt;0,Nøgletal!F347+Nøgletal!G347,1)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BS22/IF(Nøgletal!G347&gt;0,Nøgletal!G347,1)*Nøgletal!F347</f>
        <v>0</v>
      </c>
      <c r="BS22" s="278">
        <f>BS$19*Nøgletal!F305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C$4+E22*Emissionsfaktorer!$C$3+F22*Emissionsfaktorer!$C$5+H22*Emissionsfaktorer!$C$7+I22*Emissionsfaktorer!$C$8+J22*Emissionsfaktorer!$C$9+K22*Emissionsfaktorer!$C$10+L22*Emissionsfaktorer!$C$11+M22*Emissionsfaktorer!$C$12)*-1*(1-Nøgletal!$F$301)+T22*Emissionsfaktorer!$C$13*Nøgletal!$F$301</f>
        <v>0</v>
      </c>
    </row>
    <row r="23" spans="2:78" x14ac:dyDescent="0.25">
      <c r="B23" s="31"/>
      <c r="C23" s="278">
        <f>AJ23*Nøgletal!F455</f>
        <v>0</v>
      </c>
      <c r="D23" s="278"/>
      <c r="E23" s="278">
        <f>AJ23*Nøgletal!F457</f>
        <v>0</v>
      </c>
      <c r="F23" s="278"/>
      <c r="G23" s="278">
        <f t="shared" si="29"/>
        <v>0</v>
      </c>
      <c r="H23" s="278"/>
      <c r="I23" s="278">
        <f>AJ23*Nøgletal!F456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AJ23*Nøgletal!F458</f>
        <v>0</v>
      </c>
      <c r="V23" s="278">
        <f>AJ23*Nøgletal!F459</f>
        <v>0</v>
      </c>
      <c r="W23" s="278">
        <f>AJ23*Nøgletal!F460</f>
        <v>0</v>
      </c>
      <c r="X23" s="278">
        <f>AJ23*Nøgletal!F461</f>
        <v>0</v>
      </c>
      <c r="Y23" s="278">
        <f>AJ23*Nøgletal!F462</f>
        <v>0</v>
      </c>
      <c r="Z23" s="278"/>
      <c r="AA23" s="278"/>
      <c r="AB23" s="278">
        <f>AJ23*Nøgletal!F463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-AO23/IF(Nøgletal!F348+Nøgletal!G348&gt;0,Nøgletal!F348+Nøgletal!G348,1)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BS23/IF(Nøgletal!G348&gt;0,Nøgletal!G348,1)*Nøgletal!F348</f>
        <v>0</v>
      </c>
      <c r="BS23" s="278">
        <f>BS$19*Nøgletal!F306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C$4+E23*Emissionsfaktorer!$C$3+F23*Emissionsfaktorer!$C$5+H23*Emissionsfaktorer!$C$7+I23*Emissionsfaktorer!$C$8+J23*Emissionsfaktorer!$C$9+K23*Emissionsfaktorer!$C$10+L23*Emissionsfaktorer!$C$11+M23*Emissionsfaktorer!$C$12)*-1*(1-Nøgletal!$F$301)+T23*Emissionsfaktorer!$C$13*Nøgletal!$F$301</f>
        <v>0</v>
      </c>
    </row>
    <row r="24" spans="2:78" x14ac:dyDescent="0.25"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-AO24*(1-1/IF(Nøgletal!G349&gt;0,Nøgletal!G349,1))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-AO24/Nøgletal!G465/(1-Nøgletal!F294)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BS$19*Nøgletal!F307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C$4+E24*Emissionsfaktorer!$C$3+F24*Emissionsfaktorer!$C$5+H24*Emissionsfaktorer!$C$7+I24*Emissionsfaktorer!$C$8+J24*Emissionsfaktorer!$C$9+K24*Emissionsfaktorer!$C$10+L24*Emissionsfaktorer!$C$11+M24*Emissionsfaktorer!$C$12)*-1*(1-Nøgletal!$F$301)+T24*Emissionsfaktorer!$C$13*Nøgletal!$F$301</f>
        <v>0</v>
      </c>
    </row>
    <row r="25" spans="2:78" x14ac:dyDescent="0.25"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-AO25/IF(Nøgletal!F350+Nøgletal!G350&gt;0,Nøgletal!F350+Nøgletal!G350,1)/(1-Nøgletal!F294)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BS$19*Nøgletal!F308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C$4+E25*Emissionsfaktorer!$C$3+F25*Emissionsfaktorer!$C$5+H25*Emissionsfaktorer!$C$7+I25*Emissionsfaktorer!$C$8+J25*Emissionsfaktorer!$C$9+K25*Emissionsfaktorer!$C$10+L25*Emissionsfaktorer!$C$11+M25*Emissionsfaktorer!$C$12)*-1*(1-Nøgletal!$F$301)+T25*Emissionsfaktorer!$C$13*Nøgletal!$F$301</f>
        <v>0</v>
      </c>
    </row>
    <row r="26" spans="2:78" x14ac:dyDescent="0.25"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-AO26/IF(Nøgletal!F352+Nøgletal!G352&gt;0,Nøgletal!F352+Nøgletal!G352,1)/(1-Nøgletal!F295)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C$4+E26*Emissionsfaktorer!$C$3+F26*Emissionsfaktorer!$C$5+H26*Emissionsfaktorer!$C$7+I26*Emissionsfaktorer!$C$8+J26*Emissionsfaktorer!$C$9+K26*Emissionsfaktorer!$C$10+L26*Emissionsfaktorer!$C$11+M26*Emissionsfaktorer!$C$12)*-1*(1-Nøgletal!$F$301)+T26*Emissionsfaktorer!$C$13*Nøgletal!$F$301</f>
        <v>0</v>
      </c>
    </row>
    <row r="27" spans="2:78" x14ac:dyDescent="0.25"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Nøgletal!F270/(1-Nøgletal!F297)</f>
        <v>0</v>
      </c>
      <c r="BT27" s="23">
        <f>Nøgletal!G270/(1-Nøgletal!G297)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</row>
    <row r="28" spans="2:78" x14ac:dyDescent="0.25">
      <c r="B28" s="31"/>
      <c r="C28" s="278">
        <f>AJ28*Nøgletal!F479</f>
        <v>0</v>
      </c>
      <c r="D28" s="278"/>
      <c r="E28" s="278">
        <f>AJ28*Nøgletal!F481</f>
        <v>0</v>
      </c>
      <c r="F28" s="278"/>
      <c r="G28" s="278">
        <f t="shared" si="29"/>
        <v>0</v>
      </c>
      <c r="H28" s="278"/>
      <c r="I28" s="278">
        <f>AJ28*Nøgletal!F480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AJ28*Nøgletal!F482</f>
        <v>0</v>
      </c>
      <c r="V28" s="278">
        <f>AJ28*Nøgletal!F483</f>
        <v>0</v>
      </c>
      <c r="W28" s="278">
        <f>AJ28*Nøgletal!F484</f>
        <v>0</v>
      </c>
      <c r="X28" s="278">
        <f>AJ28*Nøgletal!F485</f>
        <v>0</v>
      </c>
      <c r="Y28" s="278">
        <f>AJ28*Nøgletal!F486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-AO28/IF(Nøgletal!F357+Nøgletal!G357&gt;0,Nøgletal!F357+Nøgletal!G357,1)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BS28/IF(Nøgletal!G357&gt;0,Nøgletal!G357,1)*Nøgletal!F357</f>
        <v>0</v>
      </c>
      <c r="BS28" s="286">
        <f>BS$27*Nøgletal!F317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C$4+E28*Emissionsfaktorer!$C$3+F28*Emissionsfaktorer!$C$5+H28*Emissionsfaktorer!$C$7+I28*Emissionsfaktorer!$C$8+J28*Emissionsfaktorer!$C$9+K28*Emissionsfaktorer!$C$10+L28*Emissionsfaktorer!$C$11+M28*Emissionsfaktorer!$C$12)*-1*(1-Nøgletal!$F$315)+T28*Emissionsfaktorer!$C$13*Nøgletal!$F$315</f>
        <v>0</v>
      </c>
    </row>
    <row r="29" spans="2:78" x14ac:dyDescent="0.25">
      <c r="B29" s="31"/>
      <c r="C29" s="278"/>
      <c r="D29" s="278"/>
      <c r="E29" s="278">
        <f>AJ29*Nøgletal!F492</f>
        <v>0</v>
      </c>
      <c r="F29" s="278"/>
      <c r="G29" s="278">
        <f t="shared" si="29"/>
        <v>0</v>
      </c>
      <c r="H29" s="278"/>
      <c r="I29" s="278">
        <f>AJ29*Nøgletal!F488</f>
        <v>0</v>
      </c>
      <c r="J29" s="278">
        <f>AJ29*Nøgletal!F489</f>
        <v>0</v>
      </c>
      <c r="K29" s="278">
        <f>AJ29*Nøgletal!F490</f>
        <v>0</v>
      </c>
      <c r="L29" s="278"/>
      <c r="M29" s="278">
        <f>AJ29*Nøgletal!F491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AJ29*Nøgletal!F493</f>
        <v>0</v>
      </c>
      <c r="V29" s="278">
        <f>AJ29*Nøgletal!F494</f>
        <v>0</v>
      </c>
      <c r="W29" s="278">
        <f>AJ29*Nøgletal!F495</f>
        <v>0</v>
      </c>
      <c r="X29" s="278">
        <f>AJ29*Nøgletal!F496</f>
        <v>0</v>
      </c>
      <c r="Y29" s="278">
        <f>Nøgletal!F497</f>
        <v>0</v>
      </c>
      <c r="Z29" s="278"/>
      <c r="AA29" s="278"/>
      <c r="AB29" s="278">
        <f>AJ29*Nøgletal!F498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-AO29/IF(Nøgletal!F358+Nøgletal!G358&gt;0,Nøgletal!F358+Nøgletal!G358,1)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BS29/IF(Nøgletal!G358&gt;0,Nøgletal!G358,1)*Nøgletal!F358</f>
        <v>0</v>
      </c>
      <c r="BS29" s="286">
        <f>BS$27*Nøgletal!F318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C$4+E29*Emissionsfaktorer!$C$3+F29*Emissionsfaktorer!$C$5+H29*Emissionsfaktorer!$C$7+I29*Emissionsfaktorer!$C$8+J29*Emissionsfaktorer!$C$9+K29*Emissionsfaktorer!$C$10+L29*Emissionsfaktorer!$C$11+M29*Emissionsfaktorer!$C$12)*-1*(1-Nøgletal!$F$315)+T29*Emissionsfaktorer!$C$13*Nøgletal!$F$315</f>
        <v>0</v>
      </c>
    </row>
    <row r="30" spans="2:78" x14ac:dyDescent="0.25">
      <c r="B30" s="31"/>
      <c r="C30" s="278"/>
      <c r="D30" s="278"/>
      <c r="E30" s="278">
        <f>AJ30*Nøgletal!F500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AJ30*Nøgletal!F501</f>
        <v>0</v>
      </c>
      <c r="V30" s="278"/>
      <c r="W30" s="278"/>
      <c r="X30" s="278"/>
      <c r="Y30" s="278"/>
      <c r="Z30" s="278"/>
      <c r="AA30" s="278"/>
      <c r="AB30" s="278">
        <f>AJ30*Nøgletal!F502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-AO30/IF(Nøgletal!F359+Nøgletal!G359&gt;0,Nøgletal!F359+Nøgletal!G359,1)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BS30/IF(Nøgletal!G359&gt;0,Nøgletal!G359,1)*Nøgletal!F359</f>
        <v>0</v>
      </c>
      <c r="BS30" s="286">
        <f>BS$27*Nøgletal!F319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C$4+E30*Emissionsfaktorer!$C$3+F30*Emissionsfaktorer!$C$5+H30*Emissionsfaktorer!$C$7+I30*Emissionsfaktorer!$C$8+J30*Emissionsfaktorer!$C$9+K30*Emissionsfaktorer!$C$10+L30*Emissionsfaktorer!$C$11+M30*Emissionsfaktorer!$C$12)*-1*(1-Nøgletal!$F$315)+T30*Emissionsfaktorer!$C$13*Nøgletal!$F$315</f>
        <v>0</v>
      </c>
    </row>
    <row r="31" spans="2:78" x14ac:dyDescent="0.25">
      <c r="B31" s="31"/>
      <c r="C31" s="278">
        <f>AJ31*Nøgletal!F504</f>
        <v>0</v>
      </c>
      <c r="D31" s="278"/>
      <c r="E31" s="278">
        <f>AJ31*Nøgletal!F506</f>
        <v>0</v>
      </c>
      <c r="F31" s="278"/>
      <c r="G31" s="278">
        <f t="shared" si="29"/>
        <v>0</v>
      </c>
      <c r="H31" s="278"/>
      <c r="I31" s="278">
        <f>AJ31*Nøgletal!F505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AJ31*Nøgletal!F507</f>
        <v>0</v>
      </c>
      <c r="V31" s="278">
        <f>AJ31*Nøgletal!F508</f>
        <v>0</v>
      </c>
      <c r="W31" s="278">
        <f>AJ31*Nøgletal!F509</f>
        <v>0</v>
      </c>
      <c r="X31" s="278">
        <f>AJ31*Nøgletal!F510</f>
        <v>0</v>
      </c>
      <c r="Y31" s="278">
        <f>AJ31*Nøgletal!F511</f>
        <v>0</v>
      </c>
      <c r="Z31" s="278"/>
      <c r="AA31" s="278"/>
      <c r="AB31" s="278">
        <f>AJ31*Nøgletal!F512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-AO31/IF(Nøgletal!F360+Nøgletal!G360&gt;0,Nøgletal!F360+Nøgletal!G360,1)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BS31/IF(Nøgletal!G360&gt;0,Nøgletal!G360,1)*Nøgletal!F360</f>
        <v>0</v>
      </c>
      <c r="BS31" s="286">
        <f>BS$27*Nøgletal!F320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C$4+E31*Emissionsfaktorer!$C$3+F31*Emissionsfaktorer!$C$5+H31*Emissionsfaktorer!$C$7+I31*Emissionsfaktorer!$C$8+J31*Emissionsfaktorer!$C$9+K31*Emissionsfaktorer!$C$10+L31*Emissionsfaktorer!$C$11+M31*Emissionsfaktorer!$C$12)*-1*(1-Nøgletal!$F$315)+T31*Emissionsfaktorer!$C$13*Nøgletal!$F$315</f>
        <v>0</v>
      </c>
    </row>
    <row r="32" spans="2:78" x14ac:dyDescent="0.25"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AO32*(1-1/IF(Nøgletal!G361&gt;0,Nøgletal!G361,1))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-AO32/Nøgletal!G514/(1-Nøgletal!F294)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BS$27*Nøgletal!F321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C$4+E32*Emissionsfaktorer!$C$3+F32*Emissionsfaktorer!$C$5+H32*Emissionsfaktorer!$C$7+I32*Emissionsfaktorer!$C$8+J32*Emissionsfaktorer!$C$9+K32*Emissionsfaktorer!$C$10+L32*Emissionsfaktorer!$C$11+M32*Emissionsfaktorer!$C$12)*-1*(1-Nøgletal!$F$315)+T32*Emissionsfaktorer!$C$13*Nøgletal!$F$315</f>
        <v>0</v>
      </c>
    </row>
    <row r="33" spans="2:78" x14ac:dyDescent="0.25"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-AO33/IF(Nøgletal!F362+Nøgletal!G362&gt;0,Nøgletal!F362+Nøgletal!G362,1)/(1-Nøgletal!F294)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BS$27*Nøgletal!F322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C$4+E33*Emissionsfaktorer!$C$3+F33*Emissionsfaktorer!$C$5+H33*Emissionsfaktorer!$C$7+I33*Emissionsfaktorer!$C$8+J33*Emissionsfaktorer!$C$9+K33*Emissionsfaktorer!$C$10+L33*Emissionsfaktorer!$C$11+M33*Emissionsfaktorer!$C$12)*-1*(1-Nøgletal!$F$315)+T33*Emissionsfaktorer!$C$13*Nøgletal!$F$315</f>
        <v>0</v>
      </c>
    </row>
    <row r="34" spans="2:78" x14ac:dyDescent="0.25"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-AO34/IF(Nøgletal!F363+Nøgletal!G363&gt;0,Nøgletal!F363+Nøgletal!G363,1)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BS34/IF(Nøgletal!G363&gt;0,Nøgletal!G363,1)*Nøgletal!F363</f>
        <v>0</v>
      </c>
      <c r="BS34" s="286">
        <f>BS$27*Nøgletal!F323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C$4+E34*Emissionsfaktorer!$C$3+F34*Emissionsfaktorer!$C$5+H34*Emissionsfaktorer!$C$7+I34*Emissionsfaktorer!$C$8+J34*Emissionsfaktorer!$C$9+K34*Emissionsfaktorer!$C$10+L34*Emissionsfaktorer!$C$11+M34*Emissionsfaktorer!$C$12)*-1*(1-Nøgletal!$F$315)+T34*Emissionsfaktorer!$C$13*Nøgletal!$F$315</f>
        <v>0</v>
      </c>
    </row>
    <row r="35" spans="2:78" x14ac:dyDescent="0.25">
      <c r="B35" s="31"/>
      <c r="C35" s="278">
        <f>AJ35*Nøgletal!F518</f>
        <v>0</v>
      </c>
      <c r="D35" s="278"/>
      <c r="E35" s="278">
        <f>AJ35*Nøgletal!F520</f>
        <v>0</v>
      </c>
      <c r="F35" s="278"/>
      <c r="G35" s="278">
        <f t="shared" si="29"/>
        <v>0</v>
      </c>
      <c r="H35" s="278"/>
      <c r="I35" s="278">
        <f>AJ35*Nøgletal!F519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AJ35*Nøgletal!F521</f>
        <v>0</v>
      </c>
      <c r="V35" s="278">
        <f>AJ35*Nøgletal!F522</f>
        <v>0</v>
      </c>
      <c r="W35" s="278">
        <f>AJ35*Nøgletal!F523</f>
        <v>0</v>
      </c>
      <c r="X35" s="278">
        <f>AJ35*Nøgletal!F524</f>
        <v>0</v>
      </c>
      <c r="Y35" s="278">
        <f>AJ35*Nøgletal!F525</f>
        <v>0</v>
      </c>
      <c r="Z35" s="278"/>
      <c r="AA35" s="278"/>
      <c r="AB35" s="278">
        <f>AJ35*Nøgletal!F526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-AO35/IF(Nøgletal!F364+Nøgletal!G364&gt;0,Nøgletal!F364+Nøgletal!G364,1)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BS35/IF(Nøgletal!G364&gt;0,Nøgletal!G364,1)*Nøgletal!F364</f>
        <v>0</v>
      </c>
      <c r="BS35" s="286">
        <f>BS$27*Nøgletal!F324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C$4+E35*Emissionsfaktorer!$C$3+F35*Emissionsfaktorer!$C$5+H35*Emissionsfaktorer!$C$7+I35*Emissionsfaktorer!$C$8+J35*Emissionsfaktorer!$C$9+K35*Emissionsfaktorer!$C$10+L35*Emissionsfaktorer!$C$11+M35*Emissionsfaktorer!$C$12)*-1*(1-Nøgletal!$F$315)+T35*Emissionsfaktorer!$C$13*Nøgletal!$F$315</f>
        <v>0</v>
      </c>
    </row>
    <row r="36" spans="2:78" x14ac:dyDescent="0.25"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C$4+E36*Emissionsfaktorer!$C$3+F36*Emissionsfaktorer!$C$5+H36*Emissionsfaktorer!$C$7+I36*Emissionsfaktorer!$C$8+J36*Emissionsfaktorer!$C$9+K36*Emissionsfaktorer!$C$10+L36*Emissionsfaktorer!$C$11+M36*Emissionsfaktorer!$C$12)*-1*(1-Nøgletal!$F$315)+T36*Emissionsfaktorer!$C$13*Nøgletal!$F$315</f>
        <v>0</v>
      </c>
    </row>
    <row r="37" spans="2:78" x14ac:dyDescent="0.25"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-3.1889039999999995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-3.1889039999999995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-3.1889039999999995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0.82911503999999991</v>
      </c>
      <c r="AP37" s="37">
        <f t="shared" si="6"/>
        <v>0.26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0.82911503999999991</v>
      </c>
      <c r="BS37" s="23">
        <f>Nøgletal!F271/(1-Nøgletal!F298)</f>
        <v>0</v>
      </c>
      <c r="BT37" s="23">
        <f>Nøgletal!G271/(1-Nøgletal!G298)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2.3597889599999995</v>
      </c>
      <c r="BZ37" s="126">
        <f t="shared" si="37"/>
        <v>0</v>
      </c>
    </row>
    <row r="38" spans="2:78" x14ac:dyDescent="0.25">
      <c r="B38" s="31"/>
      <c r="C38" s="278"/>
      <c r="D38" s="278"/>
      <c r="E38" s="278">
        <f>AJ38*Nøgletal!F532</f>
        <v>0</v>
      </c>
      <c r="F38" s="278"/>
      <c r="G38" s="278">
        <f t="shared" si="29"/>
        <v>0</v>
      </c>
      <c r="H38" s="278"/>
      <c r="I38" s="278">
        <f>AJ38*Nøgletal!F528</f>
        <v>0</v>
      </c>
      <c r="J38" s="278">
        <f>AJ38*Nøgletal!F529</f>
        <v>0</v>
      </c>
      <c r="K38" s="278">
        <f>AJ38*Nøgletal!F530</f>
        <v>0</v>
      </c>
      <c r="L38" s="278"/>
      <c r="M38" s="278">
        <f>AJ38*Nøgletal!F531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-3.1889039999999995</v>
      </c>
      <c r="U38" s="278">
        <f>AJ38*Nøgletal!F533</f>
        <v>0</v>
      </c>
      <c r="V38" s="278">
        <f>Nøgletal!F534</f>
        <v>0</v>
      </c>
      <c r="W38" s="278">
        <f>AJ38*Nøgletal!F535</f>
        <v>0</v>
      </c>
      <c r="X38" s="278">
        <f>Nøgletal!F536</f>
        <v>0</v>
      </c>
      <c r="Y38" s="278">
        <f>AJ38*Nøgletal!F537</f>
        <v>0</v>
      </c>
      <c r="Z38" s="278"/>
      <c r="AA38" s="278"/>
      <c r="AB38" s="278">
        <f>AJ38*Nøgletal!F538</f>
        <v>-3.1889039999999995</v>
      </c>
      <c r="AC38" s="280"/>
      <c r="AD38" s="280"/>
      <c r="AE38" s="280"/>
      <c r="AF38" s="280"/>
      <c r="AG38" s="280"/>
      <c r="AH38" s="280"/>
      <c r="AI38" s="280"/>
      <c r="AJ38" s="105">
        <f>-AO38/IF(Nøgletal!F366+Nøgletal!G366&gt;0,Nøgletal!F366+Nøgletal!G366,1)</f>
        <v>-3.1889039999999995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0.82911503999999991</v>
      </c>
      <c r="AP38" s="37">
        <f t="shared" si="6"/>
        <v>0.26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Nøgletal!F275</f>
        <v>0.82911503999999991</v>
      </c>
      <c r="BS38" s="292">
        <f>BS$37*Nøgletal!F327</f>
        <v>0</v>
      </c>
      <c r="BT38" s="280"/>
      <c r="BU38" s="280"/>
      <c r="BV38" s="280"/>
      <c r="BW38" s="280"/>
      <c r="BX38" s="280"/>
      <c r="BY38" s="124">
        <f>(AJ38+AO38)*-1</f>
        <v>2.3597889599999995</v>
      </c>
      <c r="BZ38" s="123">
        <f>(C38*Emissionsfaktorer!$C$4+E38*Emissionsfaktorer!$C$3+F38*Emissionsfaktorer!$C$5+H38*Emissionsfaktorer!$C$7+I38*Emissionsfaktorer!$C$8+J38*Emissionsfaktorer!$C$9+K38*Emissionsfaktorer!$C$10+L38*Emissionsfaktorer!$C$11+M38*Emissionsfaktorer!$C$12)*-1*(1-Nøgletal!$F$325)+T38*Emissionsfaktorer!$C$13*Nøgletal!$F$325</f>
        <v>0</v>
      </c>
    </row>
    <row r="39" spans="2:78" x14ac:dyDescent="0.25">
      <c r="B39" s="31"/>
      <c r="C39" s="278">
        <f>AJ39*Nøgletal!F540</f>
        <v>0</v>
      </c>
      <c r="D39" s="278"/>
      <c r="E39" s="278">
        <f>AJ39*Nøgletal!F542</f>
        <v>0</v>
      </c>
      <c r="F39" s="278"/>
      <c r="G39" s="278">
        <f t="shared" si="29"/>
        <v>0</v>
      </c>
      <c r="H39" s="278"/>
      <c r="I39" s="278">
        <f>AJ39*Nøgletal!F541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AJ39*Nøgletal!F543</f>
        <v>0</v>
      </c>
      <c r="V39" s="278">
        <f>AJ39*Nøgletal!F544</f>
        <v>0</v>
      </c>
      <c r="W39" s="278">
        <f>AJ39*Nøgletal!F545</f>
        <v>0</v>
      </c>
      <c r="X39" s="278">
        <f>AJ39*Nøgletal!F547</f>
        <v>0</v>
      </c>
      <c r="Y39" s="278">
        <f>AJ39*Nøgletal!F548</f>
        <v>0</v>
      </c>
      <c r="Z39" s="278"/>
      <c r="AA39" s="278"/>
      <c r="AB39" s="278">
        <f>Nøgletal!F549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-AO39/IF(Nøgletal!F367+Nøgletal!G367&gt;0,Nøgletal!F367+Nøgletal!G367,1)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BS39/IF(Nøgletal!G367&gt;0,Nøgletal!G367,1)*Nøgletal!F367</f>
        <v>0</v>
      </c>
      <c r="BS39" s="292">
        <f>BS$37*Nøgletal!F328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C$4+E39*Emissionsfaktorer!$C$3+F39*Emissionsfaktorer!$C$5+H39*Emissionsfaktorer!$C$7+I39*Emissionsfaktorer!$C$8+J39*Emissionsfaktorer!$C$9+K39*Emissionsfaktorer!$C$10+L39*Emissionsfaktorer!$C$11+M39*Emissionsfaktorer!$C$12)*-1*(1-Nøgletal!$F$325)+T39*Emissionsfaktorer!$C$13*Nøgletal!$F$325</f>
        <v>0</v>
      </c>
    </row>
    <row r="40" spans="2:78" x14ac:dyDescent="0.25"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C$4+E40*Emissionsfaktorer!$C$3+F40*Emissionsfaktorer!$C$5+H40*Emissionsfaktorer!$C$7+I40*Emissionsfaktorer!$C$8+J40*Emissionsfaktorer!$C$9+K40*Emissionsfaktorer!$C$10+L40*Emissionsfaktorer!$C$11+M40*Emissionsfaktorer!$C$12)*-1*(1-Nøgletal!$F$325)+T40*Emissionsfaktorer!$C$13*Nøgletal!$F$325</f>
        <v>0</v>
      </c>
    </row>
    <row r="41" spans="2:78" x14ac:dyDescent="0.25"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Nøgletal!F269/(1-Nøgletal!F296)</f>
        <v>0</v>
      </c>
      <c r="BT41" s="23">
        <f>Nøgletal!G269/(1-Nøgletal!G296)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</row>
    <row r="42" spans="2:78" x14ac:dyDescent="0.25">
      <c r="B42" s="31"/>
      <c r="C42" s="278"/>
      <c r="D42" s="278"/>
      <c r="E42" s="278"/>
      <c r="F42" s="278">
        <f>AJ42*Nøgletal!F469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AJ42*Nøgletal!F467</f>
        <v>0</v>
      </c>
      <c r="AA42" s="278">
        <f>AJ42*Nøgletal!F468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-AO42/IF(Nøgletal!F353+Nøgletal!G353&gt;0,Nøgletal!F353+Nøgletal!G353,1)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BS42/IF(Nøgletal!G353&gt;0,Nøgletal!G353,1)*Nøgletal!F353</f>
        <v>0</v>
      </c>
      <c r="BS42" s="289">
        <f>BS$41*Nøgletal!F312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C$4+E42*Emissionsfaktorer!$C$3+F42*Emissionsfaktorer!$C$5+H42*Emissionsfaktorer!$C$7+I42*Emissionsfaktorer!$C$8+J42*Emissionsfaktorer!$C$9+K42*Emissionsfaktorer!$C$10+L42*Emissionsfaktorer!$C$11+M42*Emissionsfaktorer!$C$12)*-1*(1-Nøgletal!$F$310)+T42*Emissionsfaktorer!$C$13*Nøgletal!$F$310</f>
        <v>0</v>
      </c>
    </row>
    <row r="43" spans="2:78" x14ac:dyDescent="0.25">
      <c r="B43" s="31"/>
      <c r="C43" s="278"/>
      <c r="D43" s="278"/>
      <c r="E43" s="278"/>
      <c r="F43" s="278">
        <f>AJ43*Nøgletal!F473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AJ43*Nøgletal!F471</f>
        <v>0</v>
      </c>
      <c r="AA43" s="278">
        <f>AJ43*Nøgletal!F472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-AO43/IF(Nøgletal!F354+Nøgletal!G354&gt;0,Nøgletal!F354+Nøgletal!G354,1)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BS43/IF(Nøgletal!G354&gt;0,Nøgletal!G354,1)*Nøgletal!F354</f>
        <v>0</v>
      </c>
      <c r="BS43" s="289">
        <f>BS$41*Nøgletal!F313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C$4+E43*Emissionsfaktorer!$C$3+F43*Emissionsfaktorer!$C$5+H43*Emissionsfaktorer!$C$7+I43*Emissionsfaktorer!$C$8+J43*Emissionsfaktorer!$C$9+K43*Emissionsfaktorer!$C$10+L43*Emissionsfaktorer!$C$11+M43*Emissionsfaktorer!$C$12)*-1*(1-Nøgletal!$F$310)+T43*Emissionsfaktorer!$C$13*Nøgletal!$F$310</f>
        <v>0</v>
      </c>
    </row>
    <row r="44" spans="2:78" x14ac:dyDescent="0.25">
      <c r="B44" s="31"/>
      <c r="C44" s="278"/>
      <c r="D44" s="278"/>
      <c r="E44" s="278"/>
      <c r="F44" s="278">
        <f>AJ44*Nøgletal!F477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AJ44*Nøgletal!F475</f>
        <v>0</v>
      </c>
      <c r="AA44" s="278">
        <f>AJ44*Nøgletal!F476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-AO44/IF(Nøgletal!F355+Nøgletal!G355&gt;0,Nøgletal!F355+Nøgletal!G355,1)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BS44/IF(Nøgletal!G355&gt;0,Nøgletal!G355,1)*Nøgletal!F355</f>
        <v>0</v>
      </c>
      <c r="BS44" s="289">
        <f>BS$41*Nøgletal!F314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C$4+E44*Emissionsfaktorer!$C$3+F44*Emissionsfaktorer!$C$5+H44*Emissionsfaktorer!$C$7+I44*Emissionsfaktorer!$C$8+J44*Emissionsfaktorer!$C$9+K44*Emissionsfaktorer!$C$10+L44*Emissionsfaktorer!$C$11+M44*Emissionsfaktorer!$C$12)*-1*(1-Nøgletal!$F$310)+T44*Emissionsfaktorer!$C$13*Nøgletal!$F$310</f>
        <v>0</v>
      </c>
    </row>
    <row r="45" spans="2:78" x14ac:dyDescent="0.25"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C$4+E45*Emissionsfaktorer!$C$3+F45*Emissionsfaktorer!$C$5+H45*Emissionsfaktorer!$C$7+I45*Emissionsfaktorer!$C$8+J45*Emissionsfaktorer!$C$9+K45*Emissionsfaktorer!$C$10+L45*Emissionsfaktorer!$C$11+M45*Emissionsfaktorer!$C$12)*-1*(1-Nøgletal!$F$310)+T45*Emissionsfaktorer!$C$13*Nøgletal!$F$310</f>
        <v>0</v>
      </c>
    </row>
    <row r="46" spans="2:78" x14ac:dyDescent="0.25"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-189.82320000000001</v>
      </c>
      <c r="AD46" s="23">
        <f t="shared" si="40"/>
        <v>0</v>
      </c>
      <c r="AE46" s="23">
        <f t="shared" si="40"/>
        <v>0</v>
      </c>
      <c r="AF46" s="23">
        <f t="shared" si="40"/>
        <v>-399.35279999999995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-589.17599999999993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589.17599999999993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399.35279999999995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189.82320000000001</v>
      </c>
      <c r="BX46" s="23"/>
      <c r="BY46" s="126">
        <f t="shared" si="41"/>
        <v>0</v>
      </c>
      <c r="BZ46" s="126">
        <f t="shared" si="41"/>
        <v>0</v>
      </c>
    </row>
    <row r="47" spans="2:78" x14ac:dyDescent="0.25">
      <c r="B47" s="31"/>
      <c r="C47" s="278">
        <f>AJ47*Nøgletal!F586</f>
        <v>0</v>
      </c>
      <c r="D47" s="278"/>
      <c r="E47" s="278">
        <f>AJ47*Nøgletal!F588</f>
        <v>0</v>
      </c>
      <c r="F47" s="278"/>
      <c r="G47" s="278">
        <f t="shared" si="29"/>
        <v>0</v>
      </c>
      <c r="H47" s="278"/>
      <c r="I47" s="278">
        <f>AJ47*Nøgletal!F587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AJ47*Nøgletal!F589</f>
        <v>0</v>
      </c>
      <c r="V47" s="278">
        <f>AJ47*Nøgletal!F590</f>
        <v>0</v>
      </c>
      <c r="W47" s="278">
        <f>AJ47*Nøgletal!F591</f>
        <v>0</v>
      </c>
      <c r="X47" s="278">
        <f>AJ47*Nøgletal!F592</f>
        <v>0</v>
      </c>
      <c r="Y47" s="278">
        <f>AJ47*Nøgletal!F593</f>
        <v>0</v>
      </c>
      <c r="Z47" s="278"/>
      <c r="AA47" s="278"/>
      <c r="AB47" s="278">
        <f>AJ47*Nøgletal!F594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-AO47/IF(Nøgletal!F375+Nøgletal!G375&gt;0,Nøgletal!F375+Nøgletal!G375,1)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BS47/IF(Nøgletal!G375&gt;0,Nøgletal!G375,1)*Nøgletal!F375</f>
        <v>0</v>
      </c>
      <c r="BS47" s="292">
        <f>(Nøgletal!F$202+Nøgletal!F$273/(1-Nøgletal!F$300))*Nøgletal!F338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C$4+E47*Emissionsfaktorer!$C$3+F47*Emissionsfaktorer!$C$5+H47*Emissionsfaktorer!$C$7+I47*Emissionsfaktorer!$C$8+J47*Emissionsfaktorer!$C$9+K47*Emissionsfaktorer!$C$10+L47*Emissionsfaktorer!$C$11+M47*Emissionsfaktorer!$C$12)*-1*(1-Nøgletal!$F$336)+T47*Emissionsfaktorer!$C$13*Nøgletal!$F$336</f>
        <v>0</v>
      </c>
    </row>
    <row r="48" spans="2:78" x14ac:dyDescent="0.25">
      <c r="B48" s="31"/>
      <c r="C48" s="278"/>
      <c r="D48" s="278"/>
      <c r="E48" s="278">
        <f>AJ48*Nøgletal!F600</f>
        <v>0</v>
      </c>
      <c r="F48" s="278"/>
      <c r="G48" s="278">
        <f t="shared" si="29"/>
        <v>0</v>
      </c>
      <c r="H48" s="278"/>
      <c r="I48" s="278">
        <f>AJ48*Nøgletal!F596</f>
        <v>0</v>
      </c>
      <c r="J48" s="278">
        <f>AJ48*Nøgletal!F597</f>
        <v>0</v>
      </c>
      <c r="K48" s="278">
        <f>AJ48*Nøgletal!F598</f>
        <v>0</v>
      </c>
      <c r="L48" s="278"/>
      <c r="M48" s="278">
        <f>AJ48*Nøgletal!F599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AJ48*Nøgletal!F601</f>
        <v>0</v>
      </c>
      <c r="V48" s="278">
        <f>Nøgletal!F602</f>
        <v>0</v>
      </c>
      <c r="W48" s="278">
        <f>Nøgletal!F603</f>
        <v>0</v>
      </c>
      <c r="X48" s="278">
        <f>AJ48*Nøgletal!F604</f>
        <v>0</v>
      </c>
      <c r="Y48" s="278">
        <f>AJ48*Nøgletal!F605</f>
        <v>0</v>
      </c>
      <c r="Z48" s="278"/>
      <c r="AA48" s="278"/>
      <c r="AB48" s="278">
        <f>AJ48*Nøgletal!F606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-AO48/IF(Nøgletal!F376+Nøgletal!G376&gt;0,Nøgletal!F376+Nøgletal!G376,1)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BS48/IF(Nøgletal!G376&gt;0,Nøgletal!G376,1)*Nøgletal!F376</f>
        <v>0</v>
      </c>
      <c r="BS48" s="292">
        <f>(Nøgletal!F$202+Nøgletal!F$273/(1-Nøgletal!F$300))*Nøgletal!F339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C$4+E48*Emissionsfaktorer!$C$3+F48*Emissionsfaktorer!$C$5+H48*Emissionsfaktorer!$C$7+I48*Emissionsfaktorer!$C$8+J48*Emissionsfaktorer!$C$9+K48*Emissionsfaktorer!$C$10+L48*Emissionsfaktorer!$C$11+M48*Emissionsfaktorer!$C$12)*-1*(1-Nøgletal!$F$336)+T48*Emissionsfaktorer!$C$13*Nøgletal!$F$336</f>
        <v>0</v>
      </c>
    </row>
    <row r="49" spans="2:80" x14ac:dyDescent="0.25">
      <c r="B49" s="31"/>
      <c r="C49" s="278"/>
      <c r="D49" s="278"/>
      <c r="E49" s="278">
        <f>AJ49*Nøgletal!F608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AJ49*Nøgletal!F609</f>
        <v>0</v>
      </c>
      <c r="V49" s="278"/>
      <c r="W49" s="278"/>
      <c r="X49" s="278"/>
      <c r="Y49" s="278"/>
      <c r="Z49" s="278"/>
      <c r="AA49" s="278"/>
      <c r="AB49" s="278">
        <f>AJ49*Nøgletal!F610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-AO49/IF(Nøgletal!F377+Nøgletal!G377&gt;0,Nøgletal!F377+Nøgletal!G377,1)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BS49/IF(Nøgletal!G377&gt;0,Nøgletal!G377,1)*Nøgletal!F377</f>
        <v>0</v>
      </c>
      <c r="BS49" s="292">
        <f>(Nøgletal!F$202+Nøgletal!F$273/(1-Nøgletal!F$300))*Nøgletal!F340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C$4+E49*Emissionsfaktorer!$C$3+F49*Emissionsfaktorer!$C$5+H49*Emissionsfaktorer!$C$7+I49*Emissionsfaktorer!$C$8+J49*Emissionsfaktorer!$C$9+K49*Emissionsfaktorer!$C$10+L49*Emissionsfaktorer!$C$11+M49*Emissionsfaktorer!$C$12)*-1*(1-Nøgletal!$F$336)+T49*Emissionsfaktorer!$C$13*Nøgletal!$F$336</f>
        <v>0</v>
      </c>
    </row>
    <row r="50" spans="2:80" x14ac:dyDescent="0.25">
      <c r="B50" s="31"/>
      <c r="C50" s="278">
        <f>AJ50*Nøgletal!F612</f>
        <v>0</v>
      </c>
      <c r="D50" s="278"/>
      <c r="E50" s="278">
        <f>AJ50*Nøgletal!F614</f>
        <v>0</v>
      </c>
      <c r="F50" s="278"/>
      <c r="G50" s="278">
        <f t="shared" si="29"/>
        <v>0</v>
      </c>
      <c r="H50" s="278"/>
      <c r="I50" s="278">
        <f>AJ50*Nøgletal!F613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AJ50*Nøgletal!F615</f>
        <v>0</v>
      </c>
      <c r="V50" s="278">
        <f>AJ50*Nøgletal!F626</f>
        <v>0</v>
      </c>
      <c r="W50" s="278">
        <f>AJ50*Nøgletal!F617</f>
        <v>0</v>
      </c>
      <c r="X50" s="278">
        <f>AJ50*Nøgletal!F628</f>
        <v>0</v>
      </c>
      <c r="Y50" s="278">
        <f>AJ50*Nøgletal!F619</f>
        <v>0</v>
      </c>
      <c r="Z50" s="278"/>
      <c r="AA50" s="278"/>
      <c r="AB50" s="278">
        <f>AJ50*Nøgletal!F620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-AO50/IF(Nøgletal!F378+Nøgletal!G378&gt;0,Nøgletal!F378+Nøgletal!G378,1)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BS50/IF(Nøgletal!G378&gt;0,Nøgletal!G378,1)*Nøgletal!F378</f>
        <v>0</v>
      </c>
      <c r="BS50" s="292">
        <f>(Nøgletal!F$202+Nøgletal!F$273/(1-Nøgletal!F$300))*Nøgletal!F341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C$4+E50*Emissionsfaktorer!$C$3+F50*Emissionsfaktorer!$C$5+H50*Emissionsfaktorer!$C$7+I50*Emissionsfaktorer!$C$8+J50*Emissionsfaktorer!$C$9+K50*Emissionsfaktorer!$C$10+L50*Emissionsfaktorer!$C$11+M50*Emissionsfaktorer!$C$12)*-1*(1-Nøgletal!$F$336)+T50*Emissionsfaktorer!$C$13*Nøgletal!$F$336</f>
        <v>0</v>
      </c>
    </row>
    <row r="51" spans="2:80" x14ac:dyDescent="0.25">
      <c r="B51" s="31"/>
      <c r="C51" s="278">
        <f>AJ51*Nøgletal!F622</f>
        <v>0</v>
      </c>
      <c r="D51" s="278"/>
      <c r="E51" s="278">
        <f>AJ51*Nøgletal!F624</f>
        <v>0</v>
      </c>
      <c r="F51" s="278"/>
      <c r="G51" s="278">
        <f t="shared" si="29"/>
        <v>0</v>
      </c>
      <c r="H51" s="278"/>
      <c r="I51" s="278">
        <f>AJ51*Nøgletal!F623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AJ51*Nøgletal!F625</f>
        <v>0</v>
      </c>
      <c r="V51" s="278">
        <f>AJ51*Nøgletal!F626</f>
        <v>0</v>
      </c>
      <c r="W51" s="278">
        <f>AJ51*Nøgletal!F627</f>
        <v>0</v>
      </c>
      <c r="X51" s="278">
        <f>AJ51*Nøgletal!F628</f>
        <v>0</v>
      </c>
      <c r="Y51" s="278">
        <f>AJ51*Nøgletal!F629</f>
        <v>0</v>
      </c>
      <c r="Z51" s="278"/>
      <c r="AA51" s="278"/>
      <c r="AB51" s="278">
        <f>AJ51*Nøgletal!F630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-AO51/IF(Nøgletal!F379+Nøgletal!G379&gt;0,Nøgletal!F379+Nøgletal!G379,1)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BS51/IF(Nøgletal!G379&gt;0,Nøgletal!G379,1)*Nøgletal!F379</f>
        <v>0</v>
      </c>
      <c r="BS51" s="292">
        <f>(Nøgletal!F$202+Nøgletal!F$273/(1-Nøgletal!F$300))*Nøgletal!F342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C$4+E51*Emissionsfaktorer!$C$3+F51*Emissionsfaktorer!$C$5+H51*Emissionsfaktorer!$C$7+I51*Emissionsfaktorer!$C$8+J51*Emissionsfaktorer!$C$9+K51*Emissionsfaktorer!$C$10+L51*Emissionsfaktorer!$C$11+M51*Emissionsfaktorer!$C$12)*-1*(1-Nøgletal!$F$336)+T51*Emissionsfaktorer!$C$13*Nøgletal!$F$336</f>
        <v>0</v>
      </c>
    </row>
    <row r="52" spans="2:80" x14ac:dyDescent="0.25"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-399.35279999999995</v>
      </c>
      <c r="AG52" s="280"/>
      <c r="AH52" s="280"/>
      <c r="AI52" s="280"/>
      <c r="AJ52" s="105">
        <f>-AO52/IF(Nøgletal!F380+Nøgletal!G380&gt;0,Nøgletal!F380+Nøgletal!G380,1)</f>
        <v>-399.35279999999995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399.35279999999995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BS52/IF(Nøgletal!G380&gt;0,Nøgletal!G380,1)*Nøgletal!F380</f>
        <v>0</v>
      </c>
      <c r="BS52" s="292">
        <f>(Nøgletal!F$202+Nøgletal!F$273/(1-Nøgletal!F$300))*Nøgletal!F343</f>
        <v>399.35279999999995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C$4+E52*Emissionsfaktorer!$C$3+F52*Emissionsfaktorer!$C$5+H52*Emissionsfaktorer!$C$7+I52*Emissionsfaktorer!$C$8+J52*Emissionsfaktorer!$C$9+K52*Emissionsfaktorer!$C$10+L52*Emissionsfaktorer!$C$11+M52*Emissionsfaktorer!$C$12)*-1*(1-Nøgletal!$F$336)+T52*Emissionsfaktorer!$C$13*Nøgletal!$F$336</f>
        <v>0</v>
      </c>
    </row>
    <row r="53" spans="2:80" x14ac:dyDescent="0.25"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Nøgletal!F201*-1</f>
        <v>-189.82320000000001</v>
      </c>
      <c r="AD53" s="280"/>
      <c r="AE53" s="280"/>
      <c r="AF53" s="280"/>
      <c r="AG53" s="280"/>
      <c r="AH53" s="280"/>
      <c r="AI53" s="280"/>
      <c r="AJ53" s="105">
        <f>AC53</f>
        <v>-189.82320000000001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189.82320000000001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Nøgletal!F201</f>
        <v>189.82320000000001</v>
      </c>
      <c r="BX53" s="292"/>
      <c r="BY53" s="124">
        <f t="shared" si="42"/>
        <v>0</v>
      </c>
      <c r="BZ53" s="123">
        <f>(C53*Emissionsfaktorer!$C$4+E53*Emissionsfaktorer!$C$3+F53*Emissionsfaktorer!$C$5+H53*Emissionsfaktorer!$C$7+I53*Emissionsfaktorer!$C$8+J53*Emissionsfaktorer!$C$9+K53*Emissionsfaktorer!$C$10+L53*Emissionsfaktorer!$C$11+M53*Emissionsfaktorer!$C$12)*-1*(1-Nøgletal!$F$336)+T53*Emissionsfaktorer!$C$13*Nøgletal!$F$336</f>
        <v>0</v>
      </c>
    </row>
    <row r="54" spans="2:80" x14ac:dyDescent="0.25"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Nøgletal!F202</f>
        <v>0</v>
      </c>
      <c r="BX54" s="292"/>
      <c r="BY54" s="124">
        <f t="shared" si="42"/>
        <v>0</v>
      </c>
      <c r="BZ54" s="123">
        <f>(C54*Emissionsfaktorer!$C$4+E54*Emissionsfaktorer!$C$3+F54*Emissionsfaktorer!$C$5+H54*Emissionsfaktorer!$C$7+I54*Emissionsfaktorer!$C$8+J54*Emissionsfaktorer!$C$9+K54*Emissionsfaktorer!$C$10+L54*Emissionsfaktorer!$C$11+M54*Emissionsfaktorer!$C$12)*-1*(1-Nøgletal!$F$336)+T54*Emissionsfaktorer!$C$13*Nøgletal!$F$336</f>
        <v>0</v>
      </c>
    </row>
    <row r="55" spans="2:80" x14ac:dyDescent="0.25"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C$4+E55*Emissionsfaktorer!$C$3+F55*Emissionsfaktorer!$C$5+H55*Emissionsfaktorer!$C$7+I55*Emissionsfaktorer!$C$8+J55*Emissionsfaktorer!$C$9+K55*Emissionsfaktorer!$C$10+L55*Emissionsfaktorer!$C$11+M55*Emissionsfaktorer!$C$12)*-1*(1-Nøgletal!$F$336)+T55*Emissionsfaktorer!$C$13*Nøgletal!$F$336</f>
        <v>0</v>
      </c>
      <c r="CA55" s="40"/>
    </row>
    <row r="56" spans="2:80" x14ac:dyDescent="0.25"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2:80" x14ac:dyDescent="0.25"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-3200.0000000000005</v>
      </c>
      <c r="F57" s="20">
        <f t="shared" si="43"/>
        <v>-197.58816000000002</v>
      </c>
      <c r="G57" s="20">
        <f t="shared" si="43"/>
        <v>-101.95248000000001</v>
      </c>
      <c r="H57" s="20">
        <f t="shared" si="43"/>
        <v>-1.0080000000000002E-2</v>
      </c>
      <c r="I57" s="20">
        <f t="shared" si="43"/>
        <v>0</v>
      </c>
      <c r="J57" s="20">
        <f t="shared" si="43"/>
        <v>-101.94240000000001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-256.07904000000002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-1.5792000000000004</v>
      </c>
      <c r="Y57" s="20">
        <f t="shared" si="43"/>
        <v>-2.9568000000000008</v>
      </c>
      <c r="Z57" s="20">
        <f t="shared" si="43"/>
        <v>0</v>
      </c>
      <c r="AA57" s="20">
        <f t="shared" si="43"/>
        <v>-241.49664000000004</v>
      </c>
      <c r="AB57" s="20">
        <f t="shared" si="43"/>
        <v>-10.0464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-3755.6196800000002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2752.8692254400003</v>
      </c>
      <c r="AP57" s="37">
        <f t="shared" ref="AP57:AP64" si="44">IF(AJ57=0,0,AO57/AJ57*-1)</f>
        <v>0.73299999999999998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807.4582312</v>
      </c>
      <c r="BS57" s="20">
        <f>Nøgletal!F272/(1-Nøgletal!F299)</f>
        <v>1945.4109942400003</v>
      </c>
      <c r="BT57" s="20">
        <f>Nøgletal!G272/(1-Nøgletal!G299)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1002.75045456</v>
      </c>
      <c r="BZ57" s="126">
        <f t="shared" si="47"/>
        <v>204.79414686080003</v>
      </c>
      <c r="CB57" s="40"/>
    </row>
    <row r="58" spans="2:80" x14ac:dyDescent="0.25">
      <c r="B58" s="31"/>
      <c r="C58" s="23">
        <f>AJ58*Nøgletal!F551</f>
        <v>0</v>
      </c>
      <c r="D58" s="23"/>
      <c r="E58" s="23">
        <f>AJ58*Nøgletal!F553</f>
        <v>0</v>
      </c>
      <c r="F58" s="23"/>
      <c r="G58" s="23">
        <f t="shared" ref="G58:G64" si="48">SUM(H58:M58)</f>
        <v>0</v>
      </c>
      <c r="H58" s="23"/>
      <c r="I58" s="23">
        <f>AJ58*Nøgletal!F552</f>
        <v>0</v>
      </c>
      <c r="J58" s="23">
        <f>AJ58*Nøgletal!F557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AJ58*Nøgletal!F554</f>
        <v>0</v>
      </c>
      <c r="V58" s="23">
        <f>AJ58*Nøgletal!F555</f>
        <v>0</v>
      </c>
      <c r="W58" s="23">
        <f>AJ58*Nøgletal!F556</f>
        <v>0</v>
      </c>
      <c r="X58" s="23">
        <f>AJ58*Nøgletal!F558</f>
        <v>0</v>
      </c>
      <c r="Y58" s="23">
        <f>AJ58*Nøgletal!F559</f>
        <v>0</v>
      </c>
      <c r="Z58" s="23"/>
      <c r="AA58" s="23"/>
      <c r="AB58" s="23">
        <f>AJ58*Nøgletal!F560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-AO58/IF(Nøgletal!G369+Nøgletal!F369&gt;0,Nøgletal!G369+Nøgletal!F369,1)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BS58/IF(Nøgletal!G369&gt;0,Nøgletal!G369,1)*Nøgletal!F369</f>
        <v>0</v>
      </c>
      <c r="BS58" s="78">
        <f>BS$57*Nøgletal!F331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C$4+E58*Emissionsfaktorer!$C$3+F58*Emissionsfaktorer!$C$5+H58*Emissionsfaktorer!$C$7+I58*Emissionsfaktorer!$C$8+J58*Emissionsfaktorer!$C$9+K58*Emissionsfaktorer!$C$10+L58*Emissionsfaktorer!$C$11+M58*Emissionsfaktorer!$C$12)*-1*(1-Nøgletal!$F$329)+T58*Emissionsfaktorer!$C$13*Nøgletal!$F$329</f>
        <v>0</v>
      </c>
    </row>
    <row r="59" spans="2:80" x14ac:dyDescent="0.25"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-AO59*(1-1/IF(Nøgletal!G370&gt;0,Nøgletal!G370,1))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-AO59/IF(Nøgletal!G514&gt;0,Nøgletal!G514,1)/(1-Nøgletal!F294)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BS59/IF(Nøgletal!G370&gt;0,Nøgletal!G370,1)*Nøgletal!F370</f>
        <v>0</v>
      </c>
      <c r="BS59" s="78">
        <f>BS$57*Nøgletal!F332</f>
        <v>0</v>
      </c>
      <c r="BT59" s="32"/>
      <c r="BU59" s="32"/>
      <c r="BV59" s="32"/>
      <c r="BW59" s="32"/>
      <c r="BX59" s="32"/>
      <c r="BY59" s="124"/>
      <c r="BZ59" s="123">
        <f>(C59*Emissionsfaktorer!$C$4+E59*Emissionsfaktorer!$C$3+F59*Emissionsfaktorer!$C$5+H59*Emissionsfaktorer!$C$7+I59*Emissionsfaktorer!$C$8+J59*Emissionsfaktorer!$C$9+K59*Emissionsfaktorer!$C$10+L59*Emissionsfaktorer!$C$11+M59*Emissionsfaktorer!$C$12)*-1*(1-Nøgletal!$F$329)+T59*Emissionsfaktorer!$C$13*Nøgletal!$F$329</f>
        <v>0</v>
      </c>
    </row>
    <row r="60" spans="2:80" x14ac:dyDescent="0.25"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-AO60/IF(Nøgletal!G371+Nøgletal!F371&gt;0,Nøgletal!G371+Nøgletal!F371,1)/(1-Nøgletal!F294)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BS$57*Nøgletal!F333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C$4+E60*Emissionsfaktorer!$C$3+F60*Emissionsfaktorer!$C$5+H60*Emissionsfaktorer!$C$7+I60*Emissionsfaktorer!$C$8+J60*Emissionsfaktorer!$C$9+K60*Emissionsfaktorer!$C$10+L60*Emissionsfaktorer!$C$11+M60*Emissionsfaktorer!$C$12)*-1*(1-Nøgletal!$F$329)+T60*Emissionsfaktorer!$C$13*Nøgletal!$F$329</f>
        <v>0</v>
      </c>
    </row>
    <row r="61" spans="2:80" x14ac:dyDescent="0.25"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-AO61/IF(Nøgletal!G372+Nøgletal!F372&gt;0,Nøgletal!G372+Nøgletal!F372,1)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BS61/IF(Nøgletal!G372&gt;0,Nøgletal!G372,1)*Nøgletal!F372</f>
        <v>0</v>
      </c>
      <c r="BS61" s="78">
        <f>BS$57*Nøgletal!F334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C$4+E61*Emissionsfaktorer!$C$3+F61*Emissionsfaktorer!$C$5+H61*Emissionsfaktorer!$C$7+I61*Emissionsfaktorer!$C$8+J61*Emissionsfaktorer!$C$9+K61*Emissionsfaktorer!$C$10+L61*Emissionsfaktorer!$C$11+M61*Emissionsfaktorer!$C$12)*-1*(1-Nøgletal!$F$329)+T61*Emissionsfaktorer!$C$13*Nøgletal!$F$329</f>
        <v>0</v>
      </c>
    </row>
    <row r="62" spans="2:80" x14ac:dyDescent="0.25"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-AO62/IF(Nøgletal!G373+Nøgletal!F373&gt;0,Nøgletal!G373+Nøgletal!F373,1)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BS62/IF(Nøgletal!G373&gt;0,Nøgletal!G373,1)*Nøgletal!F373</f>
        <v>0</v>
      </c>
      <c r="BS62" s="78">
        <f>BS$57*Nøgletal!F335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C$4+E62*Emissionsfaktorer!$C$3+F62*Emissionsfaktorer!$C$5+H62*Emissionsfaktorer!$C$7+I62*Emissionsfaktorer!$C$8+J62*Emissionsfaktorer!$C$9+K62*Emissionsfaktorer!$C$10+L62*Emissionsfaktorer!$C$11+M62*Emissionsfaktorer!$C$12)*-1*(1-Nøgletal!$F$329)+T62*Emissionsfaktorer!$C$13*Nøgletal!$F$329</f>
        <v>0</v>
      </c>
    </row>
    <row r="63" spans="2:80" x14ac:dyDescent="0.25"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BS63/IF(Nøgletal!G351&gt;0,Nøgletal!G351,1)*Nøgletal!F351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C$4+E63*Emissionsfaktorer!$C$3+F63*Emissionsfaktorer!$C$5+H63*Emissionsfaktorer!$C$7+I63*Emissionsfaktorer!$C$8+J63*Emissionsfaktorer!$C$9+K63*Emissionsfaktorer!$C$10+L63*Emissionsfaktorer!$C$11+M63*Emissionsfaktorer!$C$12)*-1*(1-Nøgletal!$F$329)+T63*Emissionsfaktorer!$C$13*Nøgletal!$F$329</f>
        <v>0</v>
      </c>
    </row>
    <row r="64" spans="2:80" x14ac:dyDescent="0.25">
      <c r="B64" s="31"/>
      <c r="C64" s="23">
        <f>AJ64*Nøgletal!F567</f>
        <v>0</v>
      </c>
      <c r="D64" s="23"/>
      <c r="E64" s="23">
        <f>AJ64*Nøgletal!F572</f>
        <v>-3200.0000000000005</v>
      </c>
      <c r="F64" s="23">
        <f>AJ64*Nøgletal!F584</f>
        <v>-197.58816000000002</v>
      </c>
      <c r="G64" s="23">
        <f t="shared" si="48"/>
        <v>-101.95248000000001</v>
      </c>
      <c r="H64" s="23">
        <f>AJ64*Nøgletal!F566</f>
        <v>-1.0080000000000002E-2</v>
      </c>
      <c r="I64" s="23">
        <f>AJ64*Nøgletal!F568</f>
        <v>0</v>
      </c>
      <c r="J64" s="23">
        <f>AJ64*Nøgletal!F569</f>
        <v>-101.94240000000001</v>
      </c>
      <c r="K64" s="23">
        <f>AJ64*Nøgletal!F570</f>
        <v>0</v>
      </c>
      <c r="L64" s="23"/>
      <c r="M64" s="23">
        <f>AJ64*Nøgletal!F571</f>
        <v>0</v>
      </c>
      <c r="N64" s="23">
        <f t="shared" si="49"/>
        <v>0</v>
      </c>
      <c r="O64" s="23"/>
      <c r="P64" s="23"/>
      <c r="Q64" s="23">
        <f>AJ64*Nøgletal!F573</f>
        <v>0</v>
      </c>
      <c r="R64" s="23">
        <f>AJ64*Nøgletal!F574</f>
        <v>0</v>
      </c>
      <c r="S64" s="23">
        <f>AJ64*Nøgletal!F575</f>
        <v>0</v>
      </c>
      <c r="T64" s="23">
        <f t="shared" si="50"/>
        <v>-256.07904000000002</v>
      </c>
      <c r="U64" s="23">
        <f>AJ64*Nøgletal!F576</f>
        <v>0</v>
      </c>
      <c r="V64" s="23">
        <f>AJ64*Nøgletal!F577</f>
        <v>0</v>
      </c>
      <c r="W64" s="23">
        <f>AJ64*Nøgletal!F578</f>
        <v>0</v>
      </c>
      <c r="X64" s="23">
        <f>AJ64*Nøgletal!F579</f>
        <v>-1.5792000000000004</v>
      </c>
      <c r="Y64" s="23">
        <f>AJ64*Nøgletal!F580</f>
        <v>-2.9568000000000008</v>
      </c>
      <c r="Z64" s="23">
        <f>AJ64*Nøgletal!F581</f>
        <v>0</v>
      </c>
      <c r="AA64" s="23">
        <f>AJ64*Nøgletal!F582</f>
        <v>-241.49664000000004</v>
      </c>
      <c r="AB64" s="23">
        <f>AJ64*Nøgletal!F583</f>
        <v>-10.0464</v>
      </c>
      <c r="AC64" s="23"/>
      <c r="AD64" s="23"/>
      <c r="AE64" s="23"/>
      <c r="AF64" s="23"/>
      <c r="AG64" s="23"/>
      <c r="AH64" s="23"/>
      <c r="AI64" s="23"/>
      <c r="AJ64" s="105">
        <f>-AO64/IF(Nøgletal!G351+Nøgletal!F351&gt;0,Nøgletal!G351+Nøgletal!F351,1)</f>
        <v>-3755.6196800000002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2752.8692254400003</v>
      </c>
      <c r="AP64" s="37">
        <f t="shared" si="44"/>
        <v>0.73299999999999998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BS64/IF(Nøgletal!G351&gt;0,Nøgletal!G351,1)*Nøgletal!F351</f>
        <v>807.4582312</v>
      </c>
      <c r="BS64" s="78">
        <f>BS$57*Nøgletal!F309</f>
        <v>1945.4109942400003</v>
      </c>
      <c r="BT64" s="23"/>
      <c r="BU64" s="32"/>
      <c r="BV64" s="32"/>
      <c r="BW64" s="93"/>
      <c r="BX64" s="93"/>
      <c r="BY64" s="124">
        <f t="shared" si="54"/>
        <v>1002.75045456</v>
      </c>
      <c r="BZ64" s="123">
        <f>(C64*Emissionsfaktorer!$C$4+E64*Emissionsfaktorer!$C$3+F64*Emissionsfaktorer!$C$5+H64*Emissionsfaktorer!$C$7+I64*Emissionsfaktorer!$C$8+J64*Emissionsfaktorer!$C$9+K64*Emissionsfaktorer!$C$10+L64*Emissionsfaktorer!$C$11+M64*Emissionsfaktorer!$C$12)*-1*(1-Nøgletal!$F$329)+T64*Emissionsfaktorer!$C$13*Nøgletal!$F$329</f>
        <v>204.79414686080003</v>
      </c>
    </row>
    <row r="65" spans="2:80" x14ac:dyDescent="0.25">
      <c r="B65" s="31"/>
      <c r="C65" s="295"/>
      <c r="D65" s="20">
        <f>AV65/IF(Nøgletal!F708&gt;0,Nøgletal!F708,1)*-1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$BT65/IF(Nøgletal!$F$720&gt;0,Nøgletal!$F$720,1)*-Nøgletal!$F711*Nøgletal!$F710</f>
        <v>0</v>
      </c>
      <c r="V65" s="20">
        <f>$BT65/IF(Nøgletal!$F$720&gt;0,Nøgletal!$F$720,1)*-Nøgletal!$F712*Nøgletal!$F710</f>
        <v>0</v>
      </c>
      <c r="W65" s="20">
        <f>$BT65/IF(Nøgletal!$F$720&gt;0,Nøgletal!$F$720,1)*-Nøgletal!$F713*Nøgletal!$F710</f>
        <v>0</v>
      </c>
      <c r="X65" s="20">
        <f>$BT65/IF(Nøgletal!$F$720&gt;0,Nøgletal!$F$720,1)*-Nøgletal!$F714*Nøgletal!$F710</f>
        <v>0</v>
      </c>
      <c r="Y65" s="20">
        <f>$BT65/IF(Nøgletal!$F$720&gt;0,Nøgletal!$F$720,1)*-Nøgletal!$F715*Nøgletal!$F710</f>
        <v>0</v>
      </c>
      <c r="Z65" s="20">
        <f>$BT65/IF(Nøgletal!$F$720&gt;0,Nøgletal!$F$720,1)*-Nøgletal!$F716*Nøgletal!$F710</f>
        <v>0</v>
      </c>
      <c r="AA65" s="20">
        <f>$BT65/IF(Nøgletal!$F$720&gt;0,Nøgletal!$F$720,1)*-Nøgletal!$F717*Nøgletal!$F710</f>
        <v>0</v>
      </c>
      <c r="AB65" s="20">
        <f>$BT65/IF(Nøgletal!$F$720&gt;0,Nøgletal!$F$720,1)*-Nøgletal!$F718*Nøgletal!$F710</f>
        <v>0</v>
      </c>
      <c r="AC65" s="20">
        <f>BT65/IF(Nøgletal!F720&gt;0,Nøgletal!F720,1)*-Nøgletal!F719</f>
        <v>0</v>
      </c>
      <c r="AD65" s="20"/>
      <c r="AE65" s="20"/>
      <c r="AF65" s="20"/>
      <c r="AG65" s="20"/>
      <c r="AH65" s="20"/>
      <c r="AI65" s="20"/>
      <c r="AJ65" s="105">
        <f>AV65/IF(Nøgletal!F708&gt;0,Nøgletal!F708,1)+BT65/IF(Nøgletal!F720&gt;0,Nøgletal!F720,1)*-1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Nøgletal!F701</f>
        <v>0</v>
      </c>
      <c r="AW65" s="20">
        <f>$AV65*Nøgletal!F702</f>
        <v>0</v>
      </c>
      <c r="AX65" s="20">
        <f>$AV65*Nøgletal!F703</f>
        <v>0</v>
      </c>
      <c r="AY65" s="20">
        <f>$AV65*Nøgletal!F704</f>
        <v>0</v>
      </c>
      <c r="AZ65" s="20">
        <f>$AV65*Nøgletal!F705</f>
        <v>0</v>
      </c>
      <c r="BA65" s="20">
        <f>$AV65*Nøgletal!F706</f>
        <v>0</v>
      </c>
      <c r="BB65" s="20">
        <f>$AV65*Nøgletal!F707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Nøgletal!F709</f>
        <v>0</v>
      </c>
      <c r="BU65" s="21"/>
      <c r="BV65" s="21"/>
      <c r="BW65" s="86"/>
      <c r="BX65" s="86"/>
      <c r="BY65" s="124">
        <f t="shared" si="54"/>
        <v>0</v>
      </c>
      <c r="BZ65" s="300"/>
      <c r="CB65" s="231" t="e">
        <f>#REF!*#REF!/1.25/#REF!*-1</f>
        <v>#REF!</v>
      </c>
    </row>
    <row r="66" spans="2:80" x14ac:dyDescent="0.25">
      <c r="B66" s="31"/>
      <c r="C66" s="80"/>
      <c r="D66" s="80"/>
      <c r="E66" s="80"/>
      <c r="F66" s="80"/>
      <c r="G66" s="81">
        <f t="shared" si="29"/>
        <v>-2188.2844709999995</v>
      </c>
      <c r="H66" s="80">
        <f t="shared" ref="H66:M66" si="55">H68</f>
        <v>-25.600000000000005</v>
      </c>
      <c r="I66" s="80">
        <f t="shared" si="55"/>
        <v>-10.500000000000002</v>
      </c>
      <c r="J66" s="80">
        <f t="shared" si="55"/>
        <v>-171</v>
      </c>
      <c r="K66" s="80">
        <f t="shared" si="55"/>
        <v>-977.66139499999974</v>
      </c>
      <c r="L66" s="80">
        <f t="shared" si="55"/>
        <v>-359.09999999999997</v>
      </c>
      <c r="M66" s="80">
        <f t="shared" si="55"/>
        <v>-644.42307599999992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-1247.2474649738274</v>
      </c>
      <c r="AD66" s="82">
        <f>-BS9</f>
        <v>-2344.7637942400002</v>
      </c>
      <c r="AE66" s="80"/>
      <c r="AF66" s="80"/>
      <c r="AG66" s="80"/>
      <c r="AH66" s="267">
        <f>-BW9</f>
        <v>-189.82320000000001</v>
      </c>
      <c r="AI66" s="80"/>
      <c r="AJ66" s="105">
        <f t="shared" ref="AJ66:AJ83" si="56">SUM(C66:G66,N66,T66,AC66:AG66)</f>
        <v>-5780.2957302138275</v>
      </c>
      <c r="AK66" s="13" t="s">
        <v>233</v>
      </c>
      <c r="AL66" s="13" t="s">
        <v>234</v>
      </c>
      <c r="AM66" s="99"/>
      <c r="AN66" s="37"/>
      <c r="AO66" s="38">
        <f t="shared" si="1"/>
        <v>5344.4637201840178</v>
      </c>
      <c r="AP66" s="37">
        <f t="shared" si="6"/>
        <v>0.92460039583239673</v>
      </c>
      <c r="AQ66" s="31"/>
      <c r="AR66" s="80"/>
      <c r="AS66" s="80"/>
      <c r="AT66" s="80"/>
      <c r="AU66" s="80"/>
      <c r="AV66" s="95">
        <f t="shared" si="7"/>
        <v>2188.2844709999995</v>
      </c>
      <c r="AW66" s="80">
        <f t="shared" ref="AW66:BB66" si="57">H66*-1</f>
        <v>25.600000000000005</v>
      </c>
      <c r="AX66" s="80">
        <f t="shared" si="57"/>
        <v>10.500000000000002</v>
      </c>
      <c r="AY66" s="80">
        <f t="shared" si="57"/>
        <v>171</v>
      </c>
      <c r="AZ66" s="80">
        <f t="shared" si="57"/>
        <v>977.66139499999974</v>
      </c>
      <c r="BA66" s="80">
        <f t="shared" si="57"/>
        <v>359.09999999999997</v>
      </c>
      <c r="BB66" s="80">
        <f t="shared" si="57"/>
        <v>644.42307599999992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1156.198400030738</v>
      </c>
      <c r="BS66" s="80">
        <f>AD68*-1</f>
        <v>1810.1576491532803</v>
      </c>
      <c r="BT66" s="80"/>
      <c r="BU66" s="80"/>
      <c r="BV66" s="80"/>
      <c r="BW66" s="267">
        <f>-AH66</f>
        <v>189.82320000000001</v>
      </c>
      <c r="BX66" s="80"/>
      <c r="BY66" s="124">
        <f t="shared" si="54"/>
        <v>435.83201002980968</v>
      </c>
      <c r="BZ66" s="123"/>
    </row>
    <row r="67" spans="2:80" x14ac:dyDescent="0.25"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3.0239999999999996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3.0239999999999996</v>
      </c>
      <c r="BD67" s="11">
        <f>-1*O68</f>
        <v>0</v>
      </c>
      <c r="BE67" s="11">
        <f>-1*P68</f>
        <v>0</v>
      </c>
      <c r="BF67" s="11">
        <f>-1*Q68</f>
        <v>2.5999999999999996</v>
      </c>
      <c r="BG67" s="11">
        <f>-1*R68</f>
        <v>0</v>
      </c>
      <c r="BH67" s="11">
        <f>-1*S68</f>
        <v>0.42400000000000004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(C67*Emissionsfaktorer!$C$4+E67*Emissionsfaktorer!$C$3+F67*Emissionsfaktorer!$C$5+H67*Emissionsfaktorer!$C$7+I67*Emissionsfaktorer!$C$8+J67*Emissionsfaktorer!$C$9+K67*Emissionsfaktorer!$C$10+L67*Emissionsfaktorer!$C$11+M67*Emissionsfaktorer!$C$12)*-1</f>
        <v>0</v>
      </c>
      <c r="CA67" s="2"/>
    </row>
    <row r="68" spans="2:80" x14ac:dyDescent="0.25"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-296.83100000000002</v>
      </c>
      <c r="F68" s="267">
        <f t="shared" si="58"/>
        <v>0</v>
      </c>
      <c r="G68" s="267">
        <f t="shared" si="58"/>
        <v>-2188.2844709999995</v>
      </c>
      <c r="H68" s="267">
        <f t="shared" si="58"/>
        <v>-25.600000000000005</v>
      </c>
      <c r="I68" s="267">
        <f t="shared" si="58"/>
        <v>-10.500000000000002</v>
      </c>
      <c r="J68" s="267">
        <f t="shared" si="58"/>
        <v>-171</v>
      </c>
      <c r="K68" s="267">
        <f t="shared" si="58"/>
        <v>-977.66139499999974</v>
      </c>
      <c r="L68" s="267">
        <f t="shared" si="58"/>
        <v>-359.09999999999997</v>
      </c>
      <c r="M68" s="267">
        <f t="shared" si="58"/>
        <v>-644.42307599999992</v>
      </c>
      <c r="N68" s="267">
        <f t="shared" si="58"/>
        <v>-3.0239999999999996</v>
      </c>
      <c r="O68" s="267">
        <f t="shared" si="58"/>
        <v>0</v>
      </c>
      <c r="P68" s="267">
        <f t="shared" si="58"/>
        <v>0</v>
      </c>
      <c r="Q68" s="267">
        <f t="shared" si="58"/>
        <v>-2.5999999999999996</v>
      </c>
      <c r="R68" s="267">
        <f t="shared" si="58"/>
        <v>0</v>
      </c>
      <c r="S68" s="267">
        <f t="shared" si="58"/>
        <v>-0.42400000000000004</v>
      </c>
      <c r="T68" s="267">
        <f t="shared" si="58"/>
        <v>-246.89552900000001</v>
      </c>
      <c r="U68" s="267">
        <f t="shared" si="58"/>
        <v>0</v>
      </c>
      <c r="V68" s="267">
        <f t="shared" si="58"/>
        <v>-1.895529</v>
      </c>
      <c r="W68" s="267">
        <f t="shared" si="58"/>
        <v>-31.999999999999993</v>
      </c>
      <c r="X68" s="267">
        <f t="shared" si="58"/>
        <v>-171.00000000000003</v>
      </c>
      <c r="Y68" s="267">
        <f t="shared" si="58"/>
        <v>-42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-1156.198400030738</v>
      </c>
      <c r="AD68" s="267">
        <f t="shared" si="58"/>
        <v>-1810.1576491532803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-189.82320000000001</v>
      </c>
      <c r="AI68" s="267">
        <f>SUM(AI69:AI70,AI79:AI80,AI84)</f>
        <v>0</v>
      </c>
      <c r="AJ68" s="105">
        <f t="shared" si="56"/>
        <v>-5701.3910491840179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4120.4724730776707</v>
      </c>
      <c r="AP68" s="37">
        <f t="shared" si="6"/>
        <v>0.7227135338607219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4120.4724730776707</v>
      </c>
      <c r="BX68" s="267">
        <f t="shared" si="59"/>
        <v>0</v>
      </c>
      <c r="BY68" s="268">
        <f t="shared" si="59"/>
        <v>1580.9185761063477</v>
      </c>
      <c r="BZ68" s="268">
        <f t="shared" si="59"/>
        <v>177.23312364799997</v>
      </c>
    </row>
    <row r="69" spans="2:80" x14ac:dyDescent="0.25"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IF(-($BR$11+$BR$18+$BR$57)-($AC$70+AC79+AC80+AC84)/(1-Nøgletal!$F$294)-$AC$9&lt;0,-($BR$11+$BR$18+$BR$57)-($AC$70+AC79+AC80+AC84)/(1-Nøgletal!$F$294)-$AC$9,0)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AC69*Emissionsfaktorer!C6+AE69*Emissionsfaktorer!C14</f>
        <v>0</v>
      </c>
    </row>
    <row r="70" spans="2:80" x14ac:dyDescent="0.25"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-1960.4081109999997</v>
      </c>
      <c r="H70" s="79">
        <f t="shared" ref="H70:M70" si="62">SUM(H71:H78)</f>
        <v>-5.120000000000001</v>
      </c>
      <c r="I70" s="79">
        <f t="shared" si="62"/>
        <v>-10.500000000000002</v>
      </c>
      <c r="J70" s="79">
        <f t="shared" si="62"/>
        <v>0</v>
      </c>
      <c r="K70" s="79">
        <f t="shared" si="62"/>
        <v>-941.26503499999978</v>
      </c>
      <c r="L70" s="79">
        <f t="shared" si="62"/>
        <v>-359.09999999999997</v>
      </c>
      <c r="M70" s="79">
        <f t="shared" si="62"/>
        <v>-644.42307599999992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-1.8918889999999999</v>
      </c>
      <c r="U70" s="79">
        <f t="shared" ref="U70:AI70" si="63">SUM(U71:U78)</f>
        <v>0</v>
      </c>
      <c r="V70" s="79">
        <f t="shared" si="63"/>
        <v>-1.8918889999999999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0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-1962.2999999999997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526.20609999999999</v>
      </c>
      <c r="AP70" s="37">
        <f t="shared" si="6"/>
        <v>0.26815782500127405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526.20609999999999</v>
      </c>
      <c r="BX70" s="21">
        <f t="shared" si="64"/>
        <v>0</v>
      </c>
      <c r="BY70" s="127">
        <f t="shared" si="64"/>
        <v>1436.0939000000001</v>
      </c>
      <c r="BZ70" s="127">
        <f t="shared" si="64"/>
        <v>143.70349713799996</v>
      </c>
    </row>
    <row r="71" spans="2:80" x14ac:dyDescent="0.25">
      <c r="B71" s="31"/>
      <c r="C71" s="78"/>
      <c r="D71" s="78"/>
      <c r="E71" s="78">
        <f>BW71*Nøgletal!F635*-1/Nøgletal!F401</f>
        <v>0</v>
      </c>
      <c r="F71" s="78"/>
      <c r="G71" s="23">
        <f t="shared" si="29"/>
        <v>-940.81334399999992</v>
      </c>
      <c r="H71" s="78"/>
      <c r="I71" s="78"/>
      <c r="J71" s="78"/>
      <c r="K71" s="78">
        <f>AO71*Nøgletal!F287/(Nøgletal!F286+Nøgletal!F287+Nøgletal!F284)*Nøgletal!F642/Nøgletal!F402*-1</f>
        <v>-297.29026799999997</v>
      </c>
      <c r="L71" s="78"/>
      <c r="M71" s="78">
        <f>AO71*Nøgletal!F286/(Nøgletal!F286+Nøgletal!F287+Nøgletal!F284)*Nøgletal!F634/Nøgletal!F401*-1</f>
        <v>-643.52307599999995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-1.8366560000000001</v>
      </c>
      <c r="U71" s="78">
        <f>IF(Nøgletal!F636=0,0,$AO$71*Nøgletal!F636/Nøgletal!$F$401*-1)</f>
        <v>0</v>
      </c>
      <c r="V71" s="78">
        <f>AO71*(Nøgletal!F286/(Nøgletal!F286+Nøgletal!F287+Nøgletal!F284)*Nøgletal!F637/Nøgletal!F401+Nøgletal!F287/(Nøgletal!F286+Nøgletal!F287+Nøgletal!F284)*Nøgletal!F646/Nøgletal!F402)*-1</f>
        <v>-1.8366560000000001</v>
      </c>
      <c r="W71" s="78"/>
      <c r="X71" s="78"/>
      <c r="Y71" s="78"/>
      <c r="Z71" s="78"/>
      <c r="AA71" s="78"/>
      <c r="AB71" s="78">
        <f>IF(Nøgletal!F638=0,0,AO71*Nøgletal!F638/Nøgletal!F401*-1)</f>
        <v>0</v>
      </c>
      <c r="AC71" s="32">
        <f>AO71*Nøgletal!F284/(Nøgletal!F284+Nøgletal!F286+Nøgletal!F287)/(Nøgletal!F410*-1)</f>
        <v>0</v>
      </c>
      <c r="AD71" s="32"/>
      <c r="AE71" s="32">
        <f>AO71*Nøgletal!F286/(Nøgletal!F286+Nøgletal!F287+Nøgletal!F284)*Nøgletal!F639/Nøgletal!F401*-1+AO71*Nøgletal!F287/(Nøgletal!F286+Nøgletal!F287+Nøgletal!F284)*Nøgletal!F647/Nøgletal!F402*-1</f>
        <v>0</v>
      </c>
      <c r="AF71" s="32"/>
      <c r="AG71" s="32"/>
      <c r="AH71" s="32"/>
      <c r="AI71" s="32"/>
      <c r="AJ71" s="105">
        <f t="shared" si="56"/>
        <v>-942.64999999999986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203.39599999999999</v>
      </c>
      <c r="AP71" s="37">
        <f t="shared" si="6"/>
        <v>0.2157704344136212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Nøgletal!F$282*(Nøgletal!F286+Nøgletal!F287+Nøgletal!F284)</f>
        <v>203.39599999999999</v>
      </c>
      <c r="BX71" s="78"/>
      <c r="BY71" s="127">
        <f t="shared" ref="BY71:BY79" si="67">(AJ71+BW71)*-1</f>
        <v>739.25399999999991</v>
      </c>
      <c r="BZ71" s="123">
        <f>(C71*Emissionsfaktorer!$C$4+E71*Emissionsfaktorer!$C$3+F71*Emissionsfaktorer!$C$5+H71*Emissionsfaktorer!$C$7+I71*Emissionsfaktorer!$C$8+J71*Emissionsfaktorer!$C$9+K71*Emissionsfaktorer!$C$10+L71*Emissionsfaktorer!$C$11+M71*Emissionsfaktorer!$C$12)*-1</f>
        <v>68.976664379999988</v>
      </c>
    </row>
    <row r="72" spans="2:80" x14ac:dyDescent="0.25">
      <c r="B72" s="31"/>
      <c r="C72" s="78"/>
      <c r="D72" s="78"/>
      <c r="E72" s="149"/>
      <c r="F72" s="78"/>
      <c r="G72" s="23">
        <f>SUM(H72:M72)</f>
        <v>-5.120000000000001</v>
      </c>
      <c r="H72" s="78">
        <f>AO72/Nøgletal!F411*-1</f>
        <v>-5.120000000000001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-5.120000000000001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1.9456000000000004</v>
      </c>
      <c r="AP72" s="37">
        <f>IF(AJ72=0,0,AO72/AJ72*-1)</f>
        <v>0.38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Nøgletal!F$282*Nøgletal!F285</f>
        <v>1.9456000000000004</v>
      </c>
      <c r="BX72" s="78"/>
      <c r="BY72" s="127">
        <f t="shared" si="67"/>
        <v>3.1744000000000003</v>
      </c>
      <c r="BZ72" s="123">
        <f>(C72*Emissionsfaktorer!$C$4+E72*Emissionsfaktorer!$C$3+F72*Emissionsfaktorer!$C$5+H72*Emissionsfaktorer!$C$7+I72*Emissionsfaktorer!$C$8+J72*Emissionsfaktorer!$C$9+K72*Emissionsfaktorer!$C$10+L72*Emissionsfaktorer!$C$11+M72*Emissionsfaktorer!$C$12)*-1</f>
        <v>0.3328000000000001</v>
      </c>
    </row>
    <row r="73" spans="2:80" x14ac:dyDescent="0.25">
      <c r="B73" s="31"/>
      <c r="C73" s="78"/>
      <c r="D73" s="78"/>
      <c r="E73" s="78">
        <f>AO73*Nøgletal!F654/IF(Nøgletal!$F$403&gt;0,Nøgletal!F403,1)*-1</f>
        <v>0</v>
      </c>
      <c r="F73" s="78"/>
      <c r="G73" s="23">
        <f t="shared" si="29"/>
        <v>-174.11258699999999</v>
      </c>
      <c r="H73" s="78"/>
      <c r="I73" s="78"/>
      <c r="J73" s="78"/>
      <c r="K73" s="78">
        <f>$AO$73*Nøgletal!F650/IF(Nøgletal!F403&gt;0,Nøgletal!F403,1)*-1</f>
        <v>-174.11258699999999</v>
      </c>
      <c r="L73" s="78"/>
      <c r="M73" s="78">
        <f>AO73*Nøgletal!F651/IF(Nøgletal!F403&gt;0,Nøgletal!F403,1)*-1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-1.7413000000000001E-2</v>
      </c>
      <c r="U73" s="78">
        <f>AO73*Nøgletal!F653/IF(Nøgletal!F403&gt;0,Nøgletal!F403,1)*-1</f>
        <v>0</v>
      </c>
      <c r="V73" s="78">
        <f>AO73*Nøgletal!F655/IF(Nøgletal!F403&gt;0,Nøgletal!F403,1)*-1</f>
        <v>-1.7413000000000001E-2</v>
      </c>
      <c r="W73" s="78"/>
      <c r="X73" s="78"/>
      <c r="Y73" s="78"/>
      <c r="Z73" s="78"/>
      <c r="AA73" s="78"/>
      <c r="AB73" s="78">
        <f>AO73*Nøgletal!F652/IF(Nøgletal!F403&gt;0,Nøgletal!F403,1)*-1</f>
        <v>0</v>
      </c>
      <c r="AC73" s="32">
        <f>AO73*Nøgletal!F657/IF(Nøgletal!F410&gt;0,Nøgletal!F410,1)*-1</f>
        <v>0</v>
      </c>
      <c r="AD73" s="32"/>
      <c r="AE73" s="32">
        <f>AO73*Nøgletal!F656/IF(Nøgletal!F403&gt;0,Nøgletal!F403,1)*-1</f>
        <v>0</v>
      </c>
      <c r="AF73" s="32"/>
      <c r="AG73" s="32"/>
      <c r="AH73" s="32"/>
      <c r="AI73" s="32"/>
      <c r="AJ73" s="105">
        <f t="shared" si="56"/>
        <v>-174.13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43.532499999999999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Nøgletal!F$282*Nøgletal!F288</f>
        <v>43.532499999999999</v>
      </c>
      <c r="BX73" s="78"/>
      <c r="BY73" s="127">
        <f t="shared" si="67"/>
        <v>130.5975</v>
      </c>
      <c r="BZ73" s="123">
        <f>(C73*Emissionsfaktorer!$C$4+E73*Emissionsfaktorer!$C$3+F73*Emissionsfaktorer!$C$5+H73*Emissionsfaktorer!$C$7+I73*Emissionsfaktorer!$C$8+J73*Emissionsfaktorer!$C$9+K73*Emissionsfaktorer!$C$10+L73*Emissionsfaktorer!$C$11+M73*Emissionsfaktorer!$C$12)*-1</f>
        <v>12.884331437999998</v>
      </c>
    </row>
    <row r="74" spans="2:80" x14ac:dyDescent="0.25">
      <c r="B74" s="31"/>
      <c r="C74" s="78"/>
      <c r="D74" s="78"/>
      <c r="E74" s="78">
        <f>AO74*Nøgletal!F662/Nøgletal!F404*-1</f>
        <v>0</v>
      </c>
      <c r="F74" s="78"/>
      <c r="G74" s="23">
        <f t="shared" si="29"/>
        <v>-16.058394</v>
      </c>
      <c r="H74" s="78"/>
      <c r="I74" s="78"/>
      <c r="J74" s="78"/>
      <c r="K74" s="78">
        <f>AO74*Nøgletal!F659/Nøgletal!F404*-1</f>
        <v>-16.058394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-1.6059999999999998E-3</v>
      </c>
      <c r="U74" s="78">
        <f>AO75*Nøgletal!F661/Nøgletal!F404*-1</f>
        <v>0</v>
      </c>
      <c r="V74" s="78">
        <f>AO74*Nøgletal!F663/Nøgletal!F404*-1</f>
        <v>-1.6059999999999998E-3</v>
      </c>
      <c r="W74" s="78"/>
      <c r="X74" s="78"/>
      <c r="Y74" s="78"/>
      <c r="Z74" s="78"/>
      <c r="AA74" s="78"/>
      <c r="AB74" s="78">
        <f>AO74*Nøgletal!F660/Nøgletal!F404*-1</f>
        <v>0</v>
      </c>
      <c r="AC74" s="269">
        <f>AO74*Nøgletal!F665/Nøgletal!F410*-1</f>
        <v>0</v>
      </c>
      <c r="AD74" s="32"/>
      <c r="AE74" s="32">
        <f>AO74*Nøgletal!F664/Nøgletal!F404*-1</f>
        <v>0</v>
      </c>
      <c r="AF74" s="32"/>
      <c r="AG74" s="32"/>
      <c r="AH74" s="32"/>
      <c r="AI74" s="32"/>
      <c r="AJ74" s="105">
        <f t="shared" si="56"/>
        <v>-16.059999999999999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5.2997999999999994</v>
      </c>
      <c r="AP74" s="37">
        <f t="shared" ref="AP74:AP89" si="68">IF(AJ74=0,0,AO74/AJ74*-1)</f>
        <v>0.33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Nøgletal!F$282*Nøgletal!F289</f>
        <v>5.2997999999999994</v>
      </c>
      <c r="BX74" s="78"/>
      <c r="BY74" s="127">
        <f t="shared" si="67"/>
        <v>10.760199999999999</v>
      </c>
      <c r="BZ74" s="123">
        <f>(C74*Emissionsfaktorer!$C$4+E74*Emissionsfaktorer!$C$3+F74*Emissionsfaktorer!$C$5+H74*Emissionsfaktorer!$C$7+I74*Emissionsfaktorer!$C$8+J74*Emissionsfaktorer!$C$9+K74*Emissionsfaktorer!$C$10+L74*Emissionsfaktorer!$C$11+M74*Emissionsfaktorer!$C$12)*-1</f>
        <v>1.188321156</v>
      </c>
    </row>
    <row r="75" spans="2:80" x14ac:dyDescent="0.25">
      <c r="B75" s="31"/>
      <c r="C75" s="78"/>
      <c r="D75" s="78"/>
      <c r="E75" s="78">
        <f>AO75*Nøgletal!F670/Nøgletal!F405*-1</f>
        <v>0</v>
      </c>
      <c r="F75" s="78"/>
      <c r="G75" s="23">
        <f t="shared" si="29"/>
        <v>-362.10378599999996</v>
      </c>
      <c r="H75" s="78"/>
      <c r="I75" s="78"/>
      <c r="J75" s="78"/>
      <c r="K75" s="78">
        <f>AO75*Nøgletal!F667/Nøgletal!F405*-1</f>
        <v>-362.10378599999996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-3.6214000000000003E-2</v>
      </c>
      <c r="U75" s="78">
        <f>AO76*Nøgletal!F669/Nøgletal!F405*-1</f>
        <v>0</v>
      </c>
      <c r="V75" s="78">
        <f>AO75*Nøgletal!F671/Nøgletal!F405*-1</f>
        <v>-3.6214000000000003E-2</v>
      </c>
      <c r="W75" s="78"/>
      <c r="X75" s="78"/>
      <c r="Y75" s="78"/>
      <c r="Z75" s="78"/>
      <c r="AA75" s="78"/>
      <c r="AB75" s="78">
        <f>AO75*Nøgletal!F668/Nøgletal!F405*-1</f>
        <v>0</v>
      </c>
      <c r="AC75" s="269">
        <f>AO75*Nøgletal!F673/Nøgletal!F410*-1</f>
        <v>0</v>
      </c>
      <c r="AD75" s="32"/>
      <c r="AE75" s="32">
        <f>AO75*Nøgletal!F672/Nøgletal!F405*-1</f>
        <v>0</v>
      </c>
      <c r="AF75" s="32"/>
      <c r="AG75" s="32"/>
      <c r="AH75" s="32"/>
      <c r="AI75" s="32"/>
      <c r="AJ75" s="105">
        <f t="shared" si="56"/>
        <v>-362.13999999999993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119.50619999999999</v>
      </c>
      <c r="AP75" s="37">
        <f t="shared" si="68"/>
        <v>0.33000000000000007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Nøgletal!F$282*Nøgletal!F290</f>
        <v>119.50619999999999</v>
      </c>
      <c r="BX75" s="78"/>
      <c r="BY75" s="127">
        <f t="shared" si="67"/>
        <v>242.63379999999995</v>
      </c>
      <c r="BZ75" s="123">
        <f>(C75*Emissionsfaktorer!$C$4+E75*Emissionsfaktorer!$C$3+F75*Emissionsfaktorer!$C$5+H75*Emissionsfaktorer!$C$7+I75*Emissionsfaktorer!$C$8+J75*Emissionsfaktorer!$C$9+K75*Emissionsfaktorer!$C$10+L75*Emissionsfaktorer!$C$11+M75*Emissionsfaktorer!$C$12)*-1</f>
        <v>26.795680163999997</v>
      </c>
    </row>
    <row r="76" spans="2:80" x14ac:dyDescent="0.25">
      <c r="B76" s="31"/>
      <c r="C76" s="78"/>
      <c r="D76" s="78"/>
      <c r="E76" s="78"/>
      <c r="F76" s="78"/>
      <c r="G76" s="23">
        <f t="shared" si="29"/>
        <v>-28.899999999999995</v>
      </c>
      <c r="H76" s="78"/>
      <c r="I76" s="78"/>
      <c r="J76" s="78"/>
      <c r="K76" s="78">
        <f>AO76*Nøgletal!F675/Nøgletal!F407*-1</f>
        <v>-28.899999999999995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AO76*Nøgletal!F676/Nøgletal!F407*-1</f>
        <v>0</v>
      </c>
      <c r="W76" s="78"/>
      <c r="X76" s="78"/>
      <c r="Y76" s="78"/>
      <c r="Z76" s="78"/>
      <c r="AA76" s="78"/>
      <c r="AB76" s="78"/>
      <c r="AC76" s="269">
        <f>AO76*Nøgletal!F678/Nøgletal!F410*-1</f>
        <v>0</v>
      </c>
      <c r="AD76" s="32"/>
      <c r="AE76" s="32">
        <f>AO76*Nøgletal!F677/Nøgletal!F407*-1</f>
        <v>0</v>
      </c>
      <c r="AF76" s="32"/>
      <c r="AG76" s="32"/>
      <c r="AH76" s="32"/>
      <c r="AI76" s="32"/>
      <c r="AJ76" s="105">
        <f t="shared" si="56"/>
        <v>-28.899999999999995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9.536999999999999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Nøgletal!F$282*Nøgletal!F291</f>
        <v>9.536999999999999</v>
      </c>
      <c r="BX76" s="78"/>
      <c r="BY76" s="127">
        <f t="shared" si="67"/>
        <v>19.362999999999996</v>
      </c>
      <c r="BZ76" s="123">
        <f>(C76*Emissionsfaktorer!$C$4+E76*Emissionsfaktorer!$C$3+F76*Emissionsfaktorer!$C$5+H76*Emissionsfaktorer!$C$7+I76*Emissionsfaktorer!$C$8+J76*Emissionsfaktorer!$C$9+K76*Emissionsfaktorer!$C$10+L76*Emissionsfaktorer!$C$11+M76*Emissionsfaktorer!$C$12)*-1</f>
        <v>2.1385999999999994</v>
      </c>
    </row>
    <row r="77" spans="2:80" x14ac:dyDescent="0.25">
      <c r="B77" s="31"/>
      <c r="C77" s="78"/>
      <c r="D77" s="78"/>
      <c r="E77" s="78"/>
      <c r="F77" s="78"/>
      <c r="G77" s="23">
        <f t="shared" si="29"/>
        <v>-359.99999999999994</v>
      </c>
      <c r="H77" s="78"/>
      <c r="I77" s="78"/>
      <c r="J77" s="78"/>
      <c r="K77" s="78"/>
      <c r="L77" s="78">
        <f>AO77*Nøgletal!F680/Nøgletal!F408*-1</f>
        <v>-359.09999999999997</v>
      </c>
      <c r="M77" s="78">
        <f>AO77*Nøgletal!F681/Nøgletal!F408*-1</f>
        <v>-0.89999999999999991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AO77*Nøgletal!F682/Nøgletal!F407*-1</f>
        <v>0</v>
      </c>
      <c r="W77" s="78"/>
      <c r="X77" s="78"/>
      <c r="Y77" s="78"/>
      <c r="Z77" s="78"/>
      <c r="AA77" s="78"/>
      <c r="AB77" s="78"/>
      <c r="AC77" s="269">
        <f>AO77*Nøgletal!F684/Nøgletal!F410</f>
        <v>0</v>
      </c>
      <c r="AD77" s="32"/>
      <c r="AE77" s="32">
        <f>AO77*Nøgletal!F683/Nøgletal!F408*-1</f>
        <v>0</v>
      </c>
      <c r="AF77" s="32"/>
      <c r="AG77" s="32"/>
      <c r="AH77" s="32"/>
      <c r="AI77" s="32"/>
      <c r="AJ77" s="105">
        <f t="shared" si="56"/>
        <v>-359.99999999999994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118.8</v>
      </c>
      <c r="AP77" s="37">
        <f t="shared" si="68"/>
        <v>0.33000000000000007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Nøgletal!F$282*Nøgletal!F292</f>
        <v>118.8</v>
      </c>
      <c r="BX77" s="78"/>
      <c r="BY77" s="127">
        <f t="shared" si="67"/>
        <v>241.19999999999993</v>
      </c>
      <c r="BZ77" s="123">
        <f>(C77*Emissionsfaktorer!$C$4+E77*Emissionsfaktorer!$C$3+F77*Emissionsfaktorer!$C$5+H77*Emissionsfaktorer!$C$7+I77*Emissionsfaktorer!$C$8+J77*Emissionsfaktorer!$C$9+K77*Emissionsfaktorer!$C$10+L77*Emissionsfaktorer!$C$11+M77*Emissionsfaktorer!$C$12)*-1</f>
        <v>25.920899999999996</v>
      </c>
    </row>
    <row r="78" spans="2:80" x14ac:dyDescent="0.25">
      <c r="B78" s="31"/>
      <c r="C78" s="78"/>
      <c r="D78" s="78"/>
      <c r="E78" s="78"/>
      <c r="F78" s="78"/>
      <c r="G78" s="23">
        <f t="shared" si="29"/>
        <v>-73.3</v>
      </c>
      <c r="H78" s="78"/>
      <c r="I78" s="78">
        <f>-AO78/Nøgletal!F409*Nøgletal!F686</f>
        <v>-10.500000000000002</v>
      </c>
      <c r="J78" s="78"/>
      <c r="K78" s="78">
        <f>AO78*Nøgletal!F687/Nøgletal!F409*-1</f>
        <v>-62.8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AO78*Nøgletal!F688/Nøgletal!F409*-1</f>
        <v>0</v>
      </c>
      <c r="W78" s="78"/>
      <c r="X78" s="78"/>
      <c r="Y78" s="78"/>
      <c r="Z78" s="78"/>
      <c r="AA78" s="78"/>
      <c r="AB78" s="78"/>
      <c r="AC78" s="269">
        <f>AO78*Nøgletal!F690/Nøgletal!F410*-1</f>
        <v>0</v>
      </c>
      <c r="AD78" s="32"/>
      <c r="AE78" s="32">
        <f>AO78*Nøgletal!F689/Nøgletal!F409*-1</f>
        <v>0</v>
      </c>
      <c r="AF78" s="32"/>
      <c r="AG78" s="32"/>
      <c r="AH78" s="32"/>
      <c r="AI78" s="32"/>
      <c r="AJ78" s="105">
        <f t="shared" si="56"/>
        <v>-73.3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24.189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Nøgletal!F$282*Nøgletal!F293</f>
        <v>24.189</v>
      </c>
      <c r="BX78" s="78"/>
      <c r="BY78" s="127">
        <f t="shared" si="67"/>
        <v>49.110999999999997</v>
      </c>
      <c r="BZ78" s="123">
        <f>(C78*Emissionsfaktorer!$C$4+E78*Emissionsfaktorer!$C$3+F78*Emissionsfaktorer!$C$5+H78*Emissionsfaktorer!$C$7+I78*Emissionsfaktorer!$C$8+J78*Emissionsfaktorer!$C$9+K78*Emissionsfaktorer!$C$10+L78*Emissionsfaktorer!$C$11+M78*Emissionsfaktorer!$C$12)*-1</f>
        <v>5.4661999999999997</v>
      </c>
    </row>
    <row r="79" spans="2:80" x14ac:dyDescent="0.25">
      <c r="B79" s="31"/>
      <c r="C79" s="21"/>
      <c r="D79" s="21"/>
      <c r="E79" s="21">
        <f>Nøgletal!F37*Nøgletal!F38*Nøgletal!F43/Nøgletal!G391*-1</f>
        <v>-0.83899999999999997</v>
      </c>
      <c r="F79" s="21"/>
      <c r="G79" s="20">
        <f t="shared" si="29"/>
        <v>-148.12</v>
      </c>
      <c r="H79" s="21">
        <f>Nøgletal!F34/Nøgletal!G389*-1</f>
        <v>-5.120000000000001</v>
      </c>
      <c r="I79" s="21"/>
      <c r="J79" s="21">
        <f>Nøgletal!F37*Nøgletal!F38*Nøgletal!F42/Nøgletal!G390*-1</f>
        <v>-143</v>
      </c>
      <c r="K79" s="21"/>
      <c r="L79" s="21"/>
      <c r="M79" s="21"/>
      <c r="N79" s="20">
        <f t="shared" si="32"/>
        <v>-3.0239999999999996</v>
      </c>
      <c r="O79" s="21"/>
      <c r="P79" s="21"/>
      <c r="Q79" s="21">
        <f>Nøgletal!F37*Nøgletal!F38*Nøgletal!F47/Nøgletal!G395*-1</f>
        <v>-2.5999999999999996</v>
      </c>
      <c r="R79" s="21"/>
      <c r="S79" s="21">
        <f>Nøgletal!F37*Nøgletal!F38*Nøgletal!F41*(1-1/Nøgletal!G388)*-1</f>
        <v>-0.42400000000000004</v>
      </c>
      <c r="T79" s="20">
        <f t="shared" si="30"/>
        <v>-245.00000000000003</v>
      </c>
      <c r="U79" s="21"/>
      <c r="V79" s="21"/>
      <c r="W79" s="21">
        <f>Nøgletal!F37*Nøgletal!F38*Nøgletal!F46/Nøgletal!G394*-1</f>
        <v>-31.999999999999993</v>
      </c>
      <c r="X79" s="21">
        <f>Nøgletal!F37*Nøgletal!F38*Nøgletal!F45/Nøgletal!G393*-1</f>
        <v>-171.00000000000003</v>
      </c>
      <c r="Y79" s="21">
        <f>Nøgletal!F37*Nøgletal!F38*Nøgletal!F44/Nøgletal!G392*-1</f>
        <v>-42</v>
      </c>
      <c r="Z79" s="21"/>
      <c r="AA79" s="21"/>
      <c r="AB79" s="21"/>
      <c r="AC79" s="79">
        <f>-(Nøgletal!F31/Nøgletal!F$385+Nøgletal!F32/Nøgletal!F$386+Nøgletal!F33/Nøgletal!F$387+Nøgletal!F30/Nøgletal!F382+Nøgletal!F37*Nøgletal!F38*Nøgletal!F48/Nøgletal!F384+Nøgletal!F37*Nøgletal!F38*Nøgletal!F49/Nøgletal!F383+Nøgletal!F37*Nøgletal!F38*Nøgletal!F41/Nøgletal!G388)</f>
        <v>-312.45779243073792</v>
      </c>
      <c r="AD79" s="21">
        <f>Nøgletal!F37*Nøgletal!F39*-1</f>
        <v>-1149.450107212333</v>
      </c>
      <c r="AE79" s="21"/>
      <c r="AF79" s="21"/>
      <c r="AG79" s="21"/>
      <c r="AH79" s="21"/>
      <c r="AI79" s="21"/>
      <c r="AJ79" s="105">
        <f t="shared" si="56"/>
        <v>-1858.890899643071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1702.6517498701235</v>
      </c>
      <c r="AP79" s="37">
        <f t="shared" si="68"/>
        <v>0.91595033909577628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Nøgletal!F28</f>
        <v>1702.6517498701235</v>
      </c>
      <c r="BX79" s="79"/>
      <c r="BY79" s="127">
        <f t="shared" si="67"/>
        <v>156.23914977294748</v>
      </c>
      <c r="BZ79" s="123">
        <f>(C79*Emissionsfaktorer!$C$4+E79*Emissionsfaktorer!$C$3+F79*Emissionsfaktorer!$C$5+H79*Emissionsfaktorer!$C$7+I79*Emissionsfaktorer!$C$8+J79*Emissionsfaktorer!$C$9+K79*Emissionsfaktorer!$C$10+L79*Emissionsfaktorer!$C$11+M79*Emissionsfaktorer!$C$12)*-1</f>
        <v>10.962430029999998</v>
      </c>
    </row>
    <row r="80" spans="2:80" x14ac:dyDescent="0.25"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-399.56847480000005</v>
      </c>
      <c r="AD80" s="21">
        <f>SUM(AD81:AD83)</f>
        <v>-530.37619120191107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-929.94466600191117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872.03578009251112</v>
      </c>
      <c r="AP80" s="37">
        <f t="shared" si="68"/>
        <v>0.93772867566586904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872.03578009251112</v>
      </c>
      <c r="BX80" s="79"/>
      <c r="BY80" s="230">
        <f>SUM(BY81:BY83)</f>
        <v>57.908885909399942</v>
      </c>
      <c r="BZ80" s="123">
        <f>(C80*Emissionsfaktorer!$C$4+E80*Emissionsfaktorer!$C$3+F80*Emissionsfaktorer!$C$5+H80*Emissionsfaktorer!$C$7+I80*Emissionsfaktorer!$C$8+J80*Emissionsfaktorer!$C$9+K80*Emissionsfaktorer!$C$10+L80*Emissionsfaktorer!$C$11+M80*Emissionsfaktorer!$C$12)*-1</f>
        <v>0</v>
      </c>
    </row>
    <row r="81" spans="2:80" x14ac:dyDescent="0.25">
      <c r="B81" s="31"/>
      <c r="C81" s="32"/>
      <c r="D81" s="32"/>
      <c r="E81" s="32">
        <f>Nøgletal!F65*Nøgletal!F66*Nøgletal!F71/Nøgletal!G391*-1</f>
        <v>0</v>
      </c>
      <c r="F81" s="32"/>
      <c r="G81" s="23">
        <f t="shared" si="29"/>
        <v>0</v>
      </c>
      <c r="H81" s="32">
        <f>Nøgletal!F62/Nøgletal!G389*-1</f>
        <v>0</v>
      </c>
      <c r="I81" s="32"/>
      <c r="J81" s="32">
        <f>Nøgletal!F65*Nøgletal!F66*Nøgletal!F70/Nøgletal!G390*-1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Nøgletal!F65*Nøgletal!F66*Nøgletal!F75/Nøgletal!G395*-1</f>
        <v>0</v>
      </c>
      <c r="R81" s="32"/>
      <c r="S81" s="32">
        <f>Nøgletal!F65*Nøgletal!F66*Nøgletal!F69*(1-1/Nøgletal!G388)*-1</f>
        <v>0</v>
      </c>
      <c r="T81" s="23">
        <f t="shared" si="30"/>
        <v>0</v>
      </c>
      <c r="U81" s="32"/>
      <c r="V81" s="32"/>
      <c r="W81" s="32">
        <f>Nøgletal!F65*Nøgletal!F66*Nøgletal!F74/Nøgletal!G394*-1</f>
        <v>0</v>
      </c>
      <c r="X81" s="32">
        <f>Nøgletal!F65*Nøgletal!F66*Nøgletal!F73/Nøgletal!G393*-1</f>
        <v>0</v>
      </c>
      <c r="Y81" s="32">
        <f>Nøgletal!F65*Nøgletal!F66*Nøgletal!F72/Nøgletal!G392*-1</f>
        <v>0</v>
      </c>
      <c r="Z81" s="32"/>
      <c r="AA81" s="32"/>
      <c r="AB81" s="32"/>
      <c r="AC81" s="78">
        <f>-(Nøgletal!F59/Nøgletal!F$385+Nøgletal!F60/Nøgletal!F$386+Nøgletal!F61/Nøgletal!F$387+Nøgletal!F65*Nøgletal!F66*Nøgletal!F76/Nøgletal!F384+Nøgletal!F65*Nøgletal!F66*Nøgletal!F69/Nøgletal!G388+Nøgletal!F77*Nøgletal!F65*Nøgletal!F66/Nøgletal!F383)</f>
        <v>-189.062622</v>
      </c>
      <c r="AD81" s="32">
        <f>Nøgletal!F65*Nøgletal!F67*-1</f>
        <v>-168.34466137125509</v>
      </c>
      <c r="AE81" s="32"/>
      <c r="AF81" s="32"/>
      <c r="AG81" s="32"/>
      <c r="AH81" s="32"/>
      <c r="AI81" s="32"/>
      <c r="AJ81" s="105">
        <f t="shared" si="56"/>
        <v>-357.40728337125506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311.18147229225508</v>
      </c>
      <c r="AP81" s="37">
        <f t="shared" si="68"/>
        <v>0.87066348888312062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Nøgletal!F57</f>
        <v>311.18147229225508</v>
      </c>
      <c r="BX81" s="78"/>
      <c r="BY81" s="127">
        <f>(AJ81+BW81)*-1</f>
        <v>46.225811078999982</v>
      </c>
      <c r="BZ81" s="123">
        <f>(C81*Emissionsfaktorer!$C$4+E81*Emissionsfaktorer!$C$3+F81*Emissionsfaktorer!$C$5+H81*Emissionsfaktorer!$C$7+I81*Emissionsfaktorer!$C$8+J81*Emissionsfaktorer!$C$9+K81*Emissionsfaktorer!$C$10+L81*Emissionsfaktorer!$C$11+M81*Emissionsfaktorer!$C$12)*-1</f>
        <v>0</v>
      </c>
    </row>
    <row r="82" spans="2:80" x14ac:dyDescent="0.25">
      <c r="B82" s="31"/>
      <c r="C82" s="32"/>
      <c r="D82" s="32"/>
      <c r="E82" s="32">
        <f>Nøgletal!F93*Nøgletal!F94*Nøgletal!F99/Nøgletal!G391*-1</f>
        <v>0</v>
      </c>
      <c r="F82" s="32"/>
      <c r="G82" s="23">
        <f t="shared" si="29"/>
        <v>0</v>
      </c>
      <c r="H82" s="32">
        <f>Nøgletal!F90/Nøgletal!G389*-1</f>
        <v>0</v>
      </c>
      <c r="I82" s="32"/>
      <c r="J82" s="32">
        <f>Nøgletal!F93*Nøgletal!F94*Nøgletal!F98/Nøgletal!G390*-1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Nøgletal!F93*Nøgletal!F94*Nøgletal!F103/Nøgletal!G395*-1</f>
        <v>0</v>
      </c>
      <c r="R82" s="32"/>
      <c r="S82" s="32">
        <f>Nøgletal!F93*Nøgletal!F94*Nøgletal!F97*(1-1/Nøgletal!G388)*-1</f>
        <v>0</v>
      </c>
      <c r="T82" s="23">
        <f t="shared" si="30"/>
        <v>0</v>
      </c>
      <c r="U82" s="32"/>
      <c r="V82" s="32"/>
      <c r="W82" s="32">
        <f>Nøgletal!F93*Nøgletal!F94*Nøgletal!F102/Nøgletal!G394*-1</f>
        <v>0</v>
      </c>
      <c r="X82" s="32">
        <f>Nøgletal!F93*Nøgletal!F94*Nøgletal!F101/Nøgletal!G393*-1</f>
        <v>0</v>
      </c>
      <c r="Y82" s="32">
        <f>Nøgletal!F93*Nøgletal!F94*Nøgletal!F100/Nøgletal!G392*-1</f>
        <v>0</v>
      </c>
      <c r="Z82" s="32"/>
      <c r="AA82" s="32"/>
      <c r="AB82" s="32"/>
      <c r="AC82" s="78">
        <f>-(Nøgletal!F87/Nøgletal!F$385+Nøgletal!F88/Nøgletal!F$386+Nøgletal!F89/Nøgletal!F$387+Nøgletal!F93*Nøgletal!F94*(Nøgletal!F97/Nøgletal!G388+Nøgletal!F104/Nøgletal!F384+Nøgletal!F105/Nøgletal!F383))</f>
        <v>-106.12630800000001</v>
      </c>
      <c r="AD82" s="32">
        <f>Nøgletal!F93*Nøgletal!F95*-1</f>
        <v>-233.51033674077314</v>
      </c>
      <c r="AE82" s="32"/>
      <c r="AF82" s="32"/>
      <c r="AG82" s="32"/>
      <c r="AH82" s="32"/>
      <c r="AI82" s="32"/>
      <c r="AJ82" s="105">
        <f t="shared" si="56"/>
        <v>-339.63664474077314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333.74663464677315</v>
      </c>
      <c r="AP82" s="37">
        <f t="shared" si="68"/>
        <v>0.98265790754559035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Nøgletal!F85</f>
        <v>333.74663464677315</v>
      </c>
      <c r="BX82" s="78"/>
      <c r="BY82" s="127">
        <f>(AJ82+BW82)*-1</f>
        <v>5.8900100939999902</v>
      </c>
      <c r="BZ82" s="123">
        <f>(C82*Emissionsfaktorer!$C$4+E82*Emissionsfaktorer!$C$3+F82*Emissionsfaktorer!$C$5+H82*Emissionsfaktorer!$C$7+I82*Emissionsfaktorer!$C$8+J82*Emissionsfaktorer!$C$9+K82*Emissionsfaktorer!$C$10+L82*Emissionsfaktorer!$C$11+M82*Emissionsfaktorer!$C$12)*-1</f>
        <v>0</v>
      </c>
    </row>
    <row r="83" spans="2:80" x14ac:dyDescent="0.25">
      <c r="B83" s="31"/>
      <c r="C83" s="32"/>
      <c r="D83" s="32"/>
      <c r="E83" s="32">
        <f>Nøgletal!F121*Nøgletal!F122*Nøgletal!F127/Nøgletal!G391*-1</f>
        <v>0</v>
      </c>
      <c r="F83" s="32"/>
      <c r="G83" s="23">
        <f t="shared" si="29"/>
        <v>0</v>
      </c>
      <c r="H83" s="32">
        <f>Nøgletal!F118/Nøgletal!G389*-1</f>
        <v>0</v>
      </c>
      <c r="I83" s="32"/>
      <c r="J83" s="32">
        <f>Nøgletal!F121*Nøgletal!F122*Nøgletal!F126/Nøgletal!G390*-1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Nøgletal!F121*Nøgletal!F122*Nøgletal!F131/Nøgletal!G395*-1</f>
        <v>0</v>
      </c>
      <c r="R83" s="32"/>
      <c r="S83" s="32">
        <f>Nøgletal!F121*Nøgletal!F122*Nøgletal!F125*(1-1/Nøgletal!G388)*-1</f>
        <v>0</v>
      </c>
      <c r="T83" s="23">
        <f t="shared" si="30"/>
        <v>0</v>
      </c>
      <c r="U83" s="32"/>
      <c r="V83" s="32"/>
      <c r="W83" s="32">
        <f>Nøgletal!F121*Nøgletal!F122*Nøgletal!F130/Nøgletal!G394*-1</f>
        <v>0</v>
      </c>
      <c r="X83" s="32">
        <f>Nøgletal!F121*Nøgletal!F122*Nøgletal!F129/Nøgletal!G392*-1</f>
        <v>0</v>
      </c>
      <c r="Y83" s="32">
        <f>Nøgletal!F121*Nøgletal!F122*Nøgletal!F128/Nøgletal!G392*-1</f>
        <v>0</v>
      </c>
      <c r="Z83" s="32"/>
      <c r="AA83" s="32"/>
      <c r="AB83" s="32"/>
      <c r="AC83" s="78">
        <f>-(Nøgletal!F115/Nøgletal!F$385+Nøgletal!F116/Nøgletal!F$386+Nøgletal!F117/Nøgletal!F$387+Nøgletal!F121*Nøgletal!F122*(Nøgletal!F125/Nøgletal!G388+Nøgletal!F132/Nøgletal!F384+Nøgletal!F133/Nøgletal!F383))</f>
        <v>-104.37954480000001</v>
      </c>
      <c r="AD83" s="32">
        <f>Nøgletal!F121*Nøgletal!F123*-1</f>
        <v>-128.52119308988287</v>
      </c>
      <c r="AE83" s="32"/>
      <c r="AF83" s="32"/>
      <c r="AG83" s="32"/>
      <c r="AH83" s="32"/>
      <c r="AI83" s="32"/>
      <c r="AJ83" s="105">
        <f t="shared" si="56"/>
        <v>-232.90073788988286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227.10767315348289</v>
      </c>
      <c r="AP83" s="37">
        <f t="shared" si="68"/>
        <v>0.97512646465234054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Nøgletal!F113</f>
        <v>227.10767315348289</v>
      </c>
      <c r="BX83" s="78"/>
      <c r="BY83" s="127">
        <f>(AJ83+BW83)*-1</f>
        <v>5.7930647363999697</v>
      </c>
      <c r="BZ83" s="123">
        <f>(C83*Emissionsfaktorer!$C$4+E83*Emissionsfaktorer!$C$3+F83*Emissionsfaktorer!$C$5+H83*Emissionsfaktorer!$C$7+I83*Emissionsfaktorer!$C$8+J83*Emissionsfaktorer!$C$9+K83*Emissionsfaktorer!$C$10+L83*Emissionsfaktorer!$C$11+M83*Emissionsfaktorer!$C$12)*-1</f>
        <v>0</v>
      </c>
    </row>
    <row r="84" spans="2:80" x14ac:dyDescent="0.25"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-295.99200000000002</v>
      </c>
      <c r="F84" s="266">
        <f t="shared" si="71"/>
        <v>0</v>
      </c>
      <c r="G84" s="266">
        <f t="shared" si="71"/>
        <v>-79.756360000000001</v>
      </c>
      <c r="H84" s="266">
        <f t="shared" si="71"/>
        <v>-15.360000000000003</v>
      </c>
      <c r="I84" s="266">
        <f t="shared" si="71"/>
        <v>0</v>
      </c>
      <c r="J84" s="266">
        <f t="shared" si="71"/>
        <v>-28</v>
      </c>
      <c r="K84" s="266">
        <f t="shared" si="71"/>
        <v>-36.396360000000001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-3.6400000000000004E-3</v>
      </c>
      <c r="U84" s="266">
        <f t="shared" si="71"/>
        <v>0</v>
      </c>
      <c r="V84" s="266">
        <f t="shared" si="71"/>
        <v>-3.6400000000000004E-3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-444.17213279999999</v>
      </c>
      <c r="AD84" s="266">
        <f t="shared" si="71"/>
        <v>-130.3313507390362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-189.82320000000001</v>
      </c>
      <c r="AI84" s="266">
        <f t="shared" si="71"/>
        <v>0</v>
      </c>
      <c r="AJ84" s="105">
        <f>SUM(AJ85:AJ88)</f>
        <v>-950.25548353903628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1019.5788431150362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1019.5788431150362</v>
      </c>
      <c r="BX84" s="266">
        <f t="shared" si="72"/>
        <v>0</v>
      </c>
      <c r="BY84" s="123">
        <f t="shared" si="72"/>
        <v>-69.323359575999916</v>
      </c>
      <c r="BZ84" s="123">
        <f t="shared" si="72"/>
        <v>22.56719648</v>
      </c>
    </row>
    <row r="85" spans="2:80" x14ac:dyDescent="0.25">
      <c r="B85" s="31"/>
      <c r="C85" s="32"/>
      <c r="D85" s="32"/>
      <c r="E85" s="32">
        <f>Nøgletal!F149*Nøgletal!F150*Nøgletal!F155/Nøgletal!G391*-1</f>
        <v>0</v>
      </c>
      <c r="F85" s="32"/>
      <c r="G85" s="23">
        <f>SUM(H85:M85)</f>
        <v>0</v>
      </c>
      <c r="H85" s="32">
        <f>Nøgletal!F146/Nøgletal!G389*-1</f>
        <v>0</v>
      </c>
      <c r="I85" s="32"/>
      <c r="J85" s="32">
        <f>Nøgletal!F149*Nøgletal!F150*Nøgletal!F154/Nøgletal!G390*-1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Nøgletal!F149*Nøgletal!F150*Nøgletal!F159/Nøgletal!G395*-1</f>
        <v>0</v>
      </c>
      <c r="R85" s="32"/>
      <c r="S85" s="32">
        <f>Nøgletal!F149*Nøgletal!F150*Nøgletal!F153*(1-1/Nøgletal!G388)*-1</f>
        <v>0</v>
      </c>
      <c r="T85" s="23">
        <f>SUM(U85:AB85)</f>
        <v>0</v>
      </c>
      <c r="U85" s="32"/>
      <c r="V85" s="32"/>
      <c r="W85" s="32">
        <f>Nøgletal!F149*Nøgletal!F150*Nøgletal!F158/Nøgletal!G394*-1</f>
        <v>0</v>
      </c>
      <c r="X85" s="32">
        <f>Nøgletal!F149*Nøgletal!F150*Nøgletal!F157/Nøgletal!G393*-1</f>
        <v>0</v>
      </c>
      <c r="Y85" s="32">
        <f>Nøgletal!F149*Nøgletal!F150*Nøgletal!F156/Nøgletal!G392*-1</f>
        <v>0</v>
      </c>
      <c r="Z85" s="32"/>
      <c r="AA85" s="32"/>
      <c r="AB85" s="32"/>
      <c r="AC85" s="78">
        <f>-(Nøgletal!F143/Nøgletal!F$385+Nøgletal!F144/Nøgletal!F$386+Nøgletal!F145/Nøgletal!F$387+Nøgletal!F149*Nøgletal!F150*(Nøgletal!F153/Nøgletal!G388+Nøgletal!F160/Nøgletal!F384+Nøgletal!F161/Nøgletal!F383))</f>
        <v>-13.2518124</v>
      </c>
      <c r="AD85" s="32">
        <f>Nøgletal!F149*Nøgletal!F151*-1</f>
        <v>0</v>
      </c>
      <c r="AE85" s="32"/>
      <c r="AF85" s="32"/>
      <c r="AG85" s="32"/>
      <c r="AH85" s="32"/>
      <c r="AI85" s="32"/>
      <c r="AJ85" s="105">
        <f>SUM(C85:G85,N85,T85,AC85:AG85)</f>
        <v>-13.2518124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11.6748467244</v>
      </c>
      <c r="AP85" s="37">
        <f t="shared" si="68"/>
        <v>0.88100000000000001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Nøgletal!F141</f>
        <v>11.6748467244</v>
      </c>
      <c r="BX85" s="78"/>
      <c r="BY85" s="127">
        <f>(AJ85+BW85)*-1</f>
        <v>1.5769656756000003</v>
      </c>
      <c r="BZ85" s="123">
        <f>(C85*Emissionsfaktorer!$C$4+E85*Emissionsfaktorer!$C$3+F85*Emissionsfaktorer!$C$5+H85*Emissionsfaktorer!$C$7+I85*Emissionsfaktorer!$C$8+J85*Emissionsfaktorer!$C$9+K85*Emissionsfaktorer!$C$10+L85*Emissionsfaktorer!$C$11+M85*Emissionsfaktorer!$C$12)*-1</f>
        <v>0</v>
      </c>
    </row>
    <row r="86" spans="2:80" x14ac:dyDescent="0.25">
      <c r="B86" s="31"/>
      <c r="C86" s="32"/>
      <c r="D86" s="32"/>
      <c r="E86" s="78">
        <f>Nøgletal!F181*Nøgletal!F182*Nøgletal!F187/Nøgletal!G391*-1+Nøgletal!F177/Nøgletal!G397*Nøgletal!F413*-1+Nøgletal!F178/Nøgletal!G398*Nøgletal!F424*-1</f>
        <v>-295.99200000000002</v>
      </c>
      <c r="F86" s="32">
        <f>Nøgletal!F178/Nøgletal!G398*Nøgletal!F427*-1</f>
        <v>0</v>
      </c>
      <c r="G86" s="23">
        <f>SUM(H86:M86)</f>
        <v>-43.36</v>
      </c>
      <c r="H86" s="32">
        <f>Nøgletal!F175/Nøgletal!G389*-1</f>
        <v>-15.360000000000003</v>
      </c>
      <c r="I86" s="32">
        <f>Nøgletal!F178/Nøgletal!G398*Nøgletal!F425*-1</f>
        <v>0</v>
      </c>
      <c r="J86" s="32">
        <f>Nøgletal!F181*Nøgletal!F182*Nøgletal!F186/Nøgletal!G390*-1+Nøgletal!F176/Nøgletal!G396*Nøgletal!F416*-1</f>
        <v>-28</v>
      </c>
      <c r="K86" s="32"/>
      <c r="L86" s="32"/>
      <c r="M86" s="32"/>
      <c r="N86" s="23">
        <f>SUM(O86:S86)</f>
        <v>0</v>
      </c>
      <c r="O86" s="32"/>
      <c r="P86" s="32"/>
      <c r="Q86" s="32">
        <f>Nøgletal!F181*Nøgletal!F182*Nøgletal!F191/Nøgletal!G395*-1</f>
        <v>0</v>
      </c>
      <c r="R86" s="32"/>
      <c r="S86" s="32">
        <f>Nøgletal!F181*Nøgletal!F182*Nøgletal!F185*(1-1/Nøgletal!G388)*-1</f>
        <v>0</v>
      </c>
      <c r="T86" s="23">
        <f>SUM(U86:AB86)</f>
        <v>0</v>
      </c>
      <c r="U86" s="32"/>
      <c r="V86" s="32"/>
      <c r="W86" s="32">
        <f>Nøgletal!F181*Nøgletal!F182*Nøgletal!F190/Nøgletal!G394*-1</f>
        <v>0</v>
      </c>
      <c r="X86" s="32">
        <f>Nøgletal!$F$177/Nøgletal!$G$397*Nøgletal!$F$414*-1+Nøgletal!F176/Nøgletal!G396*Nøgletal!F417*-1</f>
        <v>0</v>
      </c>
      <c r="Y86" s="32">
        <f>Nøgletal!F178/Nøgletal!G398*Nøgletal!F426*-1</f>
        <v>0</v>
      </c>
      <c r="Z86" s="32"/>
      <c r="AA86" s="32"/>
      <c r="AB86" s="32"/>
      <c r="AC86" s="78">
        <f>-(Nøgletal!F171/Nøgletal!F$385+Nøgletal!F172/Nøgletal!F$386+Nøgletal!F173/Nøgletal!F$387+Nøgletal!F181*Nøgletal!F182*(Nøgletal!F185/Nøgletal!G388+Nøgletal!F192/Nøgletal!F384+Nøgletal!F193/Nøgletal!F383))</f>
        <v>-410.09287319999999</v>
      </c>
      <c r="AD86" s="32">
        <f>(Nøgletal!F181*Nøgletal!F183+Nøgletal!F202)*-1</f>
        <v>-94.128197755970589</v>
      </c>
      <c r="AE86" s="32"/>
      <c r="AF86" s="32"/>
      <c r="AG86" s="32"/>
      <c r="AH86" s="269">
        <f>AH68</f>
        <v>-189.82320000000001</v>
      </c>
      <c r="AI86" s="32"/>
      <c r="AJ86" s="105">
        <f>SUM(C86:G86,N86,T86,AC86:AG86)</f>
        <v>-843.57307095597071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942.67281904517063</v>
      </c>
      <c r="AP86" s="37">
        <f t="shared" si="68"/>
        <v>1.1174761873051449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Nøgletal!F169</f>
        <v>942.67281904517063</v>
      </c>
      <c r="BX86" s="78"/>
      <c r="BY86" s="127">
        <f>(AJ86+BW86)*-1</f>
        <v>-99.09974808919992</v>
      </c>
      <c r="BZ86" s="123">
        <f>(C86*Emissionsfaktorer!$C$4+E86*Emissionsfaktorer!$C$3+F86*Emissionsfaktorer!$C$5+H86*Emissionsfaktorer!$C$7+I86*Emissionsfaktorer!$C$8+J86*Emissionsfaktorer!$C$9+K86*Emissionsfaktorer!$C$10+L86*Emissionsfaktorer!$C$11+M86*Emissionsfaktorer!$C$12)*-1</f>
        <v>19.873865840000001</v>
      </c>
    </row>
    <row r="87" spans="2:80" x14ac:dyDescent="0.25">
      <c r="B87" s="31"/>
      <c r="C87" s="32"/>
      <c r="D87" s="32"/>
      <c r="E87" s="32">
        <f>Nøgletal!F211*Nøgletal!F212*Nøgletal!F217/Nøgletal!G391*-1</f>
        <v>0</v>
      </c>
      <c r="F87" s="32"/>
      <c r="G87" s="23">
        <f>SUM(H87:M87)</f>
        <v>0</v>
      </c>
      <c r="H87" s="32">
        <f>Nøgletal!F208/Nøgletal!G389*-1</f>
        <v>0</v>
      </c>
      <c r="I87" s="149"/>
      <c r="J87" s="32">
        <f>Nøgletal!F211*Nøgletal!F212*Nøgletal!F216/Nøgletal!G390*-1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Nøgletal!F211*Nøgletal!F212*Nøgletal!F221/Nøgletal!G395*-1</f>
        <v>0</v>
      </c>
      <c r="R87" s="32"/>
      <c r="S87" s="32">
        <f>Nøgletal!F211*Nøgletal!F212*Nøgletal!F215*(1-1/Nøgletal!G388)*-1</f>
        <v>0</v>
      </c>
      <c r="T87" s="23">
        <f>SUM(U87:AB87)</f>
        <v>0</v>
      </c>
      <c r="U87" s="32"/>
      <c r="V87" s="32"/>
      <c r="W87" s="32">
        <f>Nøgletal!F211*Nøgletal!F212*Nøgletal!F220/Nøgletal!G394*-1</f>
        <v>0</v>
      </c>
      <c r="X87" s="32">
        <f>Nøgletal!F211*Nøgletal!F212*Nøgletal!F219/Nøgletal!G393*-1</f>
        <v>0</v>
      </c>
      <c r="Y87" s="32">
        <f>Nøgletal!F211*Nøgletal!F212*Nøgletal!F218/Nøgletal!G392*-1</f>
        <v>0</v>
      </c>
      <c r="Z87" s="32"/>
      <c r="AA87" s="32"/>
      <c r="AB87" s="32"/>
      <c r="AC87" s="78">
        <f>-(Nøgletal!F205/Nøgletal!F$385+Nøgletal!F206/Nøgletal!F$386+Nøgletal!F207/Nøgletal!F$387+Nøgletal!F211*Nøgletal!F212*(Nøgletal!F215/Nøgletal!G388+Nøgletal!F222/Nøgletal!F384+Nøgletal!F223/Nøgletal!F383))</f>
        <v>-1.4346648</v>
      </c>
      <c r="AD87" s="32">
        <f>Nøgletal!F211*Nøgletal!F213*-1</f>
        <v>-36.203152983065607</v>
      </c>
      <c r="AE87" s="32"/>
      <c r="AF87" s="32"/>
      <c r="AG87" s="32"/>
      <c r="AH87" s="32"/>
      <c r="AI87" s="32"/>
      <c r="AJ87" s="105">
        <f>SUM(C87:G87,N87,T87,AC87:AG87)</f>
        <v>-37.637817783065607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37.375274124665609</v>
      </c>
      <c r="AP87" s="37">
        <f t="shared" si="68"/>
        <v>0.99302447182476861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Nøgletal!F203</f>
        <v>37.375274124665609</v>
      </c>
      <c r="BX87" s="78"/>
      <c r="BY87" s="127">
        <f>(AJ87+BW87)*-1</f>
        <v>0.26254365839999849</v>
      </c>
      <c r="BZ87" s="123">
        <f>(C87*Emissionsfaktorer!$C$4+E87*Emissionsfaktorer!$C$3+F87*Emissionsfaktorer!$C$5+H87*Emissionsfaktorer!$C$7+I87*Emissionsfaktorer!$C$8+J87*Emissionsfaktorer!$C$9+K87*Emissionsfaktorer!$C$10+L87*Emissionsfaktorer!$C$11+M87*Emissionsfaktorer!$C$12)*-1</f>
        <v>0</v>
      </c>
    </row>
    <row r="88" spans="2:80" x14ac:dyDescent="0.25">
      <c r="B88" s="31"/>
      <c r="C88" s="32"/>
      <c r="D88" s="32"/>
      <c r="E88" s="32">
        <f>(Nøgletal!F236/Nøgletal!F406*Nøgletal!F696+Nøgletal!F240*Nøgletal!F241*Nøgletal!F246/Nøgletal!G391)*-1</f>
        <v>0</v>
      </c>
      <c r="F88" s="32"/>
      <c r="G88" s="23">
        <f>SUM(H88:M88)</f>
        <v>-36.396360000000001</v>
      </c>
      <c r="H88" s="32">
        <f>Nøgletal!F237/Nøgletal!G389*-1</f>
        <v>0</v>
      </c>
      <c r="I88" s="32"/>
      <c r="J88" s="32">
        <f>Nøgletal!F240*Nøgletal!F241*Nøgletal!F245/Nøgletal!G390*-1</f>
        <v>0</v>
      </c>
      <c r="K88" s="78">
        <f>Nøgletal!F236/Nøgletal!F406*Nøgletal!F692*-1</f>
        <v>-36.396360000000001</v>
      </c>
      <c r="L88" s="32"/>
      <c r="M88" s="32">
        <f>Nøgletal!F236/Nøgletal!F406*Nøgletal!F693*-1</f>
        <v>0</v>
      </c>
      <c r="N88" s="23">
        <f>SUM(O88:S88)</f>
        <v>0</v>
      </c>
      <c r="O88" s="32"/>
      <c r="P88" s="32"/>
      <c r="Q88" s="32">
        <f>Nøgletal!F240*Nøgletal!F241*Nøgletal!F250/Nøgletal!G395*-1</f>
        <v>0</v>
      </c>
      <c r="R88" s="32"/>
      <c r="S88" s="32">
        <f>Nøgletal!F240*Nøgletal!F241*Nøgletal!F244*(1-1/Nøgletal!G388)*-1</f>
        <v>0</v>
      </c>
      <c r="T88" s="23">
        <f>SUM(U88:AB88)</f>
        <v>-3.6400000000000004E-3</v>
      </c>
      <c r="U88" s="32">
        <f>Nøgletal!F236*Nøgletal!F695/Nøgletal!F406*-1</f>
        <v>0</v>
      </c>
      <c r="V88" s="32">
        <f>Nøgletal!F236*Nøgletal!F697/Nøgletal!F406*-1</f>
        <v>-3.6400000000000004E-3</v>
      </c>
      <c r="W88" s="32">
        <f>Nøgletal!F240*Nøgletal!F241*Nøgletal!F249/Nøgletal!G394*-1</f>
        <v>0</v>
      </c>
      <c r="X88" s="32">
        <f>Nøgletal!F240*Nøgletal!F241*Nøgletal!F248/Nøgletal!G393*-1</f>
        <v>0</v>
      </c>
      <c r="Y88" s="32">
        <f>Nøgletal!F240*Nøgletal!F241*Nøgletal!F247/Nøgletal!G392*-1</f>
        <v>0</v>
      </c>
      <c r="Z88" s="32"/>
      <c r="AA88" s="32"/>
      <c r="AB88" s="32">
        <f>Nøgletal!F236*Nøgletal!F694/Nøgletal!F406*-1</f>
        <v>0</v>
      </c>
      <c r="AC88" s="78">
        <f>-(Nøgletal!F233/Nøgletal!F$385+Nøgletal!F234/Nøgletal!F$386+Nøgletal!F235/Nøgletal!F$387+Nøgletal!F236*Nøgletal!F698/Nøgletal!F406+Nøgletal!F240*Nøgletal!F241*(Nøgletal!F244/Nøgletal!G388+Nøgletal!F251/Nøgletal!F384+Nøgletal!F252/Nøgletal!F383))</f>
        <v>-19.392782399999998</v>
      </c>
      <c r="AD88" s="32">
        <f>Nøgletal!F240*Nøgletal!F242</f>
        <v>0</v>
      </c>
      <c r="AE88" s="32"/>
      <c r="AF88" s="32"/>
      <c r="AG88" s="32"/>
      <c r="AH88" s="32"/>
      <c r="AI88" s="32"/>
      <c r="AJ88" s="105">
        <f>SUM(C88:G88,N88,T88,AC88:AG88)</f>
        <v>-55.792782399999993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27.855903220799998</v>
      </c>
      <c r="AP88" s="37">
        <f t="shared" si="68"/>
        <v>0.49927431510926046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Nøgletal!F231</f>
        <v>27.855903220799998</v>
      </c>
      <c r="BX88" s="78"/>
      <c r="BY88" s="127">
        <f>(AJ88+BW88)*-1</f>
        <v>27.936879179199995</v>
      </c>
      <c r="BZ88" s="123">
        <f>(C88*Emissionsfaktorer!$C$4+E88*Emissionsfaktorer!$C$3+F88*Emissionsfaktorer!$C$5+H88*Emissionsfaktorer!$C$7+I88*Emissionsfaktorer!$C$8+J88*Emissionsfaktorer!$C$9+K88*Emissionsfaktorer!$C$10+L88*Emissionsfaktorer!$C$11+M88*Emissionsfaktorer!$C$12)*-1</f>
        <v>2.6933306400000001</v>
      </c>
    </row>
    <row r="89" spans="2:80" x14ac:dyDescent="0.25"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-5891.2142491840177</v>
      </c>
      <c r="AJ89" s="155">
        <f>AJ90+AJ101+AJ112+AJ117</f>
        <v>-5891.2142491840177</v>
      </c>
      <c r="AK89" s="88" t="s">
        <v>274</v>
      </c>
      <c r="AL89" s="89" t="s">
        <v>275</v>
      </c>
      <c r="AM89" s="89"/>
      <c r="AN89" s="37"/>
      <c r="AO89" s="38">
        <f t="shared" si="61"/>
        <v>4120.4724730776707</v>
      </c>
      <c r="AP89" s="37">
        <f t="shared" si="68"/>
        <v>0.69942668841969047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4120.4724730776707</v>
      </c>
      <c r="BX89" s="82"/>
      <c r="BY89" s="128">
        <f>BY90+BY101+BY112+BY117</f>
        <v>1783.9710910343476</v>
      </c>
      <c r="BZ89" s="128">
        <f>BZ90+BZ101+BZ112+BZ117</f>
        <v>0</v>
      </c>
    </row>
    <row r="90" spans="2:80" x14ac:dyDescent="0.25"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-1962.2999999999995</v>
      </c>
      <c r="AJ90" s="156">
        <f>SUM(AJ91:AJ100)</f>
        <v>-1962.2999999999995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526.20609999999999</v>
      </c>
      <c r="AP90" s="146">
        <f t="shared" ref="AP90:AP127" si="73">BW90/IF(AJ90&lt;0,AJ90,1)*-1</f>
        <v>0.26815782500127405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526.20609999999999</v>
      </c>
      <c r="BX90" s="108"/>
      <c r="BY90" s="129">
        <f>SUM(BY91:BY100)</f>
        <v>1432.9195000000002</v>
      </c>
      <c r="BZ90" s="129">
        <f>SUM(BZ91:BZ100)</f>
        <v>0</v>
      </c>
    </row>
    <row r="91" spans="2:80" x14ac:dyDescent="0.25"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-645.32999999999993</v>
      </c>
      <c r="AJ91" s="156">
        <f>AO91/Nøgletal!F401*-1</f>
        <v>-645.32999999999993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129.066</v>
      </c>
      <c r="AP91" s="146">
        <f t="shared" si="73"/>
        <v>0.20000000000000004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W91" s="78">
        <f>Nøgletal!F$282*Nøgletal!F286</f>
        <v>129.066</v>
      </c>
      <c r="BX91" s="119"/>
      <c r="BY91" s="127">
        <f t="shared" ref="BY91:BY98" si="76">(AJ91+BW91)*-1</f>
        <v>516.2639999999999</v>
      </c>
      <c r="BZ91" s="125">
        <v>0</v>
      </c>
      <c r="CB91" s="151"/>
    </row>
    <row r="92" spans="2:80" x14ac:dyDescent="0.25"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-297.32</v>
      </c>
      <c r="AJ92" s="156">
        <f>AO92/Nøgletal!F402*-1</f>
        <v>-297.32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74.33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W92" s="78">
        <f>Nøgletal!F$282*Nøgletal!F287</f>
        <v>74.33</v>
      </c>
      <c r="BX92" s="119"/>
      <c r="BY92" s="127">
        <f t="shared" si="76"/>
        <v>222.99</v>
      </c>
      <c r="BZ92" s="125">
        <v>0</v>
      </c>
      <c r="CB92" s="151"/>
    </row>
    <row r="93" spans="2:80" x14ac:dyDescent="0.25"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-174.13</v>
      </c>
      <c r="AJ93" s="156">
        <f>AO93/IF(Nøgletal!F403&gt;0,Nøgletal!F403,1)*-1</f>
        <v>-174.13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43.532499999999999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W93" s="78">
        <f>Nøgletal!F$282*Nøgletal!F288</f>
        <v>43.532499999999999</v>
      </c>
      <c r="BX93" s="119"/>
      <c r="BY93" s="127">
        <f t="shared" si="76"/>
        <v>130.5975</v>
      </c>
      <c r="BZ93" s="125">
        <v>0</v>
      </c>
      <c r="CB93" s="151"/>
    </row>
    <row r="94" spans="2:80" x14ac:dyDescent="0.25"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-16.059999999999999</v>
      </c>
      <c r="AJ94" s="156">
        <f>AO94/Nøgletal!F404*-1</f>
        <v>-16.059999999999999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5.2997999999999994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W94" s="78">
        <f>Nøgletal!F$282*Nøgletal!F289</f>
        <v>5.2997999999999994</v>
      </c>
      <c r="BX94" s="119"/>
      <c r="BY94" s="127">
        <f t="shared" si="76"/>
        <v>10.760199999999999</v>
      </c>
      <c r="BZ94" s="125">
        <v>0</v>
      </c>
      <c r="CB94" s="151"/>
    </row>
    <row r="95" spans="2:80" x14ac:dyDescent="0.25"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-362.14</v>
      </c>
      <c r="AJ95" s="156">
        <f>AO95/Nøgletal!F405*-1</f>
        <v>-362.14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119.50619999999999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W95" s="78">
        <f>Nøgletal!F$282*Nøgletal!F290</f>
        <v>119.50619999999999</v>
      </c>
      <c r="BX95" s="119"/>
      <c r="BY95" s="127">
        <f t="shared" si="76"/>
        <v>242.63380000000001</v>
      </c>
      <c r="BZ95" s="125">
        <v>0</v>
      </c>
      <c r="CB95" s="151"/>
    </row>
    <row r="96" spans="2:80" x14ac:dyDescent="0.25"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-28.899999999999995</v>
      </c>
      <c r="AJ96" s="156">
        <f>AO96/Nøgletal!F407*-1</f>
        <v>-28.899999999999995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9.536999999999999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W96" s="78">
        <f>Nøgletal!F$282*Nøgletal!F291</f>
        <v>9.536999999999999</v>
      </c>
      <c r="BX96" s="119"/>
      <c r="BY96" s="127">
        <f t="shared" si="76"/>
        <v>19.362999999999996</v>
      </c>
      <c r="BZ96" s="125">
        <v>0</v>
      </c>
      <c r="CB96" s="151"/>
    </row>
    <row r="97" spans="2:80" x14ac:dyDescent="0.25"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-360</v>
      </c>
      <c r="AJ97" s="156">
        <f>AO97/Nøgletal!F408*-1</f>
        <v>-360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118.8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W97" s="78">
        <f>Nøgletal!F$282*Nøgletal!F292</f>
        <v>118.8</v>
      </c>
      <c r="BX97" s="119"/>
      <c r="BY97" s="127">
        <f t="shared" si="76"/>
        <v>241.2</v>
      </c>
      <c r="BZ97" s="125">
        <v>0</v>
      </c>
      <c r="CB97" s="151"/>
    </row>
    <row r="98" spans="2:80" x14ac:dyDescent="0.25"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-73.3</v>
      </c>
      <c r="AJ98" s="156">
        <f>AO98/Nøgletal!F409*-1</f>
        <v>-73.3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24.189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W98" s="78">
        <f>Nøgletal!F$282*Nøgletal!F293</f>
        <v>24.189</v>
      </c>
      <c r="BX98" s="119"/>
      <c r="BY98" s="127">
        <f t="shared" si="76"/>
        <v>49.110999999999997</v>
      </c>
      <c r="BZ98" s="125">
        <v>0</v>
      </c>
      <c r="CB98" s="151"/>
    </row>
    <row r="99" spans="2:80" x14ac:dyDescent="0.25"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0</v>
      </c>
      <c r="AJ99" s="156">
        <f>AO99/Nøgletal!F410*-1</f>
        <v>0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0</v>
      </c>
      <c r="AP99" s="146">
        <f t="shared" si="73"/>
        <v>0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W99" s="78">
        <f>Nøgletal!F$282*Nøgletal!F284</f>
        <v>0</v>
      </c>
      <c r="BX99" s="119"/>
      <c r="BY99" s="147">
        <v>0</v>
      </c>
      <c r="BZ99" s="125">
        <v>0</v>
      </c>
      <c r="CB99" s="151"/>
    </row>
    <row r="100" spans="2:80" x14ac:dyDescent="0.25"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-5.120000000000001</v>
      </c>
      <c r="AJ100" s="156">
        <f>AO100/Nøgletal!F411*-1</f>
        <v>-5.120000000000001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1.9456000000000004</v>
      </c>
      <c r="AP100" s="146">
        <f t="shared" si="73"/>
        <v>0.38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W100" s="78">
        <f>Nøgletal!F$282*Nøgletal!F285</f>
        <v>1.9456000000000004</v>
      </c>
      <c r="BX100" s="119"/>
      <c r="BY100" s="147">
        <v>0</v>
      </c>
      <c r="BZ100" s="125">
        <v>0</v>
      </c>
      <c r="CB100" s="151"/>
    </row>
    <row r="101" spans="2:80" x14ac:dyDescent="0.25"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-956.1825008080001</v>
      </c>
      <c r="AJ101" s="156">
        <f>SUM(AJ102:AJ111)</f>
        <v>-956.1825008080001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850.19943509320001</v>
      </c>
      <c r="AP101" s="146">
        <f t="shared" si="73"/>
        <v>0.8891602119624219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850.19943509320001</v>
      </c>
      <c r="BX101" s="108"/>
      <c r="BY101" s="129">
        <f>SUM(BY102:BY111)</f>
        <v>122.38678064280003</v>
      </c>
      <c r="BZ101" s="129">
        <f>SUM(BZ102:BZ111)</f>
        <v>0</v>
      </c>
      <c r="CB101" s="19"/>
    </row>
    <row r="102" spans="2:80" x14ac:dyDescent="0.25"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-32.807429856000006</v>
      </c>
      <c r="AJ102" s="156">
        <f>AO102/Nøgletal!F386*-1</f>
        <v>-32.807429856000006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49.211144784000005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Nøgletal!F172</f>
        <v>49.211144784000005</v>
      </c>
      <c r="BX102" s="119"/>
      <c r="BY102" s="127">
        <v>0</v>
      </c>
      <c r="BZ102" s="125">
        <v>0</v>
      </c>
      <c r="CB102" s="19"/>
    </row>
    <row r="103" spans="2:80" x14ac:dyDescent="0.25"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-352.67987095199999</v>
      </c>
      <c r="AJ103" s="156">
        <f>AO103/Nøgletal!F387*-1</f>
        <v>-352.67987095199999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299.77789030919996</v>
      </c>
      <c r="AP103" s="146">
        <f t="shared" si="73"/>
        <v>0.84999999999999987</v>
      </c>
      <c r="AQ103" s="49"/>
      <c r="AR103" s="19"/>
      <c r="AS103" s="19"/>
      <c r="AT103" s="19"/>
      <c r="AU103" s="19"/>
      <c r="AV103" s="19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Nøgletal!F173</f>
        <v>299.77789030919996</v>
      </c>
      <c r="BX103" s="119"/>
      <c r="BY103" s="127">
        <f t="shared" ref="BY103:BY111" si="77">(AJ103+BW103)*-1</f>
        <v>52.901980642800027</v>
      </c>
      <c r="BZ103" s="125">
        <v>0</v>
      </c>
      <c r="CB103" s="19"/>
    </row>
    <row r="104" spans="2:80" x14ac:dyDescent="0.25"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-28</v>
      </c>
      <c r="AJ104" s="156">
        <f>AO104/Nøgletal!G396*-1</f>
        <v>-28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25.2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Nøgletal!F176</f>
        <v>25.2</v>
      </c>
      <c r="BX104" s="119"/>
      <c r="BY104" s="127">
        <f t="shared" si="77"/>
        <v>2.8000000000000007</v>
      </c>
      <c r="BZ104" s="125">
        <v>0</v>
      </c>
      <c r="CB104" s="19"/>
    </row>
    <row r="105" spans="2:80" x14ac:dyDescent="0.25"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-295.99200000000002</v>
      </c>
      <c r="AJ105" s="156">
        <f>AO105/IF(Nøgletal!G397&gt;0,Nøgletal!G397,1)*-1</f>
        <v>-295.99200000000002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266.39280000000002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Nøgletal!F177</f>
        <v>266.39280000000002</v>
      </c>
      <c r="BX105" s="119"/>
      <c r="BY105" s="127">
        <f t="shared" si="77"/>
        <v>29.599199999999996</v>
      </c>
      <c r="BZ105" s="125">
        <v>0</v>
      </c>
      <c r="CB105" s="19"/>
    </row>
    <row r="106" spans="2:80" x14ac:dyDescent="0.25"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'2025'!AO106/Nøgletal!G398*-1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Nøgletal!F178</f>
        <v>0</v>
      </c>
      <c r="BX106" s="119"/>
      <c r="BY106" s="127">
        <f t="shared" si="77"/>
        <v>0</v>
      </c>
      <c r="BZ106" s="125">
        <v>0</v>
      </c>
      <c r="CB106" s="19"/>
    </row>
    <row r="107" spans="2:80" x14ac:dyDescent="0.25"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-5.120000000000001</v>
      </c>
      <c r="AJ107" s="156">
        <f>AO107/Nøgletal!G389*-1</f>
        <v>-5.120000000000001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1.9456000000000004</v>
      </c>
      <c r="AP107" s="146">
        <f t="shared" si="73"/>
        <v>0.38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Nøgletal!F34+Nøgletal!F62+Nøgletal!F90+Nøgletal!F118+Nøgletal!F146+Nøgletal!F208+Nøgletal!F237</f>
        <v>1.9456000000000004</v>
      </c>
      <c r="BX107" s="119"/>
      <c r="BY107" s="127">
        <f t="shared" si="77"/>
        <v>3.1744000000000003</v>
      </c>
      <c r="BZ107" s="125">
        <v>0</v>
      </c>
      <c r="CB107" s="19"/>
    </row>
    <row r="108" spans="2:80" x14ac:dyDescent="0.25"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-15.360000000000003</v>
      </c>
      <c r="AJ108" s="156">
        <f>AO108/Nøgletal!G389*-1</f>
        <v>-15.360000000000003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5.8368000000000011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Nøgletal!F175</f>
        <v>5.8368000000000011</v>
      </c>
      <c r="BX108" s="119"/>
      <c r="BY108" s="127">
        <f t="shared" si="77"/>
        <v>9.5232000000000028</v>
      </c>
      <c r="BZ108" s="125">
        <v>0</v>
      </c>
      <c r="CB108" s="19"/>
    </row>
    <row r="109" spans="2:80" x14ac:dyDescent="0.25"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-189.82320000000001</v>
      </c>
      <c r="AJ109" s="156">
        <f>AO109*-1</f>
        <v>-189.82320000000001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189.82320000000001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Nøgletal!F201</f>
        <v>189.82320000000001</v>
      </c>
      <c r="BX109" s="119"/>
      <c r="BY109" s="127">
        <f t="shared" si="77"/>
        <v>0</v>
      </c>
      <c r="BZ109" s="125">
        <v>0</v>
      </c>
      <c r="CB109" s="19"/>
    </row>
    <row r="110" spans="2:80" x14ac:dyDescent="0.25"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-36.4</v>
      </c>
      <c r="AJ110" s="156">
        <f>AO110/Nøgletal!F406*-1</f>
        <v>-36.4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12.012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W110" s="78">
        <f>Nøgletal!F236</f>
        <v>12.012</v>
      </c>
      <c r="BX110" s="119"/>
      <c r="BY110" s="127">
        <f t="shared" si="77"/>
        <v>24.387999999999998</v>
      </c>
      <c r="BZ110" s="125">
        <v>0</v>
      </c>
      <c r="CB110" s="151"/>
    </row>
    <row r="111" spans="2:80" x14ac:dyDescent="0.25"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Nøgletal!F202</f>
        <v>0</v>
      </c>
      <c r="BX111" s="119"/>
      <c r="BY111" s="127">
        <f t="shared" si="77"/>
        <v>0</v>
      </c>
      <c r="BZ111" s="125">
        <v>0</v>
      </c>
      <c r="CB111" s="19"/>
    </row>
    <row r="112" spans="2:80" x14ac:dyDescent="0.25"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-742.07416554524389</v>
      </c>
      <c r="AJ112" s="157">
        <f>SUM(AJ113:AJ116)</f>
        <v>-742.07416554524389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624.22737010122353</v>
      </c>
      <c r="AP112" s="146">
        <f t="shared" si="73"/>
        <v>0.84119269890303805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624.22737010122353</v>
      </c>
      <c r="BX112" s="108"/>
      <c r="BY112" s="129">
        <f>SUM(BY113:BY116)</f>
        <v>117.84679544402032</v>
      </c>
      <c r="BZ112" s="129">
        <f>SUM(BZ113:BZ116)</f>
        <v>0</v>
      </c>
    </row>
    <row r="113" spans="1:78" x14ac:dyDescent="0.25"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-176.19040246275279</v>
      </c>
      <c r="AJ113" s="157">
        <f>AO113/Nøgletal!F385*-1</f>
        <v>-176.19040246275279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88.095201231376393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Nøgletal!F31+Nøgletal!F59+Nøgletal!F87+Nøgletal!F115+Nøgletal!F143+Nøgletal!F171+Nøgletal!F205+Nøgletal!F233</f>
        <v>88.095201231376393</v>
      </c>
      <c r="BX113" s="119"/>
      <c r="BY113" s="127">
        <f>(AJ113+BW113)*-1</f>
        <v>88.095201231376393</v>
      </c>
      <c r="BZ113" s="125">
        <v>0</v>
      </c>
    </row>
    <row r="114" spans="1:78" x14ac:dyDescent="0.25"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-43.992233106752806</v>
      </c>
      <c r="AJ114" s="157">
        <f>AO114/Nøgletal!F382*-1</f>
        <v>-43.992233106752806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19.356582566971234</v>
      </c>
      <c r="AP114" s="146">
        <f t="shared" si="73"/>
        <v>0.44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Nøgletal!F30</f>
        <v>19.356582566971234</v>
      </c>
      <c r="BX114" s="119"/>
      <c r="BY114" s="127">
        <f>(AJ114+BW114)*-1</f>
        <v>24.635650539781572</v>
      </c>
      <c r="BZ114" s="125">
        <v>0</v>
      </c>
    </row>
    <row r="115" spans="1:78" x14ac:dyDescent="0.25"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-112.56582434384366</v>
      </c>
      <c r="AJ115" s="157">
        <f>AO115/Nøgletal!F386*-1</f>
        <v>-112.56582434384366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168.84873651576549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Nøgletal!F32+Nøgletal!F60+Nøgletal!F88+Nøgletal!F116+Nøgletal!F144+Nøgletal!F206+Nøgletal!F234</f>
        <v>168.84873651576549</v>
      </c>
      <c r="BX115" s="119"/>
      <c r="BY115" s="127">
        <f>(AJ115+BW115)*-1</f>
        <v>-56.282912171921836</v>
      </c>
      <c r="BZ115" s="125">
        <v>0</v>
      </c>
    </row>
    <row r="116" spans="1:78" x14ac:dyDescent="0.25"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-409.32570563189461</v>
      </c>
      <c r="AJ116" s="157">
        <f>AO116/Nøgletal!F387*-1</f>
        <v>-409.32570563189461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347.92684978711043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Nøgletal!F33+Nøgletal!F61+Nøgletal!F89+Nøgletal!F117+Nøgletal!F145+Nøgletal!F207+Nøgletal!F235</f>
        <v>347.92684978711043</v>
      </c>
      <c r="BX116" s="119"/>
      <c r="BY116" s="127">
        <f>(AJ116+BW116)*-1</f>
        <v>61.39885584478418</v>
      </c>
      <c r="BZ116" s="125">
        <v>0</v>
      </c>
    </row>
    <row r="117" spans="1:78" x14ac:dyDescent="0.25"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-2230.6575828307741</v>
      </c>
      <c r="AJ117" s="157">
        <f>SUM(AJ118:AJ127)</f>
        <v>-2230.6575828307741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2119.8395678832471</v>
      </c>
      <c r="AP117" s="146">
        <f t="shared" si="73"/>
        <v>0.95032047240218043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2119.8395678832471</v>
      </c>
      <c r="BX117" s="108"/>
      <c r="BY117" s="129">
        <f>SUM(BY118:BY127)</f>
        <v>110.81801494752713</v>
      </c>
      <c r="BZ117" s="129">
        <f>SUM(BZ118:BZ127)</f>
        <v>0</v>
      </c>
    </row>
    <row r="118" spans="1:78" x14ac:dyDescent="0.25"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-5.4216494752713258</v>
      </c>
      <c r="AJ118" s="157">
        <f>AO118/Nøgletal!F383*-1</f>
        <v>-5.4216494752713258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4.8794845277441929</v>
      </c>
      <c r="AP118" s="146">
        <f t="shared" si="73"/>
        <v>0.89999999999999991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F49*Nøgletal!F38*Nøgletal!F37+Nøgletal!F65*Nøgletal!F66*Nøgletal!F77+Nøgletal!F93*Nøgletal!F94*Nøgletal!F105+Nøgletal!F121*Nøgletal!F122*Nøgletal!F133+Nøgletal!F149*Nøgletal!F150*Nøgletal!F161+Nøgletal!F181*Nøgletal!F182*Nøgletal!F193+Nøgletal!F211*Nøgletal!F212*Nøgletal!F223+Nøgletal!F240*Nøgletal!F241*Nøgletal!F252</f>
        <v>4.8794845277441929</v>
      </c>
      <c r="BX118" s="119"/>
      <c r="BY118" s="127">
        <f t="shared" ref="BY118:BY127" si="78">(AJ118+BW118)*-1</f>
        <v>0.54216494752713285</v>
      </c>
      <c r="BZ118" s="125">
        <v>0</v>
      </c>
    </row>
    <row r="119" spans="1:78" x14ac:dyDescent="0.25"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-23.003284202222606</v>
      </c>
      <c r="AJ119" s="157">
        <f>AO119*Nøgletal!F384*-1</f>
        <v>-23.003284202222606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23.003284202222606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F37*Nøgletal!F38*Nøgletal!F48+Nøgletal!F65*Nøgletal!F66*Nøgletal!F76+Nøgletal!F93*Nøgletal!F94*Nøgletal!F104+Nøgletal!F121*Nøgletal!F122*Nøgletal!F132+Nøgletal!F149*Nøgletal!F150*Nøgletal!F160+Nøgletal!F181*Nøgletal!F182*Nøgletal!F192+Nøgletal!F211*Nøgletal!F212*Nøgletal!F222+Nøgletal!F240*Nøgletal!F241*Nøgletal!F251</f>
        <v>23.003284202222606</v>
      </c>
      <c r="BX119" s="119"/>
      <c r="BY119" s="127">
        <f t="shared" si="78"/>
        <v>0</v>
      </c>
      <c r="BZ119" s="125">
        <v>0</v>
      </c>
    </row>
    <row r="120" spans="1:78" x14ac:dyDescent="0.25"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-0.63600000000000001</v>
      </c>
      <c r="AJ120" s="157">
        <f>AO120*-1</f>
        <v>-0.63600000000000001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0.63600000000000001</v>
      </c>
      <c r="AP120" s="146">
        <f t="shared" si="73"/>
        <v>1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F37*Nøgletal!F38*Nøgletal!F41+Nøgletal!F65*Nøgletal!F66*Nøgletal!F69+Nøgletal!F93*Nøgletal!F94*Nøgletal!F97+Nøgletal!F121*Nøgletal!F122*Nøgletal!F125+Nøgletal!F149*Nøgletal!F150*Nøgletal!F153+Nøgletal!F181*Nøgletal!F182*Nøgletal!F185+Nøgletal!F211*Nøgletal!F212*Nøgletal!F215+Nøgletal!F240*Nøgletal!F241*Nøgletal!F244</f>
        <v>0.63600000000000001</v>
      </c>
      <c r="BX120" s="119"/>
      <c r="BY120" s="127">
        <f t="shared" si="78"/>
        <v>0</v>
      </c>
      <c r="BZ120" s="125">
        <v>0</v>
      </c>
    </row>
    <row r="121" spans="1:78" x14ac:dyDescent="0.25"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-143</v>
      </c>
      <c r="AJ121" s="157">
        <f>AO121/Nøgletal!G390*-1</f>
        <v>-143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114.4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F$37*Nøgletal!F$38*Nøgletal!F42+Nøgletal!F$65*Nøgletal!F$66*Nøgletal!F70+Nøgletal!F$93*Nøgletal!F$94*Nøgletal!F98+Nøgletal!F$121*Nøgletal!F$122*Nøgletal!F126+Nøgletal!F$149*Nøgletal!F$150*Nøgletal!F154+Nøgletal!F$181*Nøgletal!F$182*Nøgletal!F186+Nøgletal!F$211*Nøgletal!F$212*Nøgletal!F216+Nøgletal!F$240*Nøgletal!F$241*Nøgletal!F245</f>
        <v>114.4</v>
      </c>
      <c r="BX121" s="119"/>
      <c r="BY121" s="127">
        <f t="shared" si="78"/>
        <v>28.599999999999994</v>
      </c>
      <c r="BZ121" s="125">
        <v>0</v>
      </c>
    </row>
    <row r="122" spans="1:78" x14ac:dyDescent="0.25"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-0.83899999999999997</v>
      </c>
      <c r="AJ122" s="157">
        <f>AO122/Nøgletal!G391*-1</f>
        <v>-0.83899999999999997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0.71314999999999995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F$37*Nøgletal!F$38*Nøgletal!F43+Nøgletal!F$65*Nøgletal!F$66*Nøgletal!F71+Nøgletal!F$93*Nøgletal!F$94*Nøgletal!F99+Nøgletal!F$121*Nøgletal!F$122*Nøgletal!F127+Nøgletal!F$149*Nøgletal!F$150*Nøgletal!F155+Nøgletal!F$181*Nøgletal!F$182*Nøgletal!F187+Nøgletal!F$211*Nøgletal!F$212*Nøgletal!F217+Nøgletal!F$240*Nøgletal!F$241*Nøgletal!F246</f>
        <v>0.71314999999999995</v>
      </c>
      <c r="BX122" s="119"/>
      <c r="BY122" s="127">
        <f t="shared" si="78"/>
        <v>0.12585000000000002</v>
      </c>
      <c r="BZ122" s="125">
        <v>0</v>
      </c>
    </row>
    <row r="123" spans="1:78" x14ac:dyDescent="0.25"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-42</v>
      </c>
      <c r="AJ123" s="157">
        <f>AO123/Nøgletal!G392*-1</f>
        <v>-42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31.5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F$37*Nøgletal!F$38*Nøgletal!F44+Nøgletal!F$65*Nøgletal!F$66*Nøgletal!F72+Nøgletal!F$93*Nøgletal!F$94*Nøgletal!F100+Nøgletal!F$121*Nøgletal!F$122*Nøgletal!F128+Nøgletal!F$149*Nøgletal!F$150*Nøgletal!F156+Nøgletal!F$181*Nøgletal!F$182*Nøgletal!F188+Nøgletal!F$211*Nøgletal!F$212*Nøgletal!F218+Nøgletal!F$240*Nøgletal!F$241*Nøgletal!F247</f>
        <v>31.5</v>
      </c>
      <c r="BX123" s="119"/>
      <c r="BY123" s="127">
        <f t="shared" si="78"/>
        <v>10.5</v>
      </c>
      <c r="BZ123" s="125">
        <v>0</v>
      </c>
    </row>
    <row r="124" spans="1:78" x14ac:dyDescent="0.25"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-171.00000000000003</v>
      </c>
      <c r="AJ124" s="157">
        <f>AO124/Nøgletal!G393*-1</f>
        <v>-171.00000000000003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111.15000000000002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F$37*Nøgletal!F$38*Nøgletal!F45+Nøgletal!F$65*Nøgletal!F$66*Nøgletal!F73+Nøgletal!F$93*Nøgletal!F$94*Nøgletal!F101+Nøgletal!F$121*Nøgletal!F$122*Nøgletal!F129+Nøgletal!F$149*Nøgletal!F$150*Nøgletal!F157+Nøgletal!F$181*Nøgletal!F$182*Nøgletal!F189+Nøgletal!F$211*Nøgletal!F$212*Nøgletal!F219+Nøgletal!F$240*Nøgletal!F$241*Nøgletal!F248</f>
        <v>111.15000000000002</v>
      </c>
      <c r="BX124" s="119"/>
      <c r="BY124" s="127">
        <f t="shared" si="78"/>
        <v>59.850000000000009</v>
      </c>
      <c r="BZ124" s="125">
        <v>0</v>
      </c>
    </row>
    <row r="125" spans="1:78" x14ac:dyDescent="0.25"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-31.999999999999993</v>
      </c>
      <c r="AJ125" s="157">
        <f>AO125/Nøgletal!G394*-1</f>
        <v>-31.999999999999993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20.799999999999997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F$37*Nøgletal!F$38*Nøgletal!F46+Nøgletal!F$65*Nøgletal!F$66*Nøgletal!F74+Nøgletal!F$93*Nøgletal!F$94*Nøgletal!F102+Nøgletal!F$121*Nøgletal!F$122*Nøgletal!F130+Nøgletal!F$149*Nøgletal!F$150*Nøgletal!F158+Nøgletal!F$181*Nøgletal!F$182*Nøgletal!F190+Nøgletal!F$211*Nøgletal!F$212*Nøgletal!F220+Nøgletal!F$240*Nøgletal!F$241*Nøgletal!F249</f>
        <v>20.799999999999997</v>
      </c>
      <c r="BX125" s="119"/>
      <c r="BY125" s="127">
        <f t="shared" si="78"/>
        <v>11.199999999999996</v>
      </c>
      <c r="BZ125" s="125">
        <v>0</v>
      </c>
    </row>
    <row r="126" spans="1:78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-1810.1576491532803</v>
      </c>
      <c r="AJ126" s="157">
        <f>AO126*-1</f>
        <v>-1810.1576491532803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1810.1576491532803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Nøgletal!F37*Nøgletal!F39+Nøgletal!F65*Nøgletal!F67+Nøgletal!F93*Nøgletal!F95+Nøgletal!F121*Nøgletal!F123+Nøgletal!F149*Nøgletal!F151+Nøgletal!F181*Nøgletal!F183+Nøgletal!F211*Nøgletal!F213+Nøgletal!F240*Nøgletal!F242</f>
        <v>1810.1576491532803</v>
      </c>
      <c r="BX126" s="119"/>
      <c r="BY126" s="127">
        <f t="shared" si="78"/>
        <v>0</v>
      </c>
      <c r="BZ126" s="125">
        <v>0</v>
      </c>
    </row>
    <row r="127" spans="1:78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-2.5999999999999996</v>
      </c>
      <c r="AJ127" s="157">
        <f>AO127/Nøgletal!G395*-1</f>
        <v>-2.5999999999999996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2.5999999999999996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F$37*Nøgletal!F$38*Nøgletal!F47+Nøgletal!F$65*Nøgletal!F$66*Nøgletal!F75+Nøgletal!F$93*Nøgletal!F$94*Nøgletal!F103+Nøgletal!F$121*Nøgletal!F$122*Nøgletal!F131+Nøgletal!F$149*Nøgletal!F$150*Nøgletal!F159+Nøgletal!F$181*Nøgletal!F$182*Nøgletal!F191+Nøgletal!F$211*Nøgletal!F$212*Nøgletal!F221+Nøgletal!F$240*Nøgletal!F$241*Nøgletal!F250</f>
        <v>2.5999999999999996</v>
      </c>
      <c r="BX127" s="119"/>
      <c r="BY127" s="127">
        <f t="shared" si="78"/>
        <v>0</v>
      </c>
      <c r="BZ127" s="125">
        <v>0</v>
      </c>
    </row>
    <row r="128" spans="1:78" x14ac:dyDescent="0.25">
      <c r="C128" s="40">
        <f>C9+C68+' Plan Energi 2008'!C81</f>
        <v>0</v>
      </c>
      <c r="E128" s="40">
        <f>E9+E68+' Plan Energi 2008'!I81</f>
        <v>0.12014639999961219</v>
      </c>
      <c r="F128" s="40">
        <f>F9+F68+' Plan Energi 2008'!W81</f>
        <v>0</v>
      </c>
      <c r="H128" s="40">
        <f>H9+H68+' Plan Energi 2008'!B81</f>
        <v>0</v>
      </c>
      <c r="I128" s="40">
        <f>I9+I68+' Plan Energi 2008'!D81</f>
        <v>0</v>
      </c>
      <c r="J128" s="40">
        <f>J9+J68+' Plan Energi 2008'!E81</f>
        <v>0</v>
      </c>
      <c r="K128" s="40">
        <f>K9+K68+' Plan Energi 2008'!F81</f>
        <v>0</v>
      </c>
      <c r="L128" s="40">
        <f>L9+L68+' Plan Energi 2008'!G81</f>
        <v>0</v>
      </c>
      <c r="M128" s="40">
        <f>M9+M68+' Plan Energi 2008'!H81</f>
        <v>0</v>
      </c>
      <c r="O128" s="40">
        <f>O9+O68+' Plan Energi 2008'!J81</f>
        <v>0</v>
      </c>
      <c r="P128" s="40">
        <f>P9+P68+' Plan Energi 2008'!K81</f>
        <v>0</v>
      </c>
      <c r="Q128" s="40">
        <f>Q9+Q68+' Plan Energi 2008'!L81</f>
        <v>0</v>
      </c>
      <c r="R128" s="40">
        <f>R9+R68+' Plan Energi 2008'!M81</f>
        <v>0</v>
      </c>
      <c r="S128" s="40">
        <f>S9+S68+' Plan Energi 2008'!N81</f>
        <v>0</v>
      </c>
      <c r="U128" s="40">
        <f>U9+U68+' Plan Energi 2008'!O81</f>
        <v>0</v>
      </c>
      <c r="V128" s="40">
        <f>V9+V68+' Plan Energi 2008'!P81</f>
        <v>0</v>
      </c>
      <c r="W128" s="40">
        <f>W9+W68+' Plan Energi 2008'!Q81</f>
        <v>0</v>
      </c>
      <c r="X128" s="40">
        <f>X9+X68+' Plan Energi 2008'!R81</f>
        <v>0</v>
      </c>
      <c r="Y128" s="40">
        <f>Y9+Y68+' Plan Energi 2008'!S81</f>
        <v>0</v>
      </c>
      <c r="Z128" s="40">
        <f>Z9+Z68+' Plan Energi 2008'!T81</f>
        <v>0</v>
      </c>
      <c r="AA128" s="40">
        <f>AA9+AA68+' Plan Energi 2008'!U81</f>
        <v>0</v>
      </c>
      <c r="AB128" s="40">
        <f>AB9+AB68+' Plan Energi 2008'!V81</f>
        <v>0</v>
      </c>
      <c r="AC128" s="143">
        <f>BR10-' Plan Energi 2008'!A15</f>
        <v>4.7577974400155654E-2</v>
      </c>
      <c r="AD128" s="40">
        <f>AD68+SUM(' Plan Energi 2008'!AI39:AP68)+SUM(' Plan Energi 2008'!AI70:AP71)</f>
        <v>1.2423907055996324</v>
      </c>
      <c r="AK128" s="122"/>
      <c r="AP128" s="102"/>
      <c r="BA128" s="22"/>
    </row>
    <row r="129" spans="3:53" x14ac:dyDescent="0.25">
      <c r="C129" s="40"/>
      <c r="D129" s="40"/>
      <c r="E129" s="40"/>
      <c r="F129" s="40"/>
      <c r="AB129" s="231" t="s">
        <v>667</v>
      </c>
      <c r="AC129" s="143">
        <f>AC69-' Plan Energi 2008'!A15</f>
        <v>-612.62574075942723</v>
      </c>
      <c r="AD129" s="143">
        <f>BS10+BS11+BS18+BS57+BS65-(SUM(' Plan Energi 2008'!AF32:AF38,' Plan Energi 2008'!AF40:AF42,' Plan Energi 2008'!AF44:AF51,' Plan Energi 2008'!AF53:AF54,' Plan Energi 2008'!AF56:AF61,' Plan Energi 2008'!AF63:AF68))</f>
        <v>0</v>
      </c>
      <c r="AP129" s="1"/>
      <c r="BA129" s="22"/>
    </row>
    <row r="130" spans="3:53" x14ac:dyDescent="0.25">
      <c r="AP130" s="1"/>
      <c r="BA130" s="2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B130"/>
  <sheetViews>
    <sheetView topLeftCell="Z1" workbookViewId="0">
      <selection activeCell="AK15" sqref="AK15"/>
    </sheetView>
  </sheetViews>
  <sheetFormatPr defaultRowHeight="15" x14ac:dyDescent="0.25"/>
  <cols>
    <col min="1" max="7" width="9.140625" style="231"/>
    <col min="8" max="8" width="12.7109375" style="231" bestFit="1" customWidth="1"/>
    <col min="9" max="12" width="9.140625" style="231"/>
    <col min="13" max="13" width="12.7109375" style="231" bestFit="1" customWidth="1"/>
    <col min="14" max="36" width="9.140625" style="231"/>
    <col min="37" max="37" width="41.7109375" style="231" customWidth="1"/>
    <col min="38" max="16384" width="9.140625" style="231"/>
  </cols>
  <sheetData>
    <row r="1" spans="1:80" ht="157.5" x14ac:dyDescent="0.25"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</row>
    <row r="2" spans="1:80" ht="36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</row>
    <row r="3" spans="1:80" ht="37.5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</row>
    <row r="4" spans="1:80" ht="18.75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</row>
    <row r="5" spans="1:80" x14ac:dyDescent="0.25"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4324.4759649999996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3348.6120000000001</v>
      </c>
      <c r="AU5" s="11">
        <f>(F7+F5)*-1</f>
        <v>122.16545999999998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446.33765499999998</v>
      </c>
      <c r="BJ5" s="11">
        <f t="shared" ref="BJ5:BQ5" si="4">(U7+U5)*-1</f>
        <v>0</v>
      </c>
      <c r="BK5" s="11">
        <f t="shared" si="4"/>
        <v>1.3924149999999995</v>
      </c>
      <c r="BL5" s="11">
        <f t="shared" si="4"/>
        <v>39</v>
      </c>
      <c r="BM5" s="11">
        <f t="shared" si="4"/>
        <v>174</v>
      </c>
      <c r="BN5" s="11">
        <f t="shared" si="4"/>
        <v>63.636600000000001</v>
      </c>
      <c r="BO5" s="11">
        <f t="shared" si="4"/>
        <v>0</v>
      </c>
      <c r="BP5" s="11">
        <f t="shared" si="4"/>
        <v>149.31334000000001</v>
      </c>
      <c r="BQ5" s="11">
        <f t="shared" si="4"/>
        <v>18.9953</v>
      </c>
      <c r="BR5" s="11"/>
      <c r="BS5" s="11"/>
      <c r="BT5" s="11"/>
      <c r="BU5" s="11">
        <f>-1*SUM(AF5,AF7,AF9,AF66,AF68)</f>
        <v>407.36084999999997</v>
      </c>
      <c r="BV5" s="11">
        <f>-1*SUM(AG5,AG7,AG9,AG66,AG68)</f>
        <v>0</v>
      </c>
      <c r="BW5" s="11">
        <f>-1*SUM(AH5,AH7,AH9,AH66,AH68)</f>
        <v>0</v>
      </c>
      <c r="BX5" s="11"/>
      <c r="BY5" s="123">
        <v>0</v>
      </c>
      <c r="BZ5" s="123">
        <f>(C5*Emissionsfaktorer!$B$4+E5*Emissionsfaktorer!$B$3+F5*Emissionsfaktorer!$B$5+H5*Emissionsfaktorer!$B$7+I5*Emissionsfaktorer!$B$8+J5*Emissionsfaktorer!$B$9+K5*Emissionsfaktorer!$B$10+L5*Emissionsfaktorer!$B$11+M5*Emissionsfaktorer!$B$12)*-1</f>
        <v>0</v>
      </c>
    </row>
    <row r="6" spans="1:80" x14ac:dyDescent="0.25"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Nøgletal!$D$283/IF(Nøgletal!$E$399=0,1,Nøgletal!$E$399)*Nøgletal!$D419*-1</f>
        <v>0</v>
      </c>
      <c r="V6" s="84"/>
      <c r="W6" s="84"/>
      <c r="X6" s="84"/>
      <c r="Y6" s="84"/>
      <c r="Z6" s="84">
        <f>Nøgletal!$D$283/IF(Nøgletal!$E$399=0,1,Nøgletal!$E$399)*Nøgletal!$D420*-1</f>
        <v>0</v>
      </c>
      <c r="AA6" s="84">
        <f>Nøgletal!$D$283/IF(Nøgletal!$E$399=0,1,Nøgletal!$E$399)*Nøgletal!$D421*-1</f>
        <v>0</v>
      </c>
      <c r="AB6" s="84">
        <f>Nøgletal!$D$283/IF(Nøgletal!$E$399=0,1,Nøgletal!$E$399)*Nøgletal!$D422*-1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Nøgletal!D283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(C6*Emissionsfaktorer!$B$4+E6*Emissionsfaktorer!$B$3+F6*Emissionsfaktorer!$B$5+H6*Emissionsfaktorer!$B$7+I6*Emissionsfaktorer!$B$8+J6*Emissionsfaktorer!$B$9+K6*Emissionsfaktorer!$B$10+L6*Emissionsfaktorer!$B$11+M6*Emissionsfaktorer!$B$12)*-1</f>
        <v>0</v>
      </c>
    </row>
    <row r="7" spans="1:80" x14ac:dyDescent="0.25">
      <c r="B7" s="31"/>
      <c r="C7" s="11">
        <f>AR7*-1</f>
        <v>0</v>
      </c>
      <c r="D7" s="11">
        <f>AS7*-1</f>
        <v>0</v>
      </c>
      <c r="E7" s="11">
        <f>AT7*-1</f>
        <v>-3348.6120000000001</v>
      </c>
      <c r="F7" s="11">
        <f>AU7*-1</f>
        <v>-122.16545999999998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-446.33765499999998</v>
      </c>
      <c r="U7" s="11">
        <f>BJ7*-1</f>
        <v>0</v>
      </c>
      <c r="V7" s="11">
        <f t="shared" ref="V7:AB7" si="5">BK7*-1</f>
        <v>-1.3924149999999995</v>
      </c>
      <c r="W7" s="11">
        <f t="shared" si="5"/>
        <v>-39</v>
      </c>
      <c r="X7" s="11">
        <f t="shared" si="5"/>
        <v>-174</v>
      </c>
      <c r="Y7" s="11">
        <f t="shared" si="5"/>
        <v>-63.636600000000001</v>
      </c>
      <c r="Z7" s="11">
        <f t="shared" si="5"/>
        <v>0</v>
      </c>
      <c r="AA7" s="11">
        <f t="shared" si="5"/>
        <v>-149.31334000000001</v>
      </c>
      <c r="AB7" s="11">
        <f t="shared" si="5"/>
        <v>-18.9953</v>
      </c>
      <c r="AC7" s="11"/>
      <c r="AD7" s="11"/>
      <c r="AE7" s="11"/>
      <c r="AF7" s="11"/>
      <c r="AG7" s="11"/>
      <c r="AH7" s="11"/>
      <c r="AI7" s="11"/>
      <c r="AJ7" s="105">
        <f t="shared" si="0"/>
        <v>-3917.1151150000001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3917.1151150000001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3348.6120000000001</v>
      </c>
      <c r="AU7" s="11">
        <f>(F9+F68)*-1</f>
        <v>122.16545999999998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446.33765499999998</v>
      </c>
      <c r="BJ7" s="11">
        <f t="shared" ref="BJ7:BQ7" si="9">(U9+U68)*-1</f>
        <v>0</v>
      </c>
      <c r="BK7" s="11">
        <f t="shared" si="9"/>
        <v>1.3924149999999995</v>
      </c>
      <c r="BL7" s="11">
        <f t="shared" si="9"/>
        <v>39</v>
      </c>
      <c r="BM7" s="11">
        <f t="shared" si="9"/>
        <v>174</v>
      </c>
      <c r="BN7" s="11">
        <f t="shared" si="9"/>
        <v>63.636600000000001</v>
      </c>
      <c r="BO7" s="11">
        <f t="shared" si="9"/>
        <v>0</v>
      </c>
      <c r="BP7" s="11">
        <f t="shared" si="9"/>
        <v>149.31334000000001</v>
      </c>
      <c r="BQ7" s="11">
        <f t="shared" si="9"/>
        <v>18.9953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</row>
    <row r="8" spans="1:80" x14ac:dyDescent="0.25"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13.507999999999999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13.507999999999999</v>
      </c>
      <c r="BD8" s="11">
        <f>-1*SUM(O5,O7,O9)</f>
        <v>13.507999999999999</v>
      </c>
      <c r="BE8" s="11">
        <f>-1*SUM(P5,P7,P9)</f>
        <v>0</v>
      </c>
      <c r="BF8" s="11">
        <f>-1*SUM(Q5,Q7,Q9)</f>
        <v>0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(C8*Emissionsfaktorer!$B$4+E8*Emissionsfaktorer!$B$3+F8*Emissionsfaktorer!$B$5+H8*Emissionsfaktorer!$B$7+I8*Emissionsfaktorer!$B$8+J8*Emissionsfaktorer!$B$9+K8*Emissionsfaktorer!$B$10+L8*Emissionsfaktorer!$B$11+M8*Emissionsfaktorer!$B$12)*-1</f>
        <v>0</v>
      </c>
      <c r="CA8" s="2"/>
      <c r="CB8" s="2"/>
    </row>
    <row r="9" spans="1:80" x14ac:dyDescent="0.25"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-3000</v>
      </c>
      <c r="F9" s="11">
        <f t="shared" si="10"/>
        <v>-122.16545999999998</v>
      </c>
      <c r="G9" s="11">
        <f t="shared" si="10"/>
        <v>-64.699699999999993</v>
      </c>
      <c r="H9" s="11">
        <f t="shared" si="10"/>
        <v>0</v>
      </c>
      <c r="I9" s="11">
        <f t="shared" si="10"/>
        <v>0</v>
      </c>
      <c r="J9" s="11">
        <f t="shared" si="10"/>
        <v>-64.699699999999993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-13.507999999999999</v>
      </c>
      <c r="O9" s="11">
        <f t="shared" si="10"/>
        <v>-13.507999999999999</v>
      </c>
      <c r="P9" s="11">
        <f t="shared" si="10"/>
        <v>0</v>
      </c>
      <c r="Q9" s="11">
        <f t="shared" si="10"/>
        <v>0</v>
      </c>
      <c r="R9" s="11">
        <f t="shared" si="10"/>
        <v>0</v>
      </c>
      <c r="S9" s="11">
        <f t="shared" si="10"/>
        <v>0</v>
      </c>
      <c r="T9" s="11">
        <f t="shared" si="10"/>
        <v>-199.94524000000001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0</v>
      </c>
      <c r="Y9" s="11">
        <f t="shared" ref="Y9:AI9" si="11">SUM(Y10:Y11,Y18,Y57,Y65)</f>
        <v>-31.636600000000005</v>
      </c>
      <c r="Z9" s="11">
        <f t="shared" si="11"/>
        <v>0</v>
      </c>
      <c r="AA9" s="11">
        <f t="shared" si="11"/>
        <v>-149.31334000000001</v>
      </c>
      <c r="AB9" s="11">
        <f t="shared" si="11"/>
        <v>-18.9953</v>
      </c>
      <c r="AC9" s="11">
        <f t="shared" si="11"/>
        <v>0</v>
      </c>
      <c r="AD9" s="11">
        <f t="shared" si="11"/>
        <v>0</v>
      </c>
      <c r="AE9" s="11">
        <f t="shared" si="11"/>
        <v>0</v>
      </c>
      <c r="AF9" s="11">
        <f t="shared" si="11"/>
        <v>-407.36084999999997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-3807.6792500000001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5541.723018237034</v>
      </c>
      <c r="AP9" s="37">
        <f t="shared" si="6"/>
        <v>1.4554069958064439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2251.1075849999997</v>
      </c>
      <c r="AW9" s="11">
        <f>H66*-1</f>
        <v>31.9</v>
      </c>
      <c r="AX9" s="11">
        <f t="shared" ref="AX9:BB9" si="13">I66*-1</f>
        <v>11.599999999999998</v>
      </c>
      <c r="AY9" s="11">
        <f t="shared" si="13"/>
        <v>193</v>
      </c>
      <c r="AZ9" s="11">
        <f t="shared" si="13"/>
        <v>929.74999999999977</v>
      </c>
      <c r="BA9" s="11">
        <f t="shared" si="13"/>
        <v>352.49999999999994</v>
      </c>
      <c r="BB9" s="11">
        <f t="shared" si="13"/>
        <v>732.35758499999974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1233.0816529570341</v>
      </c>
      <c r="BS9" s="11">
        <f>SUM(BS10:BS11,BS18,BS57,BS65)+AD9</f>
        <v>2057.5337802800004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0</v>
      </c>
      <c r="BX9" s="11">
        <f t="shared" si="12"/>
        <v>0</v>
      </c>
      <c r="BY9" s="123">
        <f t="shared" si="12"/>
        <v>798.95074604000001</v>
      </c>
      <c r="BZ9" s="123">
        <f t="shared" si="12"/>
        <v>274.627983430374</v>
      </c>
      <c r="CA9" s="2"/>
      <c r="CB9" s="2"/>
    </row>
    <row r="10" spans="1:80" x14ac:dyDescent="0.25"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2726.9327042770333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2315.8072849999994</v>
      </c>
      <c r="AW10" s="85">
        <f>IF(-(AW$11+AW$18+AW$57+AW65)-(H$70+H$79+H$80+H$84)-H$9&gt;0,-(AW$11+AW$18+AW$57+AW65)-(H$70+H$79+H$80+H$84)-H$9,0)</f>
        <v>31.9</v>
      </c>
      <c r="AX10" s="85">
        <f t="shared" ref="AX10:BB10" si="17">IF(-(AX$11+AX$18+AX$57+AX65)-(I70+I79+I80+I84)-I$9&gt;0,-(AX$11+AX$18+AX$57+AX65)-(I70+I79+I80+I84)-I$9,0)</f>
        <v>11.599999999999998</v>
      </c>
      <c r="AY10" s="85">
        <f t="shared" si="17"/>
        <v>257.69970000000001</v>
      </c>
      <c r="AZ10" s="85">
        <f t="shared" si="17"/>
        <v>929.74999999999977</v>
      </c>
      <c r="BA10" s="85">
        <f t="shared" si="17"/>
        <v>352.49999999999994</v>
      </c>
      <c r="BB10" s="85">
        <f t="shared" si="17"/>
        <v>732.35758499999974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IF(-($BR$11+$BR$18+$BR$57+BR65)-(AC70+AC79+AC80+AC84)/(1-Nøgletal!$D$294)-$AC$9&gt;0,-($BR$11+$BR$18+$BR$57+BR65)-(AC70+AC79+AC80+AC84)/(1-Nøgletal!$D$294)-$AC$9,0)</f>
        <v>411.12541927703376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BR10*Emissionsfaktorer!B6+BT10*Emissionsfaktorer!B14</f>
        <v>89.863794145574047</v>
      </c>
      <c r="CA10" s="2"/>
      <c r="CB10" s="2"/>
    </row>
    <row r="11" spans="1:80" x14ac:dyDescent="0.25"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-13.507999999999999</v>
      </c>
      <c r="O11" s="20">
        <f t="shared" si="18"/>
        <v>-13.507999999999999</v>
      </c>
      <c r="P11" s="20">
        <f t="shared" si="18"/>
        <v>0</v>
      </c>
      <c r="Q11" s="20">
        <f t="shared" si="18"/>
        <v>0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-13.507999999999999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13.507999999999999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13.507999999999999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</row>
    <row r="12" spans="1:80" x14ac:dyDescent="0.25"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0</v>
      </c>
      <c r="O12" s="23"/>
      <c r="P12" s="23"/>
      <c r="Q12" s="23">
        <f>AJ12</f>
        <v>0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0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0</v>
      </c>
      <c r="AP12" s="37">
        <f t="shared" si="6"/>
        <v>0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Nøgletal!D279</f>
        <v>0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(C12*Emissionsfaktorer!$B$4+E12*Emissionsfaktorer!$B$3+F12*Emissionsfaktorer!$B$5+H12*Emissionsfaktorer!$B$7+I12*Emissionsfaktorer!$B$8+J12*Emissionsfaktorer!$B$9+K12*Emissionsfaktorer!$B$10+L12*Emissionsfaktorer!$B$11+M12*Emissionsfaktorer!$B$12)*-1</f>
        <v>0</v>
      </c>
      <c r="CA12" s="2"/>
      <c r="CB12" s="2"/>
    </row>
    <row r="13" spans="1:80" x14ac:dyDescent="0.25"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-13.507999999999999</v>
      </c>
      <c r="O13" s="23">
        <f t="shared" si="21"/>
        <v>-13.507999999999999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-13.507999999999999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13.507999999999999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13.507999999999999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</row>
    <row r="14" spans="1:80" x14ac:dyDescent="0.25"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-13.507999999999999</v>
      </c>
      <c r="O14" s="278">
        <f>AJ14</f>
        <v>-13.507999999999999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-13.507999999999999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13.507999999999999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Nøgletal!D277</f>
        <v>13.507999999999999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(C14*Emissionsfaktorer!$B$4+E14*Emissionsfaktorer!$B$3+F14*Emissionsfaktorer!$B$5+H14*Emissionsfaktorer!$B$7+I14*Emissionsfaktorer!$B$8+J14*Emissionsfaktorer!$B$9+K14*Emissionsfaktorer!$B$10+L14*Emissionsfaktorer!$B$11+M14*Emissionsfaktorer!$B$12)*-1</f>
        <v>0</v>
      </c>
      <c r="CB14" s="2"/>
    </row>
    <row r="15" spans="1:80" x14ac:dyDescent="0.25"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Nøgletal!D278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(C15*Emissionsfaktorer!$B$4+E15*Emissionsfaktorer!$B$3+F15*Emissionsfaktorer!$B$5+H15*Emissionsfaktorer!$B$7+I15*Emissionsfaktorer!$B$8+J15*Emissionsfaktorer!$B$9+K15*Emissionsfaktorer!$B$10+L15*Emissionsfaktorer!$B$11+M15*Emissionsfaktorer!$B$12)*-1</f>
        <v>0</v>
      </c>
    </row>
    <row r="16" spans="1:80" x14ac:dyDescent="0.25"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Nøgletal!D280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(C16*Emissionsfaktorer!$B$4+E16*Emissionsfaktorer!$B$3+F16*Emissionsfaktorer!$B$5+H16*Emissionsfaktorer!$B$7+I16*Emissionsfaktorer!$B$8+J16*Emissionsfaktorer!$B$9+K16*Emissionsfaktorer!$B$10+L16*Emissionsfaktorer!$B$11+M16*Emissionsfaktorer!$B$12)*-1</f>
        <v>0</v>
      </c>
    </row>
    <row r="17" spans="2:78" x14ac:dyDescent="0.25"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Nøgletal!D276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(C17*Emissionsfaktorer!$B$4+E17*Emissionsfaktorer!$B$3+F17*Emissionsfaktorer!$B$5+H17*Emissionsfaktorer!$B$7+I17*Emissionsfaktorer!$B$8+J17*Emissionsfaktorer!$B$9+K17*Emissionsfaktorer!$B$10+L17*Emissionsfaktorer!$B$11+M17*Emissionsfaktorer!$B$12)*-1</f>
        <v>0</v>
      </c>
    </row>
    <row r="18" spans="2:78" x14ac:dyDescent="0.25"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-9.1999999999999993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-9.1999999999999993</v>
      </c>
      <c r="AC18" s="20">
        <f t="shared" si="23"/>
        <v>0</v>
      </c>
      <c r="AD18" s="20">
        <f t="shared" si="23"/>
        <v>0</v>
      </c>
      <c r="AE18" s="20">
        <f t="shared" si="23"/>
        <v>0</v>
      </c>
      <c r="AF18" s="20">
        <f t="shared" si="23"/>
        <v>-407.36084999999997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-416.56084999999996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410.21284999999995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2.8519999999999999</v>
      </c>
      <c r="BS18" s="20">
        <f t="shared" si="24"/>
        <v>407.36084999999997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0</v>
      </c>
      <c r="BX18" s="20">
        <f t="shared" si="24"/>
        <v>0</v>
      </c>
      <c r="BY18" s="263">
        <f t="shared" si="24"/>
        <v>6.347999999999999</v>
      </c>
      <c r="BZ18" s="263">
        <f t="shared" si="24"/>
        <v>0</v>
      </c>
    </row>
    <row r="19" spans="2:78" x14ac:dyDescent="0.25"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Nøgletal!D268/(1-Nøgletal!D295)</f>
        <v>0</v>
      </c>
      <c r="BT19" s="23">
        <f>Nøgletal!E268/(1-Nøgletal!E295)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</row>
    <row r="20" spans="2:78" x14ac:dyDescent="0.25">
      <c r="B20" s="31"/>
      <c r="C20" s="278">
        <f>AJ20*Nøgletal!D429</f>
        <v>0</v>
      </c>
      <c r="D20" s="278"/>
      <c r="E20" s="278">
        <f>AJ20*Nøgletal!D431</f>
        <v>0</v>
      </c>
      <c r="F20" s="278"/>
      <c r="G20" s="278">
        <f t="shared" ref="G20:G83" si="29">SUM(H20:M20)</f>
        <v>0</v>
      </c>
      <c r="H20" s="278"/>
      <c r="I20" s="278">
        <f>AJ20*Nøgletal!D430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AJ20*Nøgletal!D432</f>
        <v>0</v>
      </c>
      <c r="V20" s="278">
        <f>AJ20*Nøgletal!D433</f>
        <v>0</v>
      </c>
      <c r="W20" s="278">
        <f>AJ20*Nøgletal!D434</f>
        <v>0</v>
      </c>
      <c r="X20" s="278">
        <f>AJ20*Nøgletal!D435</f>
        <v>0</v>
      </c>
      <c r="Y20" s="278">
        <f>AJ20*Nøgletal!D436</f>
        <v>0</v>
      </c>
      <c r="Z20" s="278"/>
      <c r="AA20" s="278"/>
      <c r="AB20" s="278">
        <f>AJ20*Nøgletal!D437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-AO20/IF(Nøgletal!D345+Nøgletal!E345&gt;0,Nøgletal!D345+Nøgletal!E345,1)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BS20/IF(Nøgletal!E345&gt;0,Nøgletal!E345,1)*Nøgletal!D345</f>
        <v>0</v>
      </c>
      <c r="BS20" s="278">
        <f>BS$19*Nøgletal!D303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B$4+E20*Emissionsfaktorer!$B$3+F20*Emissionsfaktorer!$B$5+H20*Emissionsfaktorer!$B$7+I20*Emissionsfaktorer!$B$8+J20*Emissionsfaktorer!$B$9+K20*Emissionsfaktorer!$B$10+L20*Emissionsfaktorer!$B$11+M20*Emissionsfaktorer!$B$12)*-1*(1-Nøgletal!$D$301)+T20*Emissionsfaktorer!$B$13*Nøgletal!$D$301</f>
        <v>0</v>
      </c>
    </row>
    <row r="21" spans="2:78" x14ac:dyDescent="0.25">
      <c r="B21" s="31"/>
      <c r="C21" s="278"/>
      <c r="D21" s="278"/>
      <c r="E21" s="278">
        <f>AJ21*Nøgletal!D443</f>
        <v>0</v>
      </c>
      <c r="F21" s="278"/>
      <c r="G21" s="278">
        <f t="shared" si="29"/>
        <v>0</v>
      </c>
      <c r="H21" s="278"/>
      <c r="I21" s="278">
        <f>AJ21*Nøgletal!D439</f>
        <v>0</v>
      </c>
      <c r="J21" s="278">
        <f>AJ21*Nøgletal!D440</f>
        <v>0</v>
      </c>
      <c r="K21" s="278">
        <f>AJ21*Nøgletal!D441</f>
        <v>0</v>
      </c>
      <c r="L21" s="278"/>
      <c r="M21" s="278">
        <f>AJ21*Nøgletal!D442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AJ21*Nøgletal!D444</f>
        <v>0</v>
      </c>
      <c r="V21" s="278">
        <f>AJ21*Nøgletal!D445</f>
        <v>0</v>
      </c>
      <c r="W21" s="278">
        <f>AJ21*Nøgletal!D446</f>
        <v>0</v>
      </c>
      <c r="X21" s="278">
        <f>AJ21*Nøgletal!D447</f>
        <v>0</v>
      </c>
      <c r="Y21" s="278">
        <f>AJ21*Nøgletal!D448</f>
        <v>0</v>
      </c>
      <c r="Z21" s="278"/>
      <c r="AA21" s="278"/>
      <c r="AB21" s="278">
        <f>AJ21*Nøgletal!D449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-AO21/IF(Nøgletal!D346+Nøgletal!E346&gt;0,Nøgletal!D346+Nøgletal!E346,1)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BS21/IF(Nøgletal!E346&gt;0,Nøgletal!E346,1)*Nøgletal!D346</f>
        <v>0</v>
      </c>
      <c r="BS21" s="278">
        <f>BS$19*Nøgletal!D304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B$4+E21*Emissionsfaktorer!$B$3+F21*Emissionsfaktorer!$B$5+H21*Emissionsfaktorer!$B$7+I21*Emissionsfaktorer!$B$8+J21*Emissionsfaktorer!$B$9+K21*Emissionsfaktorer!$B$10+L21*Emissionsfaktorer!$B$11+M21*Emissionsfaktorer!$B$12)*-1*(1-Nøgletal!$D$301)+T21*Emissionsfaktorer!$B$13*Nøgletal!$D$301</f>
        <v>0</v>
      </c>
    </row>
    <row r="22" spans="2:78" x14ac:dyDescent="0.25">
      <c r="B22" s="31"/>
      <c r="C22" s="278"/>
      <c r="D22" s="278"/>
      <c r="E22" s="278">
        <f>AJ22*Nøgletal!D451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AJ22*Nøgletal!D452</f>
        <v>0</v>
      </c>
      <c r="V22" s="278"/>
      <c r="W22" s="278"/>
      <c r="X22" s="278"/>
      <c r="Y22" s="278"/>
      <c r="Z22" s="278"/>
      <c r="AA22" s="278"/>
      <c r="AB22" s="278">
        <f>AJ22*Nøgletal!D453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-AO22/IF(Nøgletal!D347+Nøgletal!E347&gt;0,Nøgletal!D347+Nøgletal!E347,1)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BS22/IF(Nøgletal!E347&gt;0,Nøgletal!E347,1)*Nøgletal!D347</f>
        <v>0</v>
      </c>
      <c r="BS22" s="278">
        <f>BS$19*Nøgletal!D305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B$4+E22*Emissionsfaktorer!$B$3+F22*Emissionsfaktorer!$B$5+H22*Emissionsfaktorer!$B$7+I22*Emissionsfaktorer!$B$8+J22*Emissionsfaktorer!$B$9+K22*Emissionsfaktorer!$B$10+L22*Emissionsfaktorer!$B$11+M22*Emissionsfaktorer!$B$12)*-1*(1-Nøgletal!$D$301)+T22*Emissionsfaktorer!$B$13*Nøgletal!$D$301</f>
        <v>0</v>
      </c>
    </row>
    <row r="23" spans="2:78" x14ac:dyDescent="0.25">
      <c r="B23" s="31"/>
      <c r="C23" s="278">
        <f>AJ23*Nøgletal!D455</f>
        <v>0</v>
      </c>
      <c r="D23" s="278"/>
      <c r="E23" s="278">
        <f>AJ23*Nøgletal!D457</f>
        <v>0</v>
      </c>
      <c r="F23" s="278"/>
      <c r="G23" s="278">
        <f t="shared" si="29"/>
        <v>0</v>
      </c>
      <c r="H23" s="278"/>
      <c r="I23" s="278">
        <f>AJ23*Nøgletal!D456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AJ23*Nøgletal!D458</f>
        <v>0</v>
      </c>
      <c r="V23" s="278">
        <f>AJ23*Nøgletal!D459</f>
        <v>0</v>
      </c>
      <c r="W23" s="278">
        <f>AJ23*Nøgletal!D460</f>
        <v>0</v>
      </c>
      <c r="X23" s="278">
        <f>AJ23*Nøgletal!D461</f>
        <v>0</v>
      </c>
      <c r="Y23" s="278">
        <f>AJ23*Nøgletal!D462</f>
        <v>0</v>
      </c>
      <c r="Z23" s="278"/>
      <c r="AA23" s="278"/>
      <c r="AB23" s="278">
        <f>AJ23*Nøgletal!D463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-AO23/IF(Nøgletal!D348+Nøgletal!E348&gt;0,Nøgletal!D348+Nøgletal!E348,1)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BS23/IF(Nøgletal!E348&gt;0,Nøgletal!E348,1)*Nøgletal!D348</f>
        <v>0</v>
      </c>
      <c r="BS23" s="278">
        <f>BS$19*Nøgletal!D306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B$4+E23*Emissionsfaktorer!$B$3+F23*Emissionsfaktorer!$B$5+H23*Emissionsfaktorer!$B$7+I23*Emissionsfaktorer!$B$8+J23*Emissionsfaktorer!$B$9+K23*Emissionsfaktorer!$B$10+L23*Emissionsfaktorer!$B$11+M23*Emissionsfaktorer!$B$12)*-1*(1-Nøgletal!$D$301)+T23*Emissionsfaktorer!$B$13*Nøgletal!$D$301</f>
        <v>0</v>
      </c>
    </row>
    <row r="24" spans="2:78" x14ac:dyDescent="0.25"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-AO24*(1-1/IF(Nøgletal!E349&gt;0,Nøgletal!E349,1))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-AO24/Nøgletal!E465/(1-Nøgletal!D294)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BS$19*Nøgletal!D307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B$4+E24*Emissionsfaktorer!$B$3+F24*Emissionsfaktorer!$B$5+H24*Emissionsfaktorer!$B$7+I24*Emissionsfaktorer!$B$8+J24*Emissionsfaktorer!$B$9+K24*Emissionsfaktorer!$B$10+L24*Emissionsfaktorer!$B$11+M24*Emissionsfaktorer!$B$12)*-1*(1-Nøgletal!$D$301)+T24*Emissionsfaktorer!$B$13*Nøgletal!$D$301</f>
        <v>0</v>
      </c>
    </row>
    <row r="25" spans="2:78" x14ac:dyDescent="0.25"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-AO25/IF(Nøgletal!D350+Nøgletal!E350&gt;0,Nøgletal!D350+Nøgletal!E350,1)/(1-Nøgletal!D294)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BS$19*Nøgletal!D308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B$4+E25*Emissionsfaktorer!$B$3+F25*Emissionsfaktorer!$B$5+H25*Emissionsfaktorer!$B$7+I25*Emissionsfaktorer!$B$8+J25*Emissionsfaktorer!$B$9+K25*Emissionsfaktorer!$B$10+L25*Emissionsfaktorer!$B$11+M25*Emissionsfaktorer!$B$12)*-1*(1-Nøgletal!$D$301)+T25*Emissionsfaktorer!$B$13*Nøgletal!$D$301</f>
        <v>0</v>
      </c>
    </row>
    <row r="26" spans="2:78" x14ac:dyDescent="0.25"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-AO26/IF(Nøgletal!D352+Nøgletal!E352&gt;0,Nøgletal!D352+Nøgletal!E352,1)/(1-Nøgletal!D295)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B$4+E26*Emissionsfaktorer!$B$3+F26*Emissionsfaktorer!$B$5+H26*Emissionsfaktorer!$B$7+I26*Emissionsfaktorer!$B$8+J26*Emissionsfaktorer!$B$9+K26*Emissionsfaktorer!$B$10+L26*Emissionsfaktorer!$B$11+M26*Emissionsfaktorer!$B$12)*-1*(1-Nøgletal!$D$301)+T26*Emissionsfaktorer!$B$13*Nøgletal!$D$301</f>
        <v>0</v>
      </c>
    </row>
    <row r="27" spans="2:78" x14ac:dyDescent="0.25"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Nøgletal!D270/(1-Nøgletal!D297)</f>
        <v>0</v>
      </c>
      <c r="BT27" s="23">
        <f>Nøgletal!E270/(1-Nøgletal!E297)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</row>
    <row r="28" spans="2:78" x14ac:dyDescent="0.25">
      <c r="B28" s="31"/>
      <c r="C28" s="278">
        <f>AJ28*Nøgletal!D479</f>
        <v>0</v>
      </c>
      <c r="D28" s="278"/>
      <c r="E28" s="278">
        <f>AJ28*Nøgletal!D481</f>
        <v>0</v>
      </c>
      <c r="F28" s="278"/>
      <c r="G28" s="278">
        <f t="shared" si="29"/>
        <v>0</v>
      </c>
      <c r="H28" s="278"/>
      <c r="I28" s="278">
        <f>AJ28*Nøgletal!D480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AJ28*Nøgletal!D482</f>
        <v>0</v>
      </c>
      <c r="V28" s="278">
        <f>AJ28*Nøgletal!D483</f>
        <v>0</v>
      </c>
      <c r="W28" s="278">
        <f>AJ28*Nøgletal!D484</f>
        <v>0</v>
      </c>
      <c r="X28" s="278">
        <f>AJ28*Nøgletal!D485</f>
        <v>0</v>
      </c>
      <c r="Y28" s="278">
        <f>AJ28*Nøgletal!D486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-AO28/IF(Nøgletal!D357+Nøgletal!E357&gt;0,Nøgletal!D357+Nøgletal!E357,1)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BS28/IF(Nøgletal!E357&gt;0,Nøgletal!E357,1)*Nøgletal!D357</f>
        <v>0</v>
      </c>
      <c r="BS28" s="286">
        <f>BS$27*Nøgletal!D317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B$4+E28*Emissionsfaktorer!$B$3+F28*Emissionsfaktorer!$B$5+H28*Emissionsfaktorer!$B$7+I28*Emissionsfaktorer!$B$8+J28*Emissionsfaktorer!$B$9+K28*Emissionsfaktorer!$B$10+L28*Emissionsfaktorer!$B$11+M28*Emissionsfaktorer!$B$12)*-1*(1-Nøgletal!$D$315)+T28*Emissionsfaktorer!$B$13*Nøgletal!$D$315</f>
        <v>0</v>
      </c>
    </row>
    <row r="29" spans="2:78" x14ac:dyDescent="0.25">
      <c r="B29" s="31"/>
      <c r="C29" s="278"/>
      <c r="D29" s="278"/>
      <c r="E29" s="278">
        <f>AJ29*Nøgletal!D492</f>
        <v>0</v>
      </c>
      <c r="F29" s="278"/>
      <c r="G29" s="278">
        <f t="shared" si="29"/>
        <v>0</v>
      </c>
      <c r="H29" s="278"/>
      <c r="I29" s="278">
        <f>AJ29*Nøgletal!D488</f>
        <v>0</v>
      </c>
      <c r="J29" s="278">
        <f>AJ29*Nøgletal!D489</f>
        <v>0</v>
      </c>
      <c r="K29" s="278">
        <f>AJ29*Nøgletal!D490</f>
        <v>0</v>
      </c>
      <c r="L29" s="278"/>
      <c r="M29" s="278">
        <f>AJ29*Nøgletal!D491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AJ29*Nøgletal!D493</f>
        <v>0</v>
      </c>
      <c r="V29" s="278">
        <f>AJ29*Nøgletal!D494</f>
        <v>0</v>
      </c>
      <c r="W29" s="278">
        <f>AJ29*Nøgletal!D495</f>
        <v>0</v>
      </c>
      <c r="X29" s="278">
        <f>AJ29*Nøgletal!D496</f>
        <v>0</v>
      </c>
      <c r="Y29" s="278">
        <f>Nøgletal!D497</f>
        <v>0</v>
      </c>
      <c r="Z29" s="278"/>
      <c r="AA29" s="278"/>
      <c r="AB29" s="278">
        <f>AJ29*Nøgletal!D498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-AO29/IF(Nøgletal!D358+Nøgletal!E358&gt;0,Nøgletal!D358+Nøgletal!E358,1)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BS29/IF(Nøgletal!E358&gt;0,Nøgletal!E358,1)*Nøgletal!D358</f>
        <v>0</v>
      </c>
      <c r="BS29" s="286">
        <f>BS$27*Nøgletal!D318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B$4+E29*Emissionsfaktorer!$B$3+F29*Emissionsfaktorer!$B$5+H29*Emissionsfaktorer!$B$7+I29*Emissionsfaktorer!$B$8+J29*Emissionsfaktorer!$B$9+K29*Emissionsfaktorer!$B$10+L29*Emissionsfaktorer!$B$11+M29*Emissionsfaktorer!$B$12)*-1*(1-Nøgletal!$D$315)+T29*Emissionsfaktorer!$B$13*Nøgletal!$D$315</f>
        <v>0</v>
      </c>
    </row>
    <row r="30" spans="2:78" x14ac:dyDescent="0.25">
      <c r="B30" s="31"/>
      <c r="C30" s="278"/>
      <c r="D30" s="278"/>
      <c r="E30" s="278">
        <f>AJ30*Nøgletal!D500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AJ30*Nøgletal!D501</f>
        <v>0</v>
      </c>
      <c r="V30" s="278"/>
      <c r="W30" s="278"/>
      <c r="X30" s="278"/>
      <c r="Y30" s="278"/>
      <c r="Z30" s="278"/>
      <c r="AA30" s="278"/>
      <c r="AB30" s="278">
        <f>AJ30*Nøgletal!D502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-AO30/IF(Nøgletal!D359+Nøgletal!E359&gt;0,Nøgletal!D359+Nøgletal!E359,1)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BS30/IF(Nøgletal!E359&gt;0,Nøgletal!E359,1)*Nøgletal!D359</f>
        <v>0</v>
      </c>
      <c r="BS30" s="286">
        <f>BS$27*Nøgletal!D319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B$4+E30*Emissionsfaktorer!$B$3+F30*Emissionsfaktorer!$B$5+H30*Emissionsfaktorer!$B$7+I30*Emissionsfaktorer!$B$8+J30*Emissionsfaktorer!$B$9+K30*Emissionsfaktorer!$B$10+L30*Emissionsfaktorer!$B$11+M30*Emissionsfaktorer!$B$12)*-1*(1-Nøgletal!$D$315)+T30*Emissionsfaktorer!$B$13*Nøgletal!$D$315</f>
        <v>0</v>
      </c>
    </row>
    <row r="31" spans="2:78" x14ac:dyDescent="0.25">
      <c r="B31" s="31"/>
      <c r="C31" s="278">
        <f>AJ31*Nøgletal!D504</f>
        <v>0</v>
      </c>
      <c r="D31" s="278"/>
      <c r="E31" s="278">
        <f>AJ31*Nøgletal!D506</f>
        <v>0</v>
      </c>
      <c r="F31" s="278"/>
      <c r="G31" s="278">
        <f t="shared" si="29"/>
        <v>0</v>
      </c>
      <c r="H31" s="278"/>
      <c r="I31" s="278">
        <f>AJ31*Nøgletal!D505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AJ31*Nøgletal!D507</f>
        <v>0</v>
      </c>
      <c r="V31" s="278">
        <f>AJ31*Nøgletal!D508</f>
        <v>0</v>
      </c>
      <c r="W31" s="278">
        <f>AJ31*Nøgletal!D509</f>
        <v>0</v>
      </c>
      <c r="X31" s="278">
        <f>AJ31*Nøgletal!D510</f>
        <v>0</v>
      </c>
      <c r="Y31" s="278">
        <f>AJ31*Nøgletal!D511</f>
        <v>0</v>
      </c>
      <c r="Z31" s="278"/>
      <c r="AA31" s="278"/>
      <c r="AB31" s="278">
        <f>AJ31*Nøgletal!D512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-AO31/IF(Nøgletal!D360+Nøgletal!E360&gt;0,Nøgletal!D360+Nøgletal!E360,1)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BS31/IF(Nøgletal!E360&gt;0,Nøgletal!E360,1)*Nøgletal!D360</f>
        <v>0</v>
      </c>
      <c r="BS31" s="286">
        <f>BS$27*Nøgletal!D320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B$4+E31*Emissionsfaktorer!$B$3+F31*Emissionsfaktorer!$B$5+H31*Emissionsfaktorer!$B$7+I31*Emissionsfaktorer!$B$8+J31*Emissionsfaktorer!$B$9+K31*Emissionsfaktorer!$B$10+L31*Emissionsfaktorer!$B$11+M31*Emissionsfaktorer!$B$12)*-1*(1-Nøgletal!$D$315)+T31*Emissionsfaktorer!$B$13*Nøgletal!$D$315</f>
        <v>0</v>
      </c>
    </row>
    <row r="32" spans="2:78" x14ac:dyDescent="0.25"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AO32*(1-1/IF(Nøgletal!E361&gt;0,Nøgletal!E361,1))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-AO32/Nøgletal!E514/(1-Nøgletal!D294)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BS$27*Nøgletal!D321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B$4+E32*Emissionsfaktorer!$B$3+F32*Emissionsfaktorer!$B$5+H32*Emissionsfaktorer!$B$7+I32*Emissionsfaktorer!$B$8+J32*Emissionsfaktorer!$B$9+K32*Emissionsfaktorer!$B$10+L32*Emissionsfaktorer!$B$11+M32*Emissionsfaktorer!$B$12)*-1*(1-Nøgletal!$D$315)+T32*Emissionsfaktorer!$B$13*Nøgletal!$D$315</f>
        <v>0</v>
      </c>
    </row>
    <row r="33" spans="2:78" x14ac:dyDescent="0.25"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-AO33/IF(Nøgletal!D362+Nøgletal!E362&gt;0,Nøgletal!D362+Nøgletal!E362,1)/(1-Nøgletal!D294)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BS$27*Nøgletal!D322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B$4+E33*Emissionsfaktorer!$B$3+F33*Emissionsfaktorer!$B$5+H33*Emissionsfaktorer!$B$7+I33*Emissionsfaktorer!$B$8+J33*Emissionsfaktorer!$B$9+K33*Emissionsfaktorer!$B$10+L33*Emissionsfaktorer!$B$11+M33*Emissionsfaktorer!$B$12)*-1*(1-Nøgletal!$D$315)+T33*Emissionsfaktorer!$B$13*Nøgletal!$D$315</f>
        <v>0</v>
      </c>
    </row>
    <row r="34" spans="2:78" x14ac:dyDescent="0.25"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-AO34/IF(Nøgletal!D363+Nøgletal!E363&gt;0,Nøgletal!D363+Nøgletal!E363,1)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BS34/IF(Nøgletal!E363&gt;0,Nøgletal!E363,1)*Nøgletal!D363</f>
        <v>0</v>
      </c>
      <c r="BS34" s="286">
        <f>BS$27*Nøgletal!D323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B$4+E34*Emissionsfaktorer!$B$3+F34*Emissionsfaktorer!$B$5+H34*Emissionsfaktorer!$B$7+I34*Emissionsfaktorer!$B$8+J34*Emissionsfaktorer!$B$9+K34*Emissionsfaktorer!$B$10+L34*Emissionsfaktorer!$B$11+M34*Emissionsfaktorer!$B$12)*-1*(1-Nøgletal!$D$315)+T34*Emissionsfaktorer!$B$13*Nøgletal!$D$315</f>
        <v>0</v>
      </c>
    </row>
    <row r="35" spans="2:78" x14ac:dyDescent="0.25">
      <c r="B35" s="31"/>
      <c r="C35" s="278">
        <f>AJ35*Nøgletal!D518</f>
        <v>0</v>
      </c>
      <c r="D35" s="278"/>
      <c r="E35" s="278">
        <f>AJ35*Nøgletal!D520</f>
        <v>0</v>
      </c>
      <c r="F35" s="278"/>
      <c r="G35" s="278">
        <f t="shared" si="29"/>
        <v>0</v>
      </c>
      <c r="H35" s="278"/>
      <c r="I35" s="278">
        <f>AJ35*Nøgletal!D519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AJ35*Nøgletal!D521</f>
        <v>0</v>
      </c>
      <c r="V35" s="278">
        <f>AJ35*Nøgletal!D522</f>
        <v>0</v>
      </c>
      <c r="W35" s="278">
        <f>AJ35*Nøgletal!D523</f>
        <v>0</v>
      </c>
      <c r="X35" s="278">
        <f>AJ35*Nøgletal!D524</f>
        <v>0</v>
      </c>
      <c r="Y35" s="278">
        <f>AJ35*Nøgletal!D525</f>
        <v>0</v>
      </c>
      <c r="Z35" s="278"/>
      <c r="AA35" s="278"/>
      <c r="AB35" s="278">
        <f>AJ35*Nøgletal!D526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-AO35/IF(Nøgletal!D364+Nøgletal!E364&gt;0,Nøgletal!D364+Nøgletal!E364,1)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BS35/IF(Nøgletal!E364&gt;0,Nøgletal!E364,1)*Nøgletal!D364</f>
        <v>0</v>
      </c>
      <c r="BS35" s="286">
        <f>BS$27*Nøgletal!D324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B$4+E35*Emissionsfaktorer!$B$3+F35*Emissionsfaktorer!$B$5+H35*Emissionsfaktorer!$B$7+I35*Emissionsfaktorer!$B$8+J35*Emissionsfaktorer!$B$9+K35*Emissionsfaktorer!$B$10+L35*Emissionsfaktorer!$B$11+M35*Emissionsfaktorer!$B$12)*-1*(1-Nøgletal!$D$315)+T35*Emissionsfaktorer!$B$13*Nøgletal!$D$315</f>
        <v>0</v>
      </c>
    </row>
    <row r="36" spans="2:78" x14ac:dyDescent="0.25"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B$4+E36*Emissionsfaktorer!$B$3+F36*Emissionsfaktorer!$B$5+H36*Emissionsfaktorer!$B$7+I36*Emissionsfaktorer!$B$8+J36*Emissionsfaktorer!$B$9+K36*Emissionsfaktorer!$B$10+L36*Emissionsfaktorer!$B$11+M36*Emissionsfaktorer!$B$12)*-1*(1-Nøgletal!$D$315)+T36*Emissionsfaktorer!$B$13*Nøgletal!$D$315</f>
        <v>0</v>
      </c>
    </row>
    <row r="37" spans="2:78" x14ac:dyDescent="0.25"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-9.1999999999999993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-9.1999999999999993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-9.1999999999999993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2.8519999999999999</v>
      </c>
      <c r="AP37" s="37">
        <f t="shared" si="6"/>
        <v>0.31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2.8519999999999999</v>
      </c>
      <c r="BS37" s="23">
        <f>Nøgletal!D271/(1-Nøgletal!D298)</f>
        <v>0</v>
      </c>
      <c r="BT37" s="23">
        <f>Nøgletal!E271/(1-Nøgletal!E298)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6.347999999999999</v>
      </c>
      <c r="BZ37" s="126">
        <f t="shared" si="37"/>
        <v>0</v>
      </c>
    </row>
    <row r="38" spans="2:78" x14ac:dyDescent="0.25">
      <c r="B38" s="31"/>
      <c r="C38" s="278"/>
      <c r="D38" s="278"/>
      <c r="E38" s="278">
        <f>AJ38*Nøgletal!D532</f>
        <v>0</v>
      </c>
      <c r="F38" s="278"/>
      <c r="G38" s="278">
        <f t="shared" si="29"/>
        <v>0</v>
      </c>
      <c r="H38" s="278"/>
      <c r="I38" s="278">
        <f>AJ38*Nøgletal!D528</f>
        <v>0</v>
      </c>
      <c r="J38" s="278">
        <f>AJ38*Nøgletal!D529</f>
        <v>0</v>
      </c>
      <c r="K38" s="278">
        <f>AJ38*Nøgletal!D530</f>
        <v>0</v>
      </c>
      <c r="L38" s="278"/>
      <c r="M38" s="278">
        <f>AJ38*Nøgletal!D531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-9.1999999999999993</v>
      </c>
      <c r="U38" s="278">
        <f>AJ38*Nøgletal!D533</f>
        <v>0</v>
      </c>
      <c r="V38" s="278">
        <f>Nøgletal!D534</f>
        <v>0</v>
      </c>
      <c r="W38" s="278">
        <f>AJ38*Nøgletal!D535</f>
        <v>0</v>
      </c>
      <c r="X38" s="278">
        <f>Nøgletal!D536</f>
        <v>0</v>
      </c>
      <c r="Y38" s="278">
        <f>AJ38*Nøgletal!D537</f>
        <v>0</v>
      </c>
      <c r="Z38" s="278"/>
      <c r="AA38" s="278"/>
      <c r="AB38" s="278">
        <f>AJ38*Nøgletal!D538</f>
        <v>-9.1999999999999993</v>
      </c>
      <c r="AC38" s="280"/>
      <c r="AD38" s="280"/>
      <c r="AE38" s="280"/>
      <c r="AF38" s="280"/>
      <c r="AG38" s="280"/>
      <c r="AH38" s="280"/>
      <c r="AI38" s="280"/>
      <c r="AJ38" s="105">
        <f>-AO38/IF(Nøgletal!D366+Nøgletal!E366&gt;0,Nøgletal!D366+Nøgletal!E366,1)</f>
        <v>-9.1999999999999993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2.8519999999999999</v>
      </c>
      <c r="AP38" s="37">
        <f t="shared" si="6"/>
        <v>0.31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Nøgletal!D275</f>
        <v>2.8519999999999999</v>
      </c>
      <c r="BS38" s="292">
        <f>BS$37*Nøgletal!D327</f>
        <v>0</v>
      </c>
      <c r="BT38" s="280"/>
      <c r="BU38" s="280"/>
      <c r="BV38" s="280"/>
      <c r="BW38" s="280"/>
      <c r="BX38" s="280"/>
      <c r="BY38" s="124">
        <f>(AJ38+AO38)*-1</f>
        <v>6.347999999999999</v>
      </c>
      <c r="BZ38" s="123">
        <f>(C38*Emissionsfaktorer!$B$4+E38*Emissionsfaktorer!$B$3+F38*Emissionsfaktorer!$B$5+H38*Emissionsfaktorer!$B$7+I38*Emissionsfaktorer!$B$8+J38*Emissionsfaktorer!$B$9+K38*Emissionsfaktorer!$B$10+L38*Emissionsfaktorer!$B$11+M38*Emissionsfaktorer!$B$12)*-1*(1-Nøgletal!$D$325)+T38*Emissionsfaktorer!$B$13*Nøgletal!$D$325</f>
        <v>0</v>
      </c>
    </row>
    <row r="39" spans="2:78" x14ac:dyDescent="0.25">
      <c r="B39" s="31"/>
      <c r="C39" s="278">
        <f>AJ39*Nøgletal!D540</f>
        <v>0</v>
      </c>
      <c r="D39" s="278"/>
      <c r="E39" s="278">
        <f>AJ39*Nøgletal!D542</f>
        <v>0</v>
      </c>
      <c r="F39" s="278"/>
      <c r="G39" s="278">
        <f t="shared" si="29"/>
        <v>0</v>
      </c>
      <c r="H39" s="278"/>
      <c r="I39" s="278">
        <f>AJ39*Nøgletal!D541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AJ39*Nøgletal!D543</f>
        <v>0</v>
      </c>
      <c r="V39" s="278">
        <f>AJ39*Nøgletal!D544</f>
        <v>0</v>
      </c>
      <c r="W39" s="278">
        <f>AJ39*Nøgletal!D545</f>
        <v>0</v>
      </c>
      <c r="X39" s="278">
        <f>AJ39*Nøgletal!D547</f>
        <v>0</v>
      </c>
      <c r="Y39" s="278">
        <f>AJ39*Nøgletal!D548</f>
        <v>0</v>
      </c>
      <c r="Z39" s="278"/>
      <c r="AA39" s="278"/>
      <c r="AB39" s="278">
        <f>Nøgletal!D549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-AO39/IF(Nøgletal!D367+Nøgletal!E367&gt;0,Nøgletal!D367+Nøgletal!E367,1)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BS39/IF(Nøgletal!E367&gt;0,Nøgletal!E367,1)*Nøgletal!D367</f>
        <v>0</v>
      </c>
      <c r="BS39" s="292">
        <f>BS$37*Nøgletal!D328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B$4+E39*Emissionsfaktorer!$B$3+F39*Emissionsfaktorer!$B$5+H39*Emissionsfaktorer!$B$7+I39*Emissionsfaktorer!$B$8+J39*Emissionsfaktorer!$B$9+K39*Emissionsfaktorer!$B$10+L39*Emissionsfaktorer!$B$11+M39*Emissionsfaktorer!$B$12)*-1*(1-Nøgletal!$D$325)+T39*Emissionsfaktorer!$B$13*Nøgletal!$D$325</f>
        <v>0</v>
      </c>
    </row>
    <row r="40" spans="2:78" x14ac:dyDescent="0.25"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B$4+E40*Emissionsfaktorer!$B$3+F40*Emissionsfaktorer!$B$5+H40*Emissionsfaktorer!$B$7+I40*Emissionsfaktorer!$B$8+J40*Emissionsfaktorer!$B$9+K40*Emissionsfaktorer!$B$10+L40*Emissionsfaktorer!$B$11+M40*Emissionsfaktorer!$B$12)*-1*(1-Nøgletal!$D$325)+T40*Emissionsfaktorer!$B$13*Nøgletal!$D$325</f>
        <v>0</v>
      </c>
    </row>
    <row r="41" spans="2:78" x14ac:dyDescent="0.25"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Nøgletal!D269/(1-Nøgletal!D296)</f>
        <v>0</v>
      </c>
      <c r="BT41" s="23">
        <f>Nøgletal!E269/(1-Nøgletal!E296)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</row>
    <row r="42" spans="2:78" x14ac:dyDescent="0.25">
      <c r="B42" s="31"/>
      <c r="C42" s="278"/>
      <c r="D42" s="278"/>
      <c r="E42" s="278"/>
      <c r="F42" s="278">
        <f>AJ42*Nøgletal!D469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AJ42*Nøgletal!D467</f>
        <v>0</v>
      </c>
      <c r="AA42" s="278">
        <f>AJ42*Nøgletal!D468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-AO42/IF(Nøgletal!D353+Nøgletal!E353&gt;0,Nøgletal!D353+Nøgletal!E353,1)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BS42/IF(Nøgletal!E353&gt;0,Nøgletal!E353,1)*Nøgletal!D353</f>
        <v>0</v>
      </c>
      <c r="BS42" s="289">
        <f>BS$41*Nøgletal!D312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B$4+E42*Emissionsfaktorer!$B$3+F42*Emissionsfaktorer!$B$5+H42*Emissionsfaktorer!$B$7+I42*Emissionsfaktorer!$B$8+J42*Emissionsfaktorer!$B$9+K42*Emissionsfaktorer!$B$10+L42*Emissionsfaktorer!$B$11+M42*Emissionsfaktorer!$B$12)*-1*(1-Nøgletal!$D$310)+T42*Emissionsfaktorer!$B$13*Nøgletal!$D$310</f>
        <v>0</v>
      </c>
    </row>
    <row r="43" spans="2:78" x14ac:dyDescent="0.25">
      <c r="B43" s="31"/>
      <c r="C43" s="278"/>
      <c r="D43" s="278"/>
      <c r="E43" s="278"/>
      <c r="F43" s="278">
        <f>AJ43*Nøgletal!D473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AJ43*Nøgletal!D471</f>
        <v>0</v>
      </c>
      <c r="AA43" s="278">
        <f>AJ43*Nøgletal!D472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-AO43/IF(Nøgletal!D354+Nøgletal!E354&gt;0,Nøgletal!D354+Nøgletal!E354,1)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BS43/IF(Nøgletal!E354&gt;0,Nøgletal!E354,1)*Nøgletal!D354</f>
        <v>0</v>
      </c>
      <c r="BS43" s="289">
        <f>BS$41*Nøgletal!D313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B$4+E43*Emissionsfaktorer!$B$3+F43*Emissionsfaktorer!$B$5+H43*Emissionsfaktorer!$B$7+I43*Emissionsfaktorer!$B$8+J43*Emissionsfaktorer!$B$9+K43*Emissionsfaktorer!$B$10+L43*Emissionsfaktorer!$B$11+M43*Emissionsfaktorer!$B$12)*-1*(1-Nøgletal!$D$310)+T43*Emissionsfaktorer!$B$13*Nøgletal!$D$310</f>
        <v>0</v>
      </c>
    </row>
    <row r="44" spans="2:78" x14ac:dyDescent="0.25">
      <c r="B44" s="31"/>
      <c r="C44" s="278"/>
      <c r="D44" s="278"/>
      <c r="E44" s="278"/>
      <c r="F44" s="278">
        <f>AJ44*Nøgletal!D477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AJ44*Nøgletal!D475</f>
        <v>0</v>
      </c>
      <c r="AA44" s="278">
        <f>AJ44*Nøgletal!D476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-AO44/IF(Nøgletal!D355+Nøgletal!E355&gt;0,Nøgletal!D355+Nøgletal!E355,1)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BS44/IF(Nøgletal!E355&gt;0,Nøgletal!E355,1)*Nøgletal!D355</f>
        <v>0</v>
      </c>
      <c r="BS44" s="289">
        <f>BS$41*Nøgletal!D314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B$4+E44*Emissionsfaktorer!$B$3+F44*Emissionsfaktorer!$B$5+H44*Emissionsfaktorer!$B$7+I44*Emissionsfaktorer!$B$8+J44*Emissionsfaktorer!$B$9+K44*Emissionsfaktorer!$B$10+L44*Emissionsfaktorer!$B$11+M44*Emissionsfaktorer!$B$12)*-1*(1-Nøgletal!$D$310)+T44*Emissionsfaktorer!$B$13*Nøgletal!$D$310</f>
        <v>0</v>
      </c>
    </row>
    <row r="45" spans="2:78" x14ac:dyDescent="0.25"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B$4+E45*Emissionsfaktorer!$B$3+F45*Emissionsfaktorer!$B$5+H45*Emissionsfaktorer!$B$7+I45*Emissionsfaktorer!$B$8+J45*Emissionsfaktorer!$B$9+K45*Emissionsfaktorer!$B$10+L45*Emissionsfaktorer!$B$11+M45*Emissionsfaktorer!$B$12)*-1*(1-Nøgletal!$D$310)+T45*Emissionsfaktorer!$B$13*Nøgletal!$D$310</f>
        <v>0</v>
      </c>
    </row>
    <row r="46" spans="2:78" x14ac:dyDescent="0.25"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0</v>
      </c>
      <c r="AD46" s="23">
        <f t="shared" si="40"/>
        <v>0</v>
      </c>
      <c r="AE46" s="23">
        <f t="shared" si="40"/>
        <v>0</v>
      </c>
      <c r="AF46" s="23">
        <f t="shared" si="40"/>
        <v>-407.36084999999997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-407.36084999999997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407.36084999999997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407.36084999999997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0</v>
      </c>
      <c r="BX46" s="23"/>
      <c r="BY46" s="126">
        <f t="shared" si="41"/>
        <v>0</v>
      </c>
      <c r="BZ46" s="126">
        <f t="shared" si="41"/>
        <v>0</v>
      </c>
    </row>
    <row r="47" spans="2:78" x14ac:dyDescent="0.25">
      <c r="B47" s="31"/>
      <c r="C47" s="278">
        <f>AJ47*Nøgletal!D586</f>
        <v>0</v>
      </c>
      <c r="D47" s="278"/>
      <c r="E47" s="278">
        <f>AJ47*Nøgletal!D588</f>
        <v>0</v>
      </c>
      <c r="F47" s="278"/>
      <c r="G47" s="278">
        <f t="shared" si="29"/>
        <v>0</v>
      </c>
      <c r="H47" s="278"/>
      <c r="I47" s="278">
        <f>AJ47*Nøgletal!D587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AJ47*Nøgletal!D589</f>
        <v>0</v>
      </c>
      <c r="V47" s="278">
        <f>AJ47*Nøgletal!D590</f>
        <v>0</v>
      </c>
      <c r="W47" s="278">
        <f>AJ47*Nøgletal!D591</f>
        <v>0</v>
      </c>
      <c r="X47" s="278">
        <f>AJ47*Nøgletal!D592</f>
        <v>0</v>
      </c>
      <c r="Y47" s="278">
        <f>AJ47*Nøgletal!D593</f>
        <v>0</v>
      </c>
      <c r="Z47" s="278"/>
      <c r="AA47" s="278"/>
      <c r="AB47" s="278">
        <f>AJ47*Nøgletal!D594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-AO47/IF(Nøgletal!D375+Nøgletal!E375&gt;0,Nøgletal!D375+Nøgletal!E375,1)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BS47/IF(Nøgletal!E375&gt;0,Nøgletal!E375,1)*Nøgletal!D375</f>
        <v>0</v>
      </c>
      <c r="BS47" s="292">
        <f>(Nøgletal!D$202+Nøgletal!D$273/(1-Nøgletal!D$300))*Nøgletal!D338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B$4+E47*Emissionsfaktorer!$B$3+F47*Emissionsfaktorer!$B$5+H47*Emissionsfaktorer!$B$7+I47*Emissionsfaktorer!$B$8+J47*Emissionsfaktorer!$B$9+K47*Emissionsfaktorer!$B$10+L47*Emissionsfaktorer!$B$11+M47*Emissionsfaktorer!$B$12)*-1*(1-Nøgletal!$D$336)+T47*Emissionsfaktorer!$B$13*Nøgletal!$D$336</f>
        <v>0</v>
      </c>
    </row>
    <row r="48" spans="2:78" x14ac:dyDescent="0.25">
      <c r="B48" s="31"/>
      <c r="C48" s="278"/>
      <c r="D48" s="278"/>
      <c r="E48" s="278">
        <f>AJ48*Nøgletal!D600</f>
        <v>0</v>
      </c>
      <c r="F48" s="278"/>
      <c r="G48" s="278">
        <f t="shared" si="29"/>
        <v>0</v>
      </c>
      <c r="H48" s="278"/>
      <c r="I48" s="278">
        <f>AJ48*Nøgletal!D596</f>
        <v>0</v>
      </c>
      <c r="J48" s="278">
        <f>AJ48*Nøgletal!D597</f>
        <v>0</v>
      </c>
      <c r="K48" s="278">
        <f>AJ48*Nøgletal!D598</f>
        <v>0</v>
      </c>
      <c r="L48" s="278"/>
      <c r="M48" s="278">
        <f>AJ48*Nøgletal!D599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AJ48*Nøgletal!D601</f>
        <v>0</v>
      </c>
      <c r="V48" s="278">
        <f>Nøgletal!D602</f>
        <v>0</v>
      </c>
      <c r="W48" s="278">
        <f>Nøgletal!D603</f>
        <v>0</v>
      </c>
      <c r="X48" s="278">
        <f>AJ48*Nøgletal!D604</f>
        <v>0</v>
      </c>
      <c r="Y48" s="278">
        <f>AJ48*Nøgletal!D605</f>
        <v>0</v>
      </c>
      <c r="Z48" s="278"/>
      <c r="AA48" s="278"/>
      <c r="AB48" s="278">
        <f>AJ48*Nøgletal!D606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-AO48/IF(Nøgletal!D376+Nøgletal!E376&gt;0,Nøgletal!D376+Nøgletal!E376,1)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BS48/IF(Nøgletal!E376&gt;0,Nøgletal!E376,1)*Nøgletal!D376</f>
        <v>0</v>
      </c>
      <c r="BS48" s="292">
        <f>(Nøgletal!D$202+Nøgletal!D$273/(1-Nøgletal!D$300))*Nøgletal!D339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B$4+E48*Emissionsfaktorer!$B$3+F48*Emissionsfaktorer!$B$5+H48*Emissionsfaktorer!$B$7+I48*Emissionsfaktorer!$B$8+J48*Emissionsfaktorer!$B$9+K48*Emissionsfaktorer!$B$10+L48*Emissionsfaktorer!$B$11+M48*Emissionsfaktorer!$B$12)*-1*(1-Nøgletal!$D$336)+T48*Emissionsfaktorer!$B$13*Nøgletal!$D$336</f>
        <v>0</v>
      </c>
    </row>
    <row r="49" spans="2:80" x14ac:dyDescent="0.25">
      <c r="B49" s="31"/>
      <c r="C49" s="278"/>
      <c r="D49" s="278"/>
      <c r="E49" s="278">
        <f>AJ49*Nøgletal!D608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AJ49*Nøgletal!D609</f>
        <v>0</v>
      </c>
      <c r="V49" s="278"/>
      <c r="W49" s="278"/>
      <c r="X49" s="278"/>
      <c r="Y49" s="278"/>
      <c r="Z49" s="278"/>
      <c r="AA49" s="278"/>
      <c r="AB49" s="278">
        <f>AJ49*Nøgletal!D610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-AO49/IF(Nøgletal!D377+Nøgletal!E377&gt;0,Nøgletal!D377+Nøgletal!E377,1)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BS49/IF(Nøgletal!E377&gt;0,Nøgletal!E377,1)*Nøgletal!D377</f>
        <v>0</v>
      </c>
      <c r="BS49" s="292">
        <f>(Nøgletal!D$202+Nøgletal!D$273/(1-Nøgletal!D$300))*Nøgletal!D340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B$4+E49*Emissionsfaktorer!$B$3+F49*Emissionsfaktorer!$B$5+H49*Emissionsfaktorer!$B$7+I49*Emissionsfaktorer!$B$8+J49*Emissionsfaktorer!$B$9+K49*Emissionsfaktorer!$B$10+L49*Emissionsfaktorer!$B$11+M49*Emissionsfaktorer!$B$12)*-1*(1-Nøgletal!$D$336)+T49*Emissionsfaktorer!$B$13*Nøgletal!$D$336</f>
        <v>0</v>
      </c>
    </row>
    <row r="50" spans="2:80" x14ac:dyDescent="0.25">
      <c r="B50" s="31"/>
      <c r="C50" s="278">
        <f>AJ50*Nøgletal!D612</f>
        <v>0</v>
      </c>
      <c r="D50" s="278"/>
      <c r="E50" s="278">
        <f>AJ50*Nøgletal!D614</f>
        <v>0</v>
      </c>
      <c r="F50" s="278"/>
      <c r="G50" s="278">
        <f t="shared" si="29"/>
        <v>0</v>
      </c>
      <c r="H50" s="278"/>
      <c r="I50" s="278">
        <f>AJ50*Nøgletal!D613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AJ50*Nøgletal!D615</f>
        <v>0</v>
      </c>
      <c r="V50" s="278">
        <f>AJ50*Nøgletal!D626</f>
        <v>0</v>
      </c>
      <c r="W50" s="278">
        <f>AJ50*Nøgletal!D617</f>
        <v>0</v>
      </c>
      <c r="X50" s="278">
        <f>AJ50*Nøgletal!D628</f>
        <v>0</v>
      </c>
      <c r="Y50" s="278">
        <f>AJ50*Nøgletal!D619</f>
        <v>0</v>
      </c>
      <c r="Z50" s="278"/>
      <c r="AA50" s="278"/>
      <c r="AB50" s="278">
        <f>AJ50*Nøgletal!D620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-AO50/IF(Nøgletal!D378+Nøgletal!E378&gt;0,Nøgletal!D378+Nøgletal!E378,1)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BS50/IF(Nøgletal!E378&gt;0,Nøgletal!E378,1)*Nøgletal!D378</f>
        <v>0</v>
      </c>
      <c r="BS50" s="292">
        <f>(Nøgletal!D$202+Nøgletal!D$273/(1-Nøgletal!D$300))*Nøgletal!D341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B$4+E50*Emissionsfaktorer!$B$3+F50*Emissionsfaktorer!$B$5+H50*Emissionsfaktorer!$B$7+I50*Emissionsfaktorer!$B$8+J50*Emissionsfaktorer!$B$9+K50*Emissionsfaktorer!$B$10+L50*Emissionsfaktorer!$B$11+M50*Emissionsfaktorer!$B$12)*-1*(1-Nøgletal!$D$336)+T50*Emissionsfaktorer!$B$13*Nøgletal!$D$336</f>
        <v>0</v>
      </c>
    </row>
    <row r="51" spans="2:80" x14ac:dyDescent="0.25">
      <c r="B51" s="31"/>
      <c r="C51" s="278">
        <f>AJ51*Nøgletal!D622</f>
        <v>0</v>
      </c>
      <c r="D51" s="278"/>
      <c r="E51" s="278">
        <f>AJ51*Nøgletal!D624</f>
        <v>0</v>
      </c>
      <c r="F51" s="278"/>
      <c r="G51" s="278">
        <f t="shared" si="29"/>
        <v>0</v>
      </c>
      <c r="H51" s="278"/>
      <c r="I51" s="278">
        <f>AJ51*Nøgletal!D623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AJ51*Nøgletal!D625</f>
        <v>0</v>
      </c>
      <c r="V51" s="278">
        <f>AJ51*Nøgletal!D626</f>
        <v>0</v>
      </c>
      <c r="W51" s="278">
        <f>AJ51*Nøgletal!D627</f>
        <v>0</v>
      </c>
      <c r="X51" s="278">
        <f>AJ51*Nøgletal!D628</f>
        <v>0</v>
      </c>
      <c r="Y51" s="278">
        <f>AJ51*Nøgletal!D629</f>
        <v>0</v>
      </c>
      <c r="Z51" s="278"/>
      <c r="AA51" s="278"/>
      <c r="AB51" s="278">
        <f>AJ51*Nøgletal!D630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-AO51/IF(Nøgletal!D379+Nøgletal!E379&gt;0,Nøgletal!D379+Nøgletal!E379,1)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BS51/IF(Nøgletal!E379&gt;0,Nøgletal!E379,1)*Nøgletal!D379</f>
        <v>0</v>
      </c>
      <c r="BS51" s="292">
        <f>(Nøgletal!D$202+Nøgletal!D$273/(1-Nøgletal!D$300))*Nøgletal!D342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B$4+E51*Emissionsfaktorer!$B$3+F51*Emissionsfaktorer!$B$5+H51*Emissionsfaktorer!$B$7+I51*Emissionsfaktorer!$B$8+J51*Emissionsfaktorer!$B$9+K51*Emissionsfaktorer!$B$10+L51*Emissionsfaktorer!$B$11+M51*Emissionsfaktorer!$B$12)*-1*(1-Nøgletal!$D$336)+T51*Emissionsfaktorer!$B$13*Nøgletal!$D$336</f>
        <v>0</v>
      </c>
    </row>
    <row r="52" spans="2:80" x14ac:dyDescent="0.25"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-407.36084999999997</v>
      </c>
      <c r="AG52" s="280"/>
      <c r="AH52" s="280"/>
      <c r="AI52" s="280"/>
      <c r="AJ52" s="105">
        <f>-AO52/IF(Nøgletal!D380+Nøgletal!E380&gt;0,Nøgletal!D380+Nøgletal!E380,1)</f>
        <v>-407.36084999999997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407.36084999999997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BS52/IF(Nøgletal!E380&gt;0,Nøgletal!E380,1)*Nøgletal!D380</f>
        <v>0</v>
      </c>
      <c r="BS52" s="292">
        <f>(Nøgletal!D$202+Nøgletal!D$273/(1-Nøgletal!D$300))*Nøgletal!D343</f>
        <v>407.36084999999997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B$4+E52*Emissionsfaktorer!$B$3+F52*Emissionsfaktorer!$B$5+H52*Emissionsfaktorer!$B$7+I52*Emissionsfaktorer!$B$8+J52*Emissionsfaktorer!$B$9+K52*Emissionsfaktorer!$B$10+L52*Emissionsfaktorer!$B$11+M52*Emissionsfaktorer!$B$12)*-1*(1-Nøgletal!$D$336)+T52*Emissionsfaktorer!$B$13*Nøgletal!$D$336</f>
        <v>0</v>
      </c>
    </row>
    <row r="53" spans="2:80" x14ac:dyDescent="0.25"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Nøgletal!D201*-1</f>
        <v>0</v>
      </c>
      <c r="AD53" s="280"/>
      <c r="AE53" s="280"/>
      <c r="AF53" s="280"/>
      <c r="AG53" s="280"/>
      <c r="AH53" s="280"/>
      <c r="AI53" s="280"/>
      <c r="AJ53" s="105">
        <f>AC53</f>
        <v>0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0</v>
      </c>
      <c r="AP53" s="37">
        <f t="shared" si="6"/>
        <v>0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Nøgletal!D201</f>
        <v>0</v>
      </c>
      <c r="BX53" s="292"/>
      <c r="BY53" s="124">
        <f t="shared" si="42"/>
        <v>0</v>
      </c>
      <c r="BZ53" s="123">
        <f>(C53*Emissionsfaktorer!$B$4+E53*Emissionsfaktorer!$B$3+F53*Emissionsfaktorer!$B$5+H53*Emissionsfaktorer!$B$7+I53*Emissionsfaktorer!$B$8+J53*Emissionsfaktorer!$B$9+K53*Emissionsfaktorer!$B$10+L53*Emissionsfaktorer!$B$11+M53*Emissionsfaktorer!$B$12)*-1*(1-Nøgletal!$D$336)+T53*Emissionsfaktorer!$B$13*Nøgletal!$D$336</f>
        <v>0</v>
      </c>
    </row>
    <row r="54" spans="2:80" x14ac:dyDescent="0.25"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Nøgletal!D202</f>
        <v>0</v>
      </c>
      <c r="BX54" s="292"/>
      <c r="BY54" s="124">
        <f t="shared" si="42"/>
        <v>0</v>
      </c>
      <c r="BZ54" s="123">
        <f>(C54*Emissionsfaktorer!$B$4+E54*Emissionsfaktorer!$B$3+F54*Emissionsfaktorer!$B$5+H54*Emissionsfaktorer!$B$7+I54*Emissionsfaktorer!$B$8+J54*Emissionsfaktorer!$B$9+K54*Emissionsfaktorer!$B$10+L54*Emissionsfaktorer!$B$11+M54*Emissionsfaktorer!$B$12)*-1*(1-Nøgletal!$D$336)+T54*Emissionsfaktorer!$B$13*Nøgletal!$D$336</f>
        <v>0</v>
      </c>
    </row>
    <row r="55" spans="2:80" x14ac:dyDescent="0.25"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B$4+E55*Emissionsfaktorer!$B$3+F55*Emissionsfaktorer!$B$5+H55*Emissionsfaktorer!$B$7+I55*Emissionsfaktorer!$B$8+J55*Emissionsfaktorer!$B$9+K55*Emissionsfaktorer!$B$10+L55*Emissionsfaktorer!$B$11+M55*Emissionsfaktorer!$B$12)*-1*(1-Nøgletal!$D$336)+T55*Emissionsfaktorer!$B$13*Nøgletal!$D$336</f>
        <v>0</v>
      </c>
      <c r="CA55" s="40"/>
    </row>
    <row r="56" spans="2:80" x14ac:dyDescent="0.25"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2:80" x14ac:dyDescent="0.25"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-3000</v>
      </c>
      <c r="F57" s="20">
        <f t="shared" si="43"/>
        <v>-122.16545999999998</v>
      </c>
      <c r="G57" s="20">
        <f t="shared" si="43"/>
        <v>-64.699699999999993</v>
      </c>
      <c r="H57" s="20">
        <f t="shared" si="43"/>
        <v>0</v>
      </c>
      <c r="I57" s="20">
        <f t="shared" si="43"/>
        <v>0</v>
      </c>
      <c r="J57" s="20">
        <f t="shared" si="43"/>
        <v>-64.699699999999993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-190.74524000000002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0</v>
      </c>
      <c r="Y57" s="20">
        <f t="shared" si="43"/>
        <v>-31.636600000000005</v>
      </c>
      <c r="Z57" s="20">
        <f t="shared" si="43"/>
        <v>0</v>
      </c>
      <c r="AA57" s="20">
        <f t="shared" si="43"/>
        <v>-149.31334000000001</v>
      </c>
      <c r="AB57" s="20">
        <f t="shared" si="43"/>
        <v>-9.7952999999999992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-3377.6104000000005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2455.7691639600007</v>
      </c>
      <c r="AP57" s="37">
        <f t="shared" ref="AP57:AP64" si="44">IF(AJ57=0,0,AO57/AJ57*-1)</f>
        <v>0.72707295191890708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805.5962336800003</v>
      </c>
      <c r="BS57" s="20">
        <f>Nøgletal!D272/(1-Nøgletal!D299)</f>
        <v>1650.1729302800006</v>
      </c>
      <c r="BT57" s="20">
        <f>Nøgletal!E272/(1-Nøgletal!E299)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792.60274604000006</v>
      </c>
      <c r="BZ57" s="126">
        <f t="shared" si="47"/>
        <v>184.76418928479998</v>
      </c>
      <c r="CB57" s="40"/>
    </row>
    <row r="58" spans="2:80" x14ac:dyDescent="0.25">
      <c r="B58" s="31"/>
      <c r="C58" s="23">
        <f>AJ58*Nøgletal!D551</f>
        <v>0</v>
      </c>
      <c r="D58" s="23"/>
      <c r="E58" s="23">
        <f>AJ58*Nøgletal!D553</f>
        <v>0</v>
      </c>
      <c r="F58" s="23"/>
      <c r="G58" s="23">
        <f t="shared" ref="G58:G64" si="48">SUM(H58:M58)</f>
        <v>0</v>
      </c>
      <c r="H58" s="23"/>
      <c r="I58" s="23">
        <f>AJ58*Nøgletal!D552</f>
        <v>0</v>
      </c>
      <c r="J58" s="23">
        <f>AJ58*Nøgletal!D557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AJ58*Nøgletal!D554</f>
        <v>0</v>
      </c>
      <c r="V58" s="23">
        <f>AJ58*Nøgletal!D555</f>
        <v>0</v>
      </c>
      <c r="W58" s="23">
        <f>AJ58*Nøgletal!D556</f>
        <v>0</v>
      </c>
      <c r="X58" s="23">
        <f>AJ58*Nøgletal!D558</f>
        <v>0</v>
      </c>
      <c r="Y58" s="23">
        <f>AJ58*Nøgletal!D559</f>
        <v>0</v>
      </c>
      <c r="Z58" s="23"/>
      <c r="AA58" s="23"/>
      <c r="AB58" s="23">
        <f>AJ58*Nøgletal!D560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-AO58/IF(Nøgletal!E369+Nøgletal!D369&gt;0,Nøgletal!E369+Nøgletal!D369,1)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BS58/IF(Nøgletal!E369&gt;0,Nøgletal!E369,1)*Nøgletal!D369</f>
        <v>0</v>
      </c>
      <c r="BS58" s="78">
        <f>BS$57*Nøgletal!D331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B$4+E58*Emissionsfaktorer!$B$3+F58*Emissionsfaktorer!$B$5+H58*Emissionsfaktorer!$B$7+I58*Emissionsfaktorer!$B$8+J58*Emissionsfaktorer!$B$9+K58*Emissionsfaktorer!$B$10+L58*Emissionsfaktorer!$B$11+M58*Emissionsfaktorer!$B$12)*-1*(1-Nøgletal!$D$329)+T58*Emissionsfaktorer!$B$13*Nøgletal!$D$329</f>
        <v>0</v>
      </c>
    </row>
    <row r="59" spans="2:80" x14ac:dyDescent="0.25"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-AO59*(1-1/IF(Nøgletal!E370&gt;0,Nøgletal!E370,1))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-AO59/IF(Nøgletal!E514&gt;0,Nøgletal!E514,1)/(1-Nøgletal!D294)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BS59/IF(Nøgletal!E370&gt;0,Nøgletal!E370,1)*Nøgletal!D370</f>
        <v>0</v>
      </c>
      <c r="BS59" s="78">
        <f>BS$57*Nøgletal!D332</f>
        <v>0</v>
      </c>
      <c r="BT59" s="32"/>
      <c r="BU59" s="32"/>
      <c r="BV59" s="32"/>
      <c r="BW59" s="32"/>
      <c r="BX59" s="32"/>
      <c r="BY59" s="124"/>
      <c r="BZ59" s="123">
        <f>(C59*Emissionsfaktorer!$B$4+E59*Emissionsfaktorer!$B$3+F59*Emissionsfaktorer!$B$5+H59*Emissionsfaktorer!$B$7+I59*Emissionsfaktorer!$B$8+J59*Emissionsfaktorer!$B$9+K59*Emissionsfaktorer!$B$10+L59*Emissionsfaktorer!$B$11+M59*Emissionsfaktorer!$B$12)*-1*(1-Nøgletal!$D$329)+T59*Emissionsfaktorer!$B$13*Nøgletal!$D$329</f>
        <v>0</v>
      </c>
    </row>
    <row r="60" spans="2:80" x14ac:dyDescent="0.25"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-AO60/IF(Nøgletal!E371+Nøgletal!D371&gt;0,Nøgletal!E371+Nøgletal!D371,1)/(1-Nøgletal!D294)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BS$57*Nøgletal!D333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B$4+E60*Emissionsfaktorer!$B$3+F60*Emissionsfaktorer!$B$5+H60*Emissionsfaktorer!$B$7+I60*Emissionsfaktorer!$B$8+J60*Emissionsfaktorer!$B$9+K60*Emissionsfaktorer!$B$10+L60*Emissionsfaktorer!$B$11+M60*Emissionsfaktorer!$B$12)*-1*(1-Nøgletal!$D$329)+T60*Emissionsfaktorer!$B$13*Nøgletal!$D$329</f>
        <v>0</v>
      </c>
    </row>
    <row r="61" spans="2:80" x14ac:dyDescent="0.25"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-AO61/IF(Nøgletal!E372+Nøgletal!D372&gt;0,Nøgletal!E372+Nøgletal!D372,1)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BS61/IF(Nøgletal!E372&gt;0,Nøgletal!E372,1)*Nøgletal!D372</f>
        <v>0</v>
      </c>
      <c r="BS61" s="78">
        <f>BS$57*Nøgletal!D334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B$4+E61*Emissionsfaktorer!$B$3+F61*Emissionsfaktorer!$B$5+H61*Emissionsfaktorer!$B$7+I61*Emissionsfaktorer!$B$8+J61*Emissionsfaktorer!$B$9+K61*Emissionsfaktorer!$B$10+L61*Emissionsfaktorer!$B$11+M61*Emissionsfaktorer!$B$12)*-1*(1-Nøgletal!$D$329)+T61*Emissionsfaktorer!$B$13*Nøgletal!$D$329</f>
        <v>0</v>
      </c>
    </row>
    <row r="62" spans="2:80" x14ac:dyDescent="0.25"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-AO62/IF(Nøgletal!E373+Nøgletal!D373&gt;0,Nøgletal!E373+Nøgletal!D373,1)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BS62/IF(Nøgletal!E373&gt;0,Nøgletal!E373,1)*Nøgletal!D373</f>
        <v>0</v>
      </c>
      <c r="BS62" s="78">
        <f>BS$57*Nøgletal!D335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B$4+E62*Emissionsfaktorer!$B$3+F62*Emissionsfaktorer!$B$5+H62*Emissionsfaktorer!$B$7+I62*Emissionsfaktorer!$B$8+J62*Emissionsfaktorer!$B$9+K62*Emissionsfaktorer!$B$10+L62*Emissionsfaktorer!$B$11+M62*Emissionsfaktorer!$B$12)*-1*(1-Nøgletal!$D$329)+T62*Emissionsfaktorer!$B$13*Nøgletal!$D$329</f>
        <v>0</v>
      </c>
    </row>
    <row r="63" spans="2:80" x14ac:dyDescent="0.25"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BS63/IF(Nøgletal!E351&gt;0,Nøgletal!E351,1)*Nøgletal!D351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B$4+E63*Emissionsfaktorer!$B$3+F63*Emissionsfaktorer!$B$5+H63*Emissionsfaktorer!$B$7+I63*Emissionsfaktorer!$B$8+J63*Emissionsfaktorer!$B$9+K63*Emissionsfaktorer!$B$10+L63*Emissionsfaktorer!$B$11+M63*Emissionsfaktorer!$B$12)*-1*(1-Nøgletal!$D$329)+T63*Emissionsfaktorer!$B$13*Nøgletal!$D$329</f>
        <v>0</v>
      </c>
    </row>
    <row r="64" spans="2:80" x14ac:dyDescent="0.25">
      <c r="B64" s="31"/>
      <c r="C64" s="23">
        <f>AJ64*Nøgletal!D567</f>
        <v>0</v>
      </c>
      <c r="D64" s="23"/>
      <c r="E64" s="23">
        <f>AJ64*Nøgletal!D572</f>
        <v>-3000</v>
      </c>
      <c r="F64" s="23">
        <f>AJ64*Nøgletal!D584</f>
        <v>-122.16545999999998</v>
      </c>
      <c r="G64" s="23">
        <f t="shared" si="48"/>
        <v>-64.699699999999993</v>
      </c>
      <c r="H64" s="23">
        <f>AJ64*Nøgletal!D566</f>
        <v>0</v>
      </c>
      <c r="I64" s="23">
        <f>AJ64*Nøgletal!D568</f>
        <v>0</v>
      </c>
      <c r="J64" s="23">
        <f>AJ64*Nøgletal!D569</f>
        <v>-64.699699999999993</v>
      </c>
      <c r="K64" s="23">
        <f>AJ64*Nøgletal!D570</f>
        <v>0</v>
      </c>
      <c r="L64" s="23"/>
      <c r="M64" s="23">
        <f>AJ64*Nøgletal!D571</f>
        <v>0</v>
      </c>
      <c r="N64" s="23">
        <f t="shared" si="49"/>
        <v>0</v>
      </c>
      <c r="O64" s="23"/>
      <c r="P64" s="23"/>
      <c r="Q64" s="23">
        <f>AJ64*Nøgletal!D573</f>
        <v>0</v>
      </c>
      <c r="R64" s="23">
        <f>AJ64*Nøgletal!D574</f>
        <v>0</v>
      </c>
      <c r="S64" s="23">
        <f>AJ64*Nøgletal!D575</f>
        <v>0</v>
      </c>
      <c r="T64" s="23">
        <f t="shared" si="50"/>
        <v>-190.74524000000002</v>
      </c>
      <c r="U64" s="23">
        <f>AJ64*Nøgletal!D576</f>
        <v>0</v>
      </c>
      <c r="V64" s="23">
        <f>AJ64*Nøgletal!D577</f>
        <v>0</v>
      </c>
      <c r="W64" s="23">
        <f>AJ64*Nøgletal!D578</f>
        <v>0</v>
      </c>
      <c r="X64" s="23">
        <f>AJ64*Nøgletal!D579</f>
        <v>0</v>
      </c>
      <c r="Y64" s="23">
        <f>AJ64*Nøgletal!D580</f>
        <v>-31.636600000000005</v>
      </c>
      <c r="Z64" s="23">
        <f>AJ64*Nøgletal!D581</f>
        <v>0</v>
      </c>
      <c r="AA64" s="23">
        <f>AJ64*Nøgletal!D582</f>
        <v>-149.31334000000001</v>
      </c>
      <c r="AB64" s="23">
        <f>AJ64*Nøgletal!D583</f>
        <v>-9.7952999999999992</v>
      </c>
      <c r="AC64" s="23"/>
      <c r="AD64" s="23"/>
      <c r="AE64" s="23"/>
      <c r="AF64" s="23"/>
      <c r="AG64" s="23"/>
      <c r="AH64" s="23"/>
      <c r="AI64" s="23"/>
      <c r="AJ64" s="105">
        <f>-AO64/IF(Nøgletal!E351+Nøgletal!D351&gt;0,Nøgletal!E351+Nøgletal!D351,1)</f>
        <v>-3248.3719100000008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2455.7691639600007</v>
      </c>
      <c r="AP64" s="37">
        <f t="shared" si="44"/>
        <v>0.75600000000000001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BS64/IF(Nøgletal!E351&gt;0,Nøgletal!E351,1)*Nøgletal!D351</f>
        <v>805.5962336800003</v>
      </c>
      <c r="BS64" s="78">
        <f>BS$57*Nøgletal!D309</f>
        <v>1650.1729302800006</v>
      </c>
      <c r="BT64" s="23"/>
      <c r="BU64" s="32"/>
      <c r="BV64" s="32"/>
      <c r="BW64" s="93"/>
      <c r="BX64" s="93"/>
      <c r="BY64" s="124">
        <f t="shared" si="54"/>
        <v>792.60274604000006</v>
      </c>
      <c r="BZ64" s="123">
        <f>(C64*Emissionsfaktorer!$B$4+E64*Emissionsfaktorer!$B$3+F64*Emissionsfaktorer!$B$5+H64*Emissionsfaktorer!$B$7+I64*Emissionsfaktorer!$B$8+J64*Emissionsfaktorer!$B$9+K64*Emissionsfaktorer!$B$10+L64*Emissionsfaktorer!$B$11+M64*Emissionsfaktorer!$B$12)*-1*(1-Nøgletal!$D$329)+T64*Emissionsfaktorer!$B$13*Nøgletal!$D$329</f>
        <v>184.76418928479998</v>
      </c>
    </row>
    <row r="65" spans="2:80" x14ac:dyDescent="0.25">
      <c r="B65" s="31"/>
      <c r="C65" s="295"/>
      <c r="D65" s="20">
        <f>AV65/IF(Nøgletal!D708&gt;0,Nøgletal!D708,1)*-1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$BT65/IF(Nøgletal!$D$720&gt;0,Nøgletal!$D$720,1)*-Nøgletal!$D711*Nøgletal!$D710</f>
        <v>0</v>
      </c>
      <c r="V65" s="20">
        <f>$BT65/IF(Nøgletal!$D$720&gt;0,Nøgletal!$D$720,1)*-Nøgletal!$D712*Nøgletal!$D710</f>
        <v>0</v>
      </c>
      <c r="W65" s="20">
        <f>$BT65/IF(Nøgletal!$D$720&gt;0,Nøgletal!$D$720,1)*-Nøgletal!$D713*Nøgletal!$D710</f>
        <v>0</v>
      </c>
      <c r="X65" s="20">
        <f>$BT65/IF(Nøgletal!$D$720&gt;0,Nøgletal!$D$720,1)*-Nøgletal!$D714*Nøgletal!$D710</f>
        <v>0</v>
      </c>
      <c r="Y65" s="20">
        <f>$BT65/IF(Nøgletal!$D$720&gt;0,Nøgletal!$D$720,1)*-Nøgletal!$D715*Nøgletal!$D710</f>
        <v>0</v>
      </c>
      <c r="Z65" s="20">
        <f>$BT65/IF(Nøgletal!$D$720&gt;0,Nøgletal!$D$720,1)*-Nøgletal!$D716*Nøgletal!$D710</f>
        <v>0</v>
      </c>
      <c r="AA65" s="20">
        <f>$BT65/IF(Nøgletal!$D$720&gt;0,Nøgletal!$D$720,1)*-Nøgletal!$D717*Nøgletal!$D710</f>
        <v>0</v>
      </c>
      <c r="AB65" s="20">
        <f>$BT65/IF(Nøgletal!$D$720&gt;0,Nøgletal!$D$720,1)*-Nøgletal!$D718*Nøgletal!$D710</f>
        <v>0</v>
      </c>
      <c r="AC65" s="20">
        <f>BT65/IF(Nøgletal!D720&gt;0,Nøgletal!D720,1)*-Nøgletal!D719</f>
        <v>0</v>
      </c>
      <c r="AD65" s="20"/>
      <c r="AE65" s="20"/>
      <c r="AF65" s="20"/>
      <c r="AG65" s="20"/>
      <c r="AH65" s="20"/>
      <c r="AI65" s="20"/>
      <c r="AJ65" s="105">
        <f>AV65/IF(Nøgletal!D708&gt;0,Nøgletal!D708,1)+BT65/IF(Nøgletal!D720&gt;0,Nøgletal!D720,1)*-1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Nøgletal!D701</f>
        <v>0</v>
      </c>
      <c r="AW65" s="20">
        <f>$AV65*Nøgletal!D702</f>
        <v>0</v>
      </c>
      <c r="AX65" s="20">
        <f>$AV65*Nøgletal!D703</f>
        <v>0</v>
      </c>
      <c r="AY65" s="20">
        <f>$AV65*Nøgletal!D704</f>
        <v>0</v>
      </c>
      <c r="AZ65" s="20">
        <f>$AV65*Nøgletal!D705</f>
        <v>0</v>
      </c>
      <c r="BA65" s="20">
        <f>$AV65*Nøgletal!D706</f>
        <v>0</v>
      </c>
      <c r="BB65" s="20">
        <f>$AV65*Nøgletal!D707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Nøgletal!D709</f>
        <v>0</v>
      </c>
      <c r="BU65" s="21"/>
      <c r="BV65" s="21"/>
      <c r="BW65" s="86"/>
      <c r="BX65" s="86"/>
      <c r="BY65" s="124">
        <f t="shared" si="54"/>
        <v>0</v>
      </c>
      <c r="BZ65" s="300"/>
      <c r="CB65" s="231" t="e">
        <f>#REF!*#REF!/1.25/#REF!*-1</f>
        <v>#REF!</v>
      </c>
    </row>
    <row r="66" spans="2:80" x14ac:dyDescent="0.25">
      <c r="B66" s="31"/>
      <c r="C66" s="80"/>
      <c r="D66" s="80"/>
      <c r="E66" s="80"/>
      <c r="F66" s="80"/>
      <c r="G66" s="81">
        <f t="shared" si="29"/>
        <v>-2251.1075849999997</v>
      </c>
      <c r="H66" s="80">
        <f t="shared" ref="H66:M66" si="55">H68</f>
        <v>-31.9</v>
      </c>
      <c r="I66" s="80">
        <f t="shared" si="55"/>
        <v>-11.599999999999998</v>
      </c>
      <c r="J66" s="80">
        <f t="shared" si="55"/>
        <v>-193</v>
      </c>
      <c r="K66" s="80">
        <f t="shared" si="55"/>
        <v>-929.74999999999977</v>
      </c>
      <c r="L66" s="80">
        <f t="shared" si="55"/>
        <v>-352.49999999999994</v>
      </c>
      <c r="M66" s="80">
        <f t="shared" si="55"/>
        <v>-732.35758499999974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-1233.0816529570341</v>
      </c>
      <c r="AD66" s="82">
        <f>-BS9</f>
        <v>-2057.5337802800004</v>
      </c>
      <c r="AE66" s="80"/>
      <c r="AF66" s="80"/>
      <c r="AG66" s="80"/>
      <c r="AH66" s="267">
        <f>-BW9</f>
        <v>0</v>
      </c>
      <c r="AI66" s="80"/>
      <c r="AJ66" s="105">
        <f t="shared" ref="AJ66:AJ83" si="56">SUM(C66:G66,N66,T66,AC66:AG66)</f>
        <v>-5541.723018237034</v>
      </c>
      <c r="AK66" s="13" t="s">
        <v>233</v>
      </c>
      <c r="AL66" s="13" t="s">
        <v>234</v>
      </c>
      <c r="AM66" s="99"/>
      <c r="AN66" s="37"/>
      <c r="AO66" s="38">
        <f t="shared" si="1"/>
        <v>4982.5903556673302</v>
      </c>
      <c r="AP66" s="37">
        <f t="shared" si="6"/>
        <v>0.89910490641093455</v>
      </c>
      <c r="AQ66" s="31"/>
      <c r="AR66" s="80"/>
      <c r="AS66" s="80"/>
      <c r="AT66" s="80"/>
      <c r="AU66" s="80"/>
      <c r="AV66" s="95">
        <f t="shared" si="7"/>
        <v>2251.1075849999997</v>
      </c>
      <c r="AW66" s="80">
        <f t="shared" ref="AW66:BB66" si="57">H66*-1</f>
        <v>31.9</v>
      </c>
      <c r="AX66" s="80">
        <f t="shared" si="57"/>
        <v>11.599999999999998</v>
      </c>
      <c r="AY66" s="80">
        <f t="shared" si="57"/>
        <v>193</v>
      </c>
      <c r="AZ66" s="80">
        <f t="shared" si="57"/>
        <v>929.74999999999977</v>
      </c>
      <c r="BA66" s="80">
        <f t="shared" si="57"/>
        <v>352.49999999999994</v>
      </c>
      <c r="BB66" s="80">
        <f t="shared" si="57"/>
        <v>732.35758499999974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1143.0666922911707</v>
      </c>
      <c r="BS66" s="80">
        <f>AD68*-1</f>
        <v>1588.4160783761602</v>
      </c>
      <c r="BT66" s="80"/>
      <c r="BU66" s="80"/>
      <c r="BV66" s="80"/>
      <c r="BW66" s="267">
        <f>-AH66</f>
        <v>0</v>
      </c>
      <c r="BX66" s="80"/>
      <c r="BY66" s="124">
        <f t="shared" si="54"/>
        <v>559.13266256970383</v>
      </c>
      <c r="BZ66" s="123"/>
    </row>
    <row r="67" spans="2:80" x14ac:dyDescent="0.25"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2.762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2.762</v>
      </c>
      <c r="BD67" s="11">
        <f>-1*O68</f>
        <v>0</v>
      </c>
      <c r="BE67" s="11">
        <f>-1*P68</f>
        <v>0</v>
      </c>
      <c r="BF67" s="11">
        <f>-1*Q68</f>
        <v>2.4</v>
      </c>
      <c r="BG67" s="11">
        <f>-1*R68</f>
        <v>0</v>
      </c>
      <c r="BH67" s="11">
        <f>-1*S68</f>
        <v>0.36199999999999999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(C67*Emissionsfaktorer!$B$4+E67*Emissionsfaktorer!$B$3+F67*Emissionsfaktorer!$B$5+H67*Emissionsfaktorer!$B$7+I67*Emissionsfaktorer!$B$8+J67*Emissionsfaktorer!$B$9+K67*Emissionsfaktorer!$B$10+L67*Emissionsfaktorer!$B$11+M67*Emissionsfaktorer!$B$12)*-1</f>
        <v>0</v>
      </c>
      <c r="CA67" s="2"/>
    </row>
    <row r="68" spans="2:80" x14ac:dyDescent="0.25"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-348.61200000000002</v>
      </c>
      <c r="F68" s="267">
        <f t="shared" si="58"/>
        <v>0</v>
      </c>
      <c r="G68" s="267">
        <f t="shared" si="58"/>
        <v>-2251.1075849999993</v>
      </c>
      <c r="H68" s="267">
        <f t="shared" si="58"/>
        <v>-31.9</v>
      </c>
      <c r="I68" s="267">
        <f t="shared" si="58"/>
        <v>-11.599999999999998</v>
      </c>
      <c r="J68" s="267">
        <f t="shared" si="58"/>
        <v>-193</v>
      </c>
      <c r="K68" s="267">
        <f t="shared" si="58"/>
        <v>-929.74999999999977</v>
      </c>
      <c r="L68" s="267">
        <f t="shared" si="58"/>
        <v>-352.49999999999994</v>
      </c>
      <c r="M68" s="267">
        <f t="shared" si="58"/>
        <v>-732.35758499999974</v>
      </c>
      <c r="N68" s="267">
        <f t="shared" si="58"/>
        <v>-2.762</v>
      </c>
      <c r="O68" s="267">
        <f t="shared" si="58"/>
        <v>0</v>
      </c>
      <c r="P68" s="267">
        <f t="shared" si="58"/>
        <v>0</v>
      </c>
      <c r="Q68" s="267">
        <f t="shared" si="58"/>
        <v>-2.4</v>
      </c>
      <c r="R68" s="267">
        <f t="shared" si="58"/>
        <v>0</v>
      </c>
      <c r="S68" s="267">
        <f t="shared" si="58"/>
        <v>-0.36199999999999999</v>
      </c>
      <c r="T68" s="267">
        <f t="shared" si="58"/>
        <v>-246.392415</v>
      </c>
      <c r="U68" s="267">
        <f t="shared" si="58"/>
        <v>0</v>
      </c>
      <c r="V68" s="267">
        <f t="shared" si="58"/>
        <v>-1.3924149999999995</v>
      </c>
      <c r="W68" s="267">
        <f t="shared" si="58"/>
        <v>-39</v>
      </c>
      <c r="X68" s="267">
        <f t="shared" si="58"/>
        <v>-174</v>
      </c>
      <c r="Y68" s="267">
        <f t="shared" si="58"/>
        <v>-32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-1143.0666922911707</v>
      </c>
      <c r="AD68" s="267">
        <f t="shared" si="58"/>
        <v>-1588.4160783761602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0</v>
      </c>
      <c r="AI68" s="267">
        <f>SUM(AI69:AI70,AI79:AI80,AI84)</f>
        <v>0</v>
      </c>
      <c r="AJ68" s="105">
        <f t="shared" si="56"/>
        <v>-5580.3567706673302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3771.1904741040921</v>
      </c>
      <c r="AP68" s="37">
        <f t="shared" si="6"/>
        <v>0.67579737803271533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3771.1904741040921</v>
      </c>
      <c r="BX68" s="267">
        <f t="shared" si="59"/>
        <v>0</v>
      </c>
      <c r="BY68" s="268">
        <f t="shared" si="59"/>
        <v>1809.166296563239</v>
      </c>
      <c r="BZ68" s="268">
        <f t="shared" si="59"/>
        <v>184.69809306499994</v>
      </c>
    </row>
    <row r="69" spans="2:80" x14ac:dyDescent="0.25"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IF(-($BR$11+$BR$18+$BR$57)-($AC$70+AC79+AC80+AC84)/(1-Nøgletal!$D$294)-$AC$9&lt;0,-($BR$11+$BR$18+$BR$57)-($AC$70+AC79+AC80+AC84)/(1-Nøgletal!$D$294)-$AC$9,0)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AC69*Emissionsfaktorer!B6+AE69*Emissionsfaktorer!B14</f>
        <v>0</v>
      </c>
    </row>
    <row r="70" spans="2:80" x14ac:dyDescent="0.25"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-2002.0875849999995</v>
      </c>
      <c r="H70" s="79">
        <f t="shared" ref="H70:M70" si="62">SUM(H71:H78)</f>
        <v>-6.3800000000000008</v>
      </c>
      <c r="I70" s="79">
        <f t="shared" si="62"/>
        <v>-11.599999999999998</v>
      </c>
      <c r="J70" s="79">
        <f t="shared" si="62"/>
        <v>0</v>
      </c>
      <c r="K70" s="79">
        <f t="shared" si="62"/>
        <v>-899.24999999999977</v>
      </c>
      <c r="L70" s="79">
        <f t="shared" si="62"/>
        <v>-352.49999999999994</v>
      </c>
      <c r="M70" s="79">
        <f t="shared" si="62"/>
        <v>-732.35758499999974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-1.3924149999999995</v>
      </c>
      <c r="U70" s="79">
        <f t="shared" ref="U70:AI70" si="63">SUM(U71:U78)</f>
        <v>0</v>
      </c>
      <c r="V70" s="79">
        <f t="shared" si="63"/>
        <v>-1.3924149999999995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0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-2003.4799999999996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537.08569999999986</v>
      </c>
      <c r="AP70" s="37">
        <f t="shared" si="6"/>
        <v>0.26807639706909975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537.08569999999986</v>
      </c>
      <c r="BX70" s="21">
        <f t="shared" si="64"/>
        <v>0</v>
      </c>
      <c r="BY70" s="127">
        <f t="shared" si="64"/>
        <v>1466.3942999999997</v>
      </c>
      <c r="BZ70" s="127">
        <f t="shared" si="64"/>
        <v>146.70610370499995</v>
      </c>
    </row>
    <row r="71" spans="2:80" x14ac:dyDescent="0.25">
      <c r="B71" s="31"/>
      <c r="C71" s="78"/>
      <c r="D71" s="78"/>
      <c r="E71" s="78">
        <f>BW71*Nøgletal!D635*-1/Nøgletal!D401</f>
        <v>0</v>
      </c>
      <c r="F71" s="78"/>
      <c r="G71" s="23">
        <f t="shared" si="29"/>
        <v>-909.34758499999975</v>
      </c>
      <c r="H71" s="78"/>
      <c r="I71" s="78"/>
      <c r="J71" s="78"/>
      <c r="K71" s="78">
        <f>AO71*Nøgletal!D287/(Nøgletal!D286+Nøgletal!D287+Nøgletal!D284)*Nøgletal!D642/Nøgletal!D402*-1</f>
        <v>-177.89000000000001</v>
      </c>
      <c r="L71" s="78"/>
      <c r="M71" s="78">
        <f>AO71*Nøgletal!D286/(Nøgletal!D286+Nøgletal!D287+Nøgletal!D284)*Nøgletal!D634/Nøgletal!D401*-1</f>
        <v>-731.45758499999977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-1.3924149999999995</v>
      </c>
      <c r="U71" s="78">
        <f>IF(Nøgletal!D636=0,0,$AO$71*Nøgletal!D636/Nøgletal!$D$401*-1)</f>
        <v>0</v>
      </c>
      <c r="V71" s="78">
        <f>AO71*(Nøgletal!D286/(Nøgletal!D286+Nøgletal!D287+Nøgletal!D284)*Nøgletal!D637/Nøgletal!D401+Nøgletal!D287/(Nøgletal!D286+Nøgletal!D287+Nøgletal!D284)*Nøgletal!D646/Nøgletal!D402)*-1</f>
        <v>-1.3924149999999995</v>
      </c>
      <c r="W71" s="78"/>
      <c r="X71" s="78"/>
      <c r="Y71" s="78"/>
      <c r="Z71" s="78"/>
      <c r="AA71" s="78"/>
      <c r="AB71" s="78">
        <f>IF(Nøgletal!D638=0,0,AO71*Nøgletal!D638/Nøgletal!D401*-1)</f>
        <v>0</v>
      </c>
      <c r="AC71" s="32">
        <f>AO71*Nøgletal!D284/(Nøgletal!D284+Nøgletal!D286+Nøgletal!D287)/(Nøgletal!D410*-1)</f>
        <v>0</v>
      </c>
      <c r="AD71" s="32"/>
      <c r="AE71" s="32">
        <f>AO71*Nøgletal!D286/(Nøgletal!D286+Nøgletal!D287+Nøgletal!D284)*Nøgletal!D639/Nøgletal!D401*-1+AO71*Nøgletal!D287/(Nøgletal!D286+Nøgletal!D287+Nøgletal!D284)*Nøgletal!D647/Nøgletal!D402*-1</f>
        <v>0</v>
      </c>
      <c r="AF71" s="32"/>
      <c r="AG71" s="32"/>
      <c r="AH71" s="32"/>
      <c r="AI71" s="32"/>
      <c r="AJ71" s="105">
        <f t="shared" si="56"/>
        <v>-910.73999999999978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191.04249999999999</v>
      </c>
      <c r="AP71" s="37">
        <f t="shared" si="6"/>
        <v>0.20976623405143074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Nøgletal!D$282*(Nøgletal!D286+Nøgletal!D287+Nøgletal!D284)</f>
        <v>191.04249999999999</v>
      </c>
      <c r="BX71" s="78"/>
      <c r="BY71" s="127">
        <f t="shared" ref="BY71:BY79" si="67">(AJ71+BW71)*-1</f>
        <v>719.69749999999976</v>
      </c>
      <c r="BZ71" s="123">
        <f>(C71*Emissionsfaktorer!$B$4+E71*Emissionsfaktorer!$B$3+F71*Emissionsfaktorer!$B$5+H71*Emissionsfaktorer!$B$7+I71*Emissionsfaktorer!$B$8+J71*Emissionsfaktorer!$B$9+K71*Emissionsfaktorer!$B$10+L71*Emissionsfaktorer!$B$11+M71*Emissionsfaktorer!$B$12)*-1</f>
        <v>66.560263704999983</v>
      </c>
    </row>
    <row r="72" spans="2:80" x14ac:dyDescent="0.25">
      <c r="B72" s="31"/>
      <c r="C72" s="78"/>
      <c r="D72" s="78"/>
      <c r="E72" s="149"/>
      <c r="F72" s="78"/>
      <c r="G72" s="23">
        <f>SUM(H72:M72)</f>
        <v>-6.3800000000000008</v>
      </c>
      <c r="H72" s="78">
        <f>AO72/Nøgletal!D411*-1</f>
        <v>-6.3800000000000008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-6.3800000000000008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2.4244000000000003</v>
      </c>
      <c r="AP72" s="37">
        <f>IF(AJ72=0,0,AO72/AJ72*-1)</f>
        <v>0.38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Nøgletal!D$282*Nøgletal!D285</f>
        <v>2.4244000000000003</v>
      </c>
      <c r="BX72" s="78"/>
      <c r="BY72" s="127">
        <f t="shared" si="67"/>
        <v>3.9556000000000004</v>
      </c>
      <c r="BZ72" s="123">
        <f>(C72*Emissionsfaktorer!$B$4+E72*Emissionsfaktorer!$B$3+F72*Emissionsfaktorer!$B$5+H72*Emissionsfaktorer!$B$7+I72*Emissionsfaktorer!$B$8+J72*Emissionsfaktorer!$B$9+K72*Emissionsfaktorer!$B$10+L72*Emissionsfaktorer!$B$11+M72*Emissionsfaktorer!$B$12)*-1</f>
        <v>0.41470000000000007</v>
      </c>
    </row>
    <row r="73" spans="2:80" x14ac:dyDescent="0.25">
      <c r="B73" s="31"/>
      <c r="C73" s="78"/>
      <c r="D73" s="78"/>
      <c r="E73" s="78">
        <f>AO73*Nøgletal!D654/IF(Nøgletal!$D$403&gt;0,Nøgletal!D403,1)*-1</f>
        <v>0</v>
      </c>
      <c r="F73" s="78"/>
      <c r="G73" s="23">
        <f t="shared" si="29"/>
        <v>-186</v>
      </c>
      <c r="H73" s="78"/>
      <c r="I73" s="78"/>
      <c r="J73" s="78"/>
      <c r="K73" s="78">
        <f>$AO$73*Nøgletal!D650/IF(Nøgletal!D403&gt;0,Nøgletal!D403,1)*-1</f>
        <v>-186</v>
      </c>
      <c r="L73" s="78"/>
      <c r="M73" s="78">
        <f>AO73*Nøgletal!D651/IF(Nøgletal!D403&gt;0,Nøgletal!D403,1)*-1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0</v>
      </c>
      <c r="U73" s="78">
        <f>AO73*Nøgletal!D653/IF(Nøgletal!D403&gt;0,Nøgletal!D403,1)*-1</f>
        <v>0</v>
      </c>
      <c r="V73" s="78">
        <f>AO73*Nøgletal!D655/IF(Nøgletal!D403&gt;0,Nøgletal!D403,1)*-1</f>
        <v>0</v>
      </c>
      <c r="W73" s="78"/>
      <c r="X73" s="78"/>
      <c r="Y73" s="78"/>
      <c r="Z73" s="78"/>
      <c r="AA73" s="78"/>
      <c r="AB73" s="78">
        <f>AO73*Nøgletal!D652/IF(Nøgletal!D403&gt;0,Nøgletal!D403,1)*-1</f>
        <v>0</v>
      </c>
      <c r="AC73" s="32">
        <f>AO73*Nøgletal!D657/IF(Nøgletal!D410&gt;0,Nøgletal!D410,1)*-1</f>
        <v>0</v>
      </c>
      <c r="AD73" s="32"/>
      <c r="AE73" s="32">
        <f>AO73*Nøgletal!D656/IF(Nøgletal!D403&gt;0,Nøgletal!D403,1)*-1</f>
        <v>0</v>
      </c>
      <c r="AF73" s="32"/>
      <c r="AG73" s="32"/>
      <c r="AH73" s="32"/>
      <c r="AI73" s="32"/>
      <c r="AJ73" s="105">
        <f t="shared" si="56"/>
        <v>-186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46.5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Nøgletal!D$282*Nøgletal!D288</f>
        <v>46.5</v>
      </c>
      <c r="BX73" s="78"/>
      <c r="BY73" s="127">
        <f t="shared" si="67"/>
        <v>139.5</v>
      </c>
      <c r="BZ73" s="123">
        <f>(C73*Emissionsfaktorer!$B$4+E73*Emissionsfaktorer!$B$3+F73*Emissionsfaktorer!$B$5+H73*Emissionsfaktorer!$B$7+I73*Emissionsfaktorer!$B$8+J73*Emissionsfaktorer!$B$9+K73*Emissionsfaktorer!$B$10+L73*Emissionsfaktorer!$B$11+M73*Emissionsfaktorer!$B$12)*-1</f>
        <v>13.763999999999999</v>
      </c>
    </row>
    <row r="74" spans="2:80" x14ac:dyDescent="0.25">
      <c r="B74" s="31"/>
      <c r="C74" s="78"/>
      <c r="D74" s="78"/>
      <c r="E74" s="78">
        <f>AO74*Nøgletal!D662/Nøgletal!D404*-1</f>
        <v>0</v>
      </c>
      <c r="F74" s="78"/>
      <c r="G74" s="23">
        <f t="shared" si="29"/>
        <v>-16</v>
      </c>
      <c r="H74" s="78"/>
      <c r="I74" s="78"/>
      <c r="J74" s="78"/>
      <c r="K74" s="78">
        <f>AO74*Nøgletal!D659/Nøgletal!D404*-1</f>
        <v>-16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0</v>
      </c>
      <c r="U74" s="78">
        <f>AO75*Nøgletal!D661/Nøgletal!D404*-1</f>
        <v>0</v>
      </c>
      <c r="V74" s="78">
        <f>AO74*Nøgletal!D663/Nøgletal!D404*-1</f>
        <v>0</v>
      </c>
      <c r="W74" s="78"/>
      <c r="X74" s="78"/>
      <c r="Y74" s="78"/>
      <c r="Z74" s="78"/>
      <c r="AA74" s="78"/>
      <c r="AB74" s="78">
        <f>AO74*Nøgletal!D660/Nøgletal!D404*-1</f>
        <v>0</v>
      </c>
      <c r="AC74" s="269">
        <f>AO74*Nøgletal!D665/Nøgletal!D410*-1</f>
        <v>0</v>
      </c>
      <c r="AD74" s="32"/>
      <c r="AE74" s="32">
        <f>AO74*Nøgletal!D664/Nøgletal!D404*-1</f>
        <v>0</v>
      </c>
      <c r="AF74" s="32"/>
      <c r="AG74" s="32"/>
      <c r="AH74" s="32"/>
      <c r="AI74" s="32"/>
      <c r="AJ74" s="105">
        <f t="shared" si="56"/>
        <v>-16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5.28</v>
      </c>
      <c r="AP74" s="37">
        <f t="shared" ref="AP74:AP89" si="68">IF(AJ74=0,0,AO74/AJ74*-1)</f>
        <v>0.33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Nøgletal!D$282*Nøgletal!D289</f>
        <v>5.28</v>
      </c>
      <c r="BX74" s="78"/>
      <c r="BY74" s="127">
        <f t="shared" si="67"/>
        <v>10.719999999999999</v>
      </c>
      <c r="BZ74" s="123">
        <f>(C74*Emissionsfaktorer!$B$4+E74*Emissionsfaktorer!$B$3+F74*Emissionsfaktorer!$B$5+H74*Emissionsfaktorer!$B$7+I74*Emissionsfaktorer!$B$8+J74*Emissionsfaktorer!$B$9+K74*Emissionsfaktorer!$B$10+L74*Emissionsfaktorer!$B$11+M74*Emissionsfaktorer!$B$12)*-1</f>
        <v>1.1839999999999999</v>
      </c>
    </row>
    <row r="75" spans="2:80" x14ac:dyDescent="0.25">
      <c r="B75" s="31"/>
      <c r="C75" s="78"/>
      <c r="D75" s="78"/>
      <c r="E75" s="78">
        <f>AO75*Nøgletal!D670/Nøgletal!D405*-1</f>
        <v>0</v>
      </c>
      <c r="F75" s="78"/>
      <c r="G75" s="23">
        <f t="shared" si="29"/>
        <v>-437.25999999999993</v>
      </c>
      <c r="H75" s="78"/>
      <c r="I75" s="78"/>
      <c r="J75" s="78"/>
      <c r="K75" s="78">
        <f>AO75*Nøgletal!D667/Nøgletal!D405*-1</f>
        <v>-437.25999999999993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0</v>
      </c>
      <c r="U75" s="78">
        <f>AO76*Nøgletal!D669/Nøgletal!D405*-1</f>
        <v>0</v>
      </c>
      <c r="V75" s="78">
        <f>AO75*Nøgletal!D671/Nøgletal!D405*-1</f>
        <v>0</v>
      </c>
      <c r="W75" s="78"/>
      <c r="X75" s="78"/>
      <c r="Y75" s="78"/>
      <c r="Z75" s="78"/>
      <c r="AA75" s="78"/>
      <c r="AB75" s="78">
        <f>AO75*Nøgletal!D668/Nøgletal!D405*-1</f>
        <v>0</v>
      </c>
      <c r="AC75" s="269">
        <f>AO75*Nøgletal!D673/Nøgletal!D410*-1</f>
        <v>0</v>
      </c>
      <c r="AD75" s="32"/>
      <c r="AE75" s="32">
        <f>AO75*Nøgletal!D672/Nøgletal!D405*-1</f>
        <v>0</v>
      </c>
      <c r="AF75" s="32"/>
      <c r="AG75" s="32"/>
      <c r="AH75" s="32"/>
      <c r="AI75" s="32"/>
      <c r="AJ75" s="105">
        <f t="shared" si="56"/>
        <v>-437.25999999999993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144.29579999999999</v>
      </c>
      <c r="AP75" s="37">
        <f t="shared" si="68"/>
        <v>0.33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Nøgletal!D$282*Nøgletal!D290</f>
        <v>144.29579999999999</v>
      </c>
      <c r="BX75" s="78"/>
      <c r="BY75" s="127">
        <f t="shared" si="67"/>
        <v>292.96419999999995</v>
      </c>
      <c r="BZ75" s="123">
        <f>(C75*Emissionsfaktorer!$B$4+E75*Emissionsfaktorer!$B$3+F75*Emissionsfaktorer!$B$5+H75*Emissionsfaktorer!$B$7+I75*Emissionsfaktorer!$B$8+J75*Emissionsfaktorer!$B$9+K75*Emissionsfaktorer!$B$10+L75*Emissionsfaktorer!$B$11+M75*Emissionsfaktorer!$B$12)*-1</f>
        <v>32.35723999999999</v>
      </c>
    </row>
    <row r="76" spans="2:80" x14ac:dyDescent="0.25">
      <c r="B76" s="31"/>
      <c r="C76" s="78"/>
      <c r="D76" s="78"/>
      <c r="E76" s="78"/>
      <c r="F76" s="78"/>
      <c r="G76" s="23">
        <f t="shared" si="29"/>
        <v>-27.799999999999997</v>
      </c>
      <c r="H76" s="78"/>
      <c r="I76" s="78"/>
      <c r="J76" s="78"/>
      <c r="K76" s="78">
        <f>AO76*Nøgletal!D675/Nøgletal!D407*-1</f>
        <v>-27.799999999999997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AO76*Nøgletal!D676/Nøgletal!D407*-1</f>
        <v>0</v>
      </c>
      <c r="W76" s="78"/>
      <c r="X76" s="78"/>
      <c r="Y76" s="78"/>
      <c r="Z76" s="78"/>
      <c r="AA76" s="78"/>
      <c r="AB76" s="78"/>
      <c r="AC76" s="269">
        <f>AO76*Nøgletal!D678/Nøgletal!D410*-1</f>
        <v>0</v>
      </c>
      <c r="AD76" s="32"/>
      <c r="AE76" s="32">
        <f>AO76*Nøgletal!D677/Nøgletal!D407*-1</f>
        <v>0</v>
      </c>
      <c r="AF76" s="32"/>
      <c r="AG76" s="32"/>
      <c r="AH76" s="32"/>
      <c r="AI76" s="32"/>
      <c r="AJ76" s="105">
        <f t="shared" si="56"/>
        <v>-27.799999999999997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9.1739999999999995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Nøgletal!D$282*Nøgletal!D291</f>
        <v>9.1739999999999995</v>
      </c>
      <c r="BX76" s="78"/>
      <c r="BY76" s="127">
        <f t="shared" si="67"/>
        <v>18.625999999999998</v>
      </c>
      <c r="BZ76" s="123">
        <f>(C76*Emissionsfaktorer!$B$4+E76*Emissionsfaktorer!$B$3+F76*Emissionsfaktorer!$B$5+H76*Emissionsfaktorer!$B$7+I76*Emissionsfaktorer!$B$8+J76*Emissionsfaktorer!$B$9+K76*Emissionsfaktorer!$B$10+L76*Emissionsfaktorer!$B$11+M76*Emissionsfaktorer!$B$12)*-1</f>
        <v>2.0571999999999995</v>
      </c>
    </row>
    <row r="77" spans="2:80" x14ac:dyDescent="0.25">
      <c r="B77" s="31"/>
      <c r="C77" s="78"/>
      <c r="D77" s="78"/>
      <c r="E77" s="78"/>
      <c r="F77" s="78"/>
      <c r="G77" s="23">
        <f t="shared" si="29"/>
        <v>-353.39999999999992</v>
      </c>
      <c r="H77" s="78"/>
      <c r="I77" s="78"/>
      <c r="J77" s="78"/>
      <c r="K77" s="78"/>
      <c r="L77" s="78">
        <f>AO77*Nøgletal!D680/Nøgletal!D408*-1</f>
        <v>-352.49999999999994</v>
      </c>
      <c r="M77" s="78">
        <f>AO77*Nøgletal!D681/Nøgletal!D408*-1</f>
        <v>-0.89999999999999991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AO77*Nøgletal!D682/Nøgletal!D407*-1</f>
        <v>0</v>
      </c>
      <c r="W77" s="78"/>
      <c r="X77" s="78"/>
      <c r="Y77" s="78"/>
      <c r="Z77" s="78"/>
      <c r="AA77" s="78"/>
      <c r="AB77" s="78"/>
      <c r="AC77" s="269">
        <f>AO77*Nøgletal!D684/Nøgletal!D410</f>
        <v>0</v>
      </c>
      <c r="AD77" s="32"/>
      <c r="AE77" s="32">
        <f>AO77*Nøgletal!D683/Nøgletal!D408*-1</f>
        <v>0</v>
      </c>
      <c r="AF77" s="32"/>
      <c r="AG77" s="32"/>
      <c r="AH77" s="32"/>
      <c r="AI77" s="32"/>
      <c r="AJ77" s="105">
        <f t="shared" si="56"/>
        <v>-353.39999999999992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116.62199999999999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Nøgletal!D$282*Nøgletal!D292</f>
        <v>116.62199999999999</v>
      </c>
      <c r="BX77" s="78"/>
      <c r="BY77" s="127">
        <f t="shared" si="67"/>
        <v>236.77799999999993</v>
      </c>
      <c r="BZ77" s="123">
        <f>(C77*Emissionsfaktorer!$B$4+E77*Emissionsfaktorer!$B$3+F77*Emissionsfaktorer!$B$5+H77*Emissionsfaktorer!$B$7+I77*Emissionsfaktorer!$B$8+J77*Emissionsfaktorer!$B$9+K77*Emissionsfaktorer!$B$10+L77*Emissionsfaktorer!$B$11+M77*Emissionsfaktorer!$B$12)*-1</f>
        <v>25.445699999999995</v>
      </c>
    </row>
    <row r="78" spans="2:80" x14ac:dyDescent="0.25">
      <c r="B78" s="31"/>
      <c r="C78" s="78"/>
      <c r="D78" s="78"/>
      <c r="E78" s="78"/>
      <c r="F78" s="78"/>
      <c r="G78" s="23">
        <f t="shared" si="29"/>
        <v>-65.899999999999991</v>
      </c>
      <c r="H78" s="78"/>
      <c r="I78" s="78">
        <f>-AO78/Nøgletal!D409*Nøgletal!D686</f>
        <v>-11.599999999999998</v>
      </c>
      <c r="J78" s="78"/>
      <c r="K78" s="78">
        <f>AO78*Nøgletal!D687/Nøgletal!D409*-1</f>
        <v>-54.3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AO78*Nøgletal!D688/Nøgletal!D409*-1</f>
        <v>0</v>
      </c>
      <c r="W78" s="78"/>
      <c r="X78" s="78"/>
      <c r="Y78" s="78"/>
      <c r="Z78" s="78"/>
      <c r="AA78" s="78"/>
      <c r="AB78" s="78"/>
      <c r="AC78" s="269">
        <f>AO78*Nøgletal!D690/Nøgletal!D410*-1</f>
        <v>0</v>
      </c>
      <c r="AD78" s="32"/>
      <c r="AE78" s="32">
        <f>AO78*Nøgletal!D689/Nøgletal!D409*-1</f>
        <v>0</v>
      </c>
      <c r="AF78" s="32"/>
      <c r="AG78" s="32"/>
      <c r="AH78" s="32"/>
      <c r="AI78" s="32"/>
      <c r="AJ78" s="105">
        <f t="shared" si="56"/>
        <v>-65.899999999999991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21.747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Nøgletal!D$282*Nøgletal!D293</f>
        <v>21.747</v>
      </c>
      <c r="BX78" s="78"/>
      <c r="BY78" s="127">
        <f t="shared" si="67"/>
        <v>44.152999999999992</v>
      </c>
      <c r="BZ78" s="123">
        <f>(C78*Emissionsfaktorer!$B$4+E78*Emissionsfaktorer!$B$3+F78*Emissionsfaktorer!$B$5+H78*Emissionsfaktorer!$B$7+I78*Emissionsfaktorer!$B$8+J78*Emissionsfaktorer!$B$9+K78*Emissionsfaktorer!$B$10+L78*Emissionsfaktorer!$B$11+M78*Emissionsfaktorer!$B$12)*-1</f>
        <v>4.9229999999999992</v>
      </c>
    </row>
    <row r="79" spans="2:80" x14ac:dyDescent="0.25">
      <c r="B79" s="31"/>
      <c r="C79" s="21"/>
      <c r="D79" s="21"/>
      <c r="E79" s="21">
        <f>Nøgletal!D37*Nøgletal!D38*Nøgletal!D43/Nøgletal!E391*-1</f>
        <v>-0.63</v>
      </c>
      <c r="F79" s="21"/>
      <c r="G79" s="20">
        <f t="shared" si="29"/>
        <v>-172.38</v>
      </c>
      <c r="H79" s="21">
        <f>Nøgletal!D34/Nøgletal!E389*-1</f>
        <v>-6.3800000000000008</v>
      </c>
      <c r="I79" s="21"/>
      <c r="J79" s="21">
        <f>Nøgletal!D37*Nøgletal!D38*Nøgletal!D42/Nøgletal!E390*-1</f>
        <v>-166</v>
      </c>
      <c r="K79" s="21"/>
      <c r="L79" s="21"/>
      <c r="M79" s="21"/>
      <c r="N79" s="20">
        <f t="shared" si="32"/>
        <v>-2.762</v>
      </c>
      <c r="O79" s="21"/>
      <c r="P79" s="21"/>
      <c r="Q79" s="21">
        <f>Nøgletal!D37*Nøgletal!D38*Nøgletal!D47/Nøgletal!E395*-1</f>
        <v>-2.4</v>
      </c>
      <c r="R79" s="21"/>
      <c r="S79" s="21">
        <f>Nøgletal!D37*Nøgletal!D38*Nøgletal!D41*(1-1/Nøgletal!E388)*-1</f>
        <v>-0.36199999999999999</v>
      </c>
      <c r="T79" s="20">
        <f t="shared" si="30"/>
        <v>-245</v>
      </c>
      <c r="U79" s="21"/>
      <c r="V79" s="21"/>
      <c r="W79" s="21">
        <f>Nøgletal!D37*Nøgletal!D38*Nøgletal!D46/Nøgletal!E394*-1</f>
        <v>-39</v>
      </c>
      <c r="X79" s="21">
        <f>Nøgletal!D37*Nøgletal!D38*Nøgletal!D45/Nøgletal!E393*-1</f>
        <v>-174</v>
      </c>
      <c r="Y79" s="21">
        <f>Nøgletal!D37*Nøgletal!D38*Nøgletal!D44/Nøgletal!E392*-1</f>
        <v>-32</v>
      </c>
      <c r="Z79" s="21"/>
      <c r="AA79" s="21"/>
      <c r="AB79" s="21"/>
      <c r="AC79" s="79">
        <f>-(Nøgletal!D31/Nøgletal!D$385+Nøgletal!D32/Nøgletal!D$386+Nøgletal!D33/Nøgletal!D$387+Nøgletal!D30/Nøgletal!D382+Nøgletal!D37*Nøgletal!D38*Nøgletal!D48/Nøgletal!D384+Nøgletal!D37*Nøgletal!D38*Nøgletal!D49/Nøgletal!D383+Nøgletal!D37*Nøgletal!D38*Nøgletal!D41/Nøgletal!E388)</f>
        <v>-311.12798989117084</v>
      </c>
      <c r="AD79" s="21">
        <f>Nøgletal!D37*Nøgletal!D39*-1</f>
        <v>-996.09572274969014</v>
      </c>
      <c r="AE79" s="21"/>
      <c r="AF79" s="21"/>
      <c r="AG79" s="21"/>
      <c r="AH79" s="21"/>
      <c r="AI79" s="21"/>
      <c r="AJ79" s="105">
        <f t="shared" si="56"/>
        <v>-1727.995712640861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1565.6055264288218</v>
      </c>
      <c r="AP79" s="37">
        <f t="shared" si="68"/>
        <v>0.90602396462902002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Nøgletal!D28</f>
        <v>1565.6055264288218</v>
      </c>
      <c r="BX79" s="79"/>
      <c r="BY79" s="127">
        <f t="shared" si="67"/>
        <v>162.39018621203923</v>
      </c>
      <c r="BZ79" s="123">
        <f>(C79*Emissionsfaktorer!$B$4+E79*Emissionsfaktorer!$B$3+F79*Emissionsfaktorer!$B$5+H79*Emissionsfaktorer!$B$7+I79*Emissionsfaktorer!$B$8+J79*Emissionsfaktorer!$B$9+K79*Emissionsfaktorer!$B$10+L79*Emissionsfaktorer!$B$11+M79*Emissionsfaktorer!$B$12)*-1</f>
        <v>12.734471399999999</v>
      </c>
    </row>
    <row r="80" spans="2:80" x14ac:dyDescent="0.25"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-388.42828559999998</v>
      </c>
      <c r="AD80" s="21">
        <f>SUM(AD81:AD83)</f>
        <v>-460.32297951341127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-848.75126511341125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792.25203158381123</v>
      </c>
      <c r="AP80" s="37">
        <f t="shared" si="68"/>
        <v>0.93343251921745229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792.25203158381123</v>
      </c>
      <c r="BX80" s="79"/>
      <c r="BY80" s="230">
        <f>SUM(BY81:BY83)</f>
        <v>56.499233529600048</v>
      </c>
      <c r="BZ80" s="123">
        <f>(C80*Emissionsfaktorer!$B$4+E80*Emissionsfaktorer!$B$3+F80*Emissionsfaktorer!$B$5+H80*Emissionsfaktorer!$B$7+I80*Emissionsfaktorer!$B$8+J80*Emissionsfaktorer!$B$9+K80*Emissionsfaktorer!$B$10+L80*Emissionsfaktorer!$B$11+M80*Emissionsfaktorer!$B$12)*-1</f>
        <v>0</v>
      </c>
    </row>
    <row r="81" spans="2:80" x14ac:dyDescent="0.25">
      <c r="B81" s="31"/>
      <c r="C81" s="32"/>
      <c r="D81" s="32"/>
      <c r="E81" s="32">
        <f>Nøgletal!D65*Nøgletal!D66*Nøgletal!D71/Nøgletal!E391*-1</f>
        <v>0</v>
      </c>
      <c r="F81" s="32"/>
      <c r="G81" s="23">
        <f t="shared" si="29"/>
        <v>0</v>
      </c>
      <c r="H81" s="32">
        <f>Nøgletal!D62/Nøgletal!E389*-1</f>
        <v>0</v>
      </c>
      <c r="I81" s="32"/>
      <c r="J81" s="32">
        <f>Nøgletal!D65*Nøgletal!D66*Nøgletal!D70/Nøgletal!E390*-1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Nøgletal!D65*Nøgletal!D66*Nøgletal!D75/Nøgletal!E395*-1</f>
        <v>0</v>
      </c>
      <c r="R81" s="32"/>
      <c r="S81" s="32">
        <f>Nøgletal!D65*Nøgletal!D66*Nøgletal!D69*(1-1/Nøgletal!E388)*-1</f>
        <v>0</v>
      </c>
      <c r="T81" s="23">
        <f t="shared" si="30"/>
        <v>0</v>
      </c>
      <c r="U81" s="32"/>
      <c r="V81" s="32"/>
      <c r="W81" s="32">
        <f>Nøgletal!D65*Nøgletal!D66*Nøgletal!D74/Nøgletal!E394*-1</f>
        <v>0</v>
      </c>
      <c r="X81" s="32">
        <f>Nøgletal!D65*Nøgletal!D66*Nøgletal!D73/Nøgletal!E393*-1</f>
        <v>0</v>
      </c>
      <c r="Y81" s="32">
        <f>Nøgletal!D65*Nøgletal!D66*Nøgletal!D72/Nøgletal!E392*-1</f>
        <v>0</v>
      </c>
      <c r="Z81" s="32"/>
      <c r="AA81" s="32"/>
      <c r="AB81" s="32"/>
      <c r="AC81" s="78">
        <f>-(Nøgletal!D59/Nøgletal!D$385+Nøgletal!D60/Nøgletal!D$386+Nøgletal!D61/Nøgletal!D$387+Nøgletal!D65*Nøgletal!D66*Nøgletal!D76/Nøgletal!D384+Nøgletal!D65*Nøgletal!D66*Nøgletal!D69/Nøgletal!E388+Nøgletal!D77*Nøgletal!D65*Nøgletal!D66/Nøgletal!D383)</f>
        <v>-184.8754692</v>
      </c>
      <c r="AD81" s="32">
        <f>Nøgletal!D65*Nøgletal!D67*-1</f>
        <v>-154.3940428181628</v>
      </c>
      <c r="AE81" s="32"/>
      <c r="AF81" s="32"/>
      <c r="AG81" s="32"/>
      <c r="AH81" s="32"/>
      <c r="AI81" s="32"/>
      <c r="AJ81" s="105">
        <f t="shared" si="56"/>
        <v>-339.2695120181628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294.0674597987628</v>
      </c>
      <c r="AP81" s="37">
        <f t="shared" si="68"/>
        <v>0.86676653628404987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Nøgletal!D57</f>
        <v>294.0674597987628</v>
      </c>
      <c r="BX81" s="78"/>
      <c r="BY81" s="127">
        <f>(AJ81+BW81)*-1</f>
        <v>45.202052219400002</v>
      </c>
      <c r="BZ81" s="123">
        <f>(C81*Emissionsfaktorer!$B$4+E81*Emissionsfaktorer!$B$3+F81*Emissionsfaktorer!$B$5+H81*Emissionsfaktorer!$B$7+I81*Emissionsfaktorer!$B$8+J81*Emissionsfaktorer!$B$9+K81*Emissionsfaktorer!$B$10+L81*Emissionsfaktorer!$B$11+M81*Emissionsfaktorer!$B$12)*-1</f>
        <v>0</v>
      </c>
    </row>
    <row r="82" spans="2:80" x14ac:dyDescent="0.25">
      <c r="B82" s="31"/>
      <c r="C82" s="32"/>
      <c r="D82" s="32"/>
      <c r="E82" s="32">
        <f>Nøgletal!D93*Nøgletal!D94*Nøgletal!D99/Nøgletal!E391*-1</f>
        <v>0</v>
      </c>
      <c r="F82" s="32"/>
      <c r="G82" s="23">
        <f t="shared" si="29"/>
        <v>0</v>
      </c>
      <c r="H82" s="32">
        <f>Nøgletal!D90/Nøgletal!E389*-1</f>
        <v>0</v>
      </c>
      <c r="I82" s="32"/>
      <c r="J82" s="32">
        <f>Nøgletal!D93*Nøgletal!D94*Nøgletal!D98/Nøgletal!E390*-1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Nøgletal!D93*Nøgletal!D94*Nøgletal!D103/Nøgletal!E395*-1</f>
        <v>0</v>
      </c>
      <c r="R82" s="32"/>
      <c r="S82" s="32">
        <f>Nøgletal!D93*Nøgletal!D94*Nøgletal!D97*(1-1/Nøgletal!E388)*-1</f>
        <v>0</v>
      </c>
      <c r="T82" s="23">
        <f t="shared" si="30"/>
        <v>0</v>
      </c>
      <c r="U82" s="32"/>
      <c r="V82" s="32"/>
      <c r="W82" s="32">
        <f>Nøgletal!D93*Nøgletal!D94*Nøgletal!D102/Nøgletal!E394*-1</f>
        <v>0</v>
      </c>
      <c r="X82" s="32">
        <f>Nøgletal!D93*Nøgletal!D94*Nøgletal!D101/Nøgletal!E393*-1</f>
        <v>0</v>
      </c>
      <c r="Y82" s="32">
        <f>Nøgletal!D93*Nøgletal!D94*Nøgletal!D100/Nøgletal!E392*-1</f>
        <v>0</v>
      </c>
      <c r="Z82" s="32"/>
      <c r="AA82" s="32"/>
      <c r="AB82" s="32"/>
      <c r="AC82" s="78">
        <f>-(Nøgletal!D87/Nøgletal!D$385+Nøgletal!D88/Nøgletal!D$386+Nøgletal!D89/Nøgletal!D$387+Nøgletal!D93*Nøgletal!D94*(Nøgletal!D97/Nøgletal!E388+Nøgletal!D104/Nøgletal!D384+Nøgletal!D105/Nøgletal!D383))</f>
        <v>-97.195179600000017</v>
      </c>
      <c r="AD82" s="32">
        <f>Nøgletal!D93*Nøgletal!D95*-1</f>
        <v>-192.67487030702824</v>
      </c>
      <c r="AE82" s="32"/>
      <c r="AF82" s="32"/>
      <c r="AG82" s="32"/>
      <c r="AH82" s="32"/>
      <c r="AI82" s="32"/>
      <c r="AJ82" s="105">
        <f t="shared" si="56"/>
        <v>-289.87004990702826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284.47571743922822</v>
      </c>
      <c r="AP82" s="37">
        <f t="shared" si="68"/>
        <v>0.98139051457875626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Nøgletal!D85</f>
        <v>284.47571743922822</v>
      </c>
      <c r="BX82" s="78"/>
      <c r="BY82" s="127">
        <f>(AJ82+BW82)*-1</f>
        <v>5.3943324678000408</v>
      </c>
      <c r="BZ82" s="123">
        <f>(C82*Emissionsfaktorer!$B$4+E82*Emissionsfaktorer!$B$3+F82*Emissionsfaktorer!$B$5+H82*Emissionsfaktorer!$B$7+I82*Emissionsfaktorer!$B$8+J82*Emissionsfaktorer!$B$9+K82*Emissionsfaktorer!$B$10+L82*Emissionsfaktorer!$B$11+M82*Emissionsfaktorer!$B$12)*-1</f>
        <v>0</v>
      </c>
    </row>
    <row r="83" spans="2:80" x14ac:dyDescent="0.25">
      <c r="B83" s="31"/>
      <c r="C83" s="32"/>
      <c r="D83" s="32"/>
      <c r="E83" s="32">
        <f>Nøgletal!D121*Nøgletal!D122*Nøgletal!D127/Nøgletal!E391*-1</f>
        <v>0</v>
      </c>
      <c r="F83" s="32"/>
      <c r="G83" s="23">
        <f t="shared" si="29"/>
        <v>0</v>
      </c>
      <c r="H83" s="32">
        <f>Nøgletal!D118/Nøgletal!E389*-1</f>
        <v>0</v>
      </c>
      <c r="I83" s="32"/>
      <c r="J83" s="32">
        <f>Nøgletal!D121*Nøgletal!D122*Nøgletal!D126/Nøgletal!E390*-1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Nøgletal!D121*Nøgletal!D122*Nøgletal!D131/Nøgletal!E395*-1</f>
        <v>0</v>
      </c>
      <c r="R83" s="32"/>
      <c r="S83" s="32">
        <f>Nøgletal!D121*Nøgletal!D122*Nøgletal!D125*(1-1/Nøgletal!E388)*-1</f>
        <v>0</v>
      </c>
      <c r="T83" s="23">
        <f t="shared" si="30"/>
        <v>0</v>
      </c>
      <c r="U83" s="32"/>
      <c r="V83" s="32"/>
      <c r="W83" s="32">
        <f>Nøgletal!D121*Nøgletal!D122*Nøgletal!D130/Nøgletal!E394*-1</f>
        <v>0</v>
      </c>
      <c r="X83" s="32">
        <f>Nøgletal!D121*Nøgletal!D122*Nøgletal!D129/Nøgletal!E392*-1</f>
        <v>0</v>
      </c>
      <c r="Y83" s="32">
        <f>Nøgletal!D121*Nøgletal!D122*Nøgletal!D128/Nøgletal!E392*-1</f>
        <v>0</v>
      </c>
      <c r="Z83" s="32"/>
      <c r="AA83" s="32"/>
      <c r="AB83" s="32"/>
      <c r="AC83" s="78">
        <f>-(Nøgletal!D115/Nøgletal!D$385+Nøgletal!D116/Nøgletal!D$386+Nøgletal!D117/Nøgletal!D$387+Nøgletal!D121*Nøgletal!D122*(Nøgletal!D125/Nøgletal!E388+Nøgletal!D132/Nøgletal!D384+Nøgletal!D133/Nøgletal!D383))</f>
        <v>-106.35763679999999</v>
      </c>
      <c r="AD83" s="32">
        <f>Nøgletal!D121*Nøgletal!D123*-1</f>
        <v>-113.25406638822022</v>
      </c>
      <c r="AE83" s="32"/>
      <c r="AF83" s="32"/>
      <c r="AG83" s="32"/>
      <c r="AH83" s="32"/>
      <c r="AI83" s="32"/>
      <c r="AJ83" s="105">
        <f t="shared" si="56"/>
        <v>-219.61170318822022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213.70885434582021</v>
      </c>
      <c r="AP83" s="37">
        <f t="shared" si="68"/>
        <v>0.97312142860919892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Nøgletal!D113</f>
        <v>213.70885434582021</v>
      </c>
      <c r="BX83" s="78"/>
      <c r="BY83" s="127">
        <f>(AJ83+BW83)*-1</f>
        <v>5.9028488424000045</v>
      </c>
      <c r="BZ83" s="123">
        <f>(C83*Emissionsfaktorer!$B$4+E83*Emissionsfaktorer!$B$3+F83*Emissionsfaktorer!$B$5+H83*Emissionsfaktorer!$B$7+I83*Emissionsfaktorer!$B$8+J83*Emissionsfaktorer!$B$9+K83*Emissionsfaktorer!$B$10+L83*Emissionsfaktorer!$B$11+M83*Emissionsfaktorer!$B$12)*-1</f>
        <v>0</v>
      </c>
    </row>
    <row r="84" spans="2:80" x14ac:dyDescent="0.25"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-347.98200000000003</v>
      </c>
      <c r="F84" s="266">
        <f t="shared" si="71"/>
        <v>0</v>
      </c>
      <c r="G84" s="266">
        <f t="shared" si="71"/>
        <v>-76.64</v>
      </c>
      <c r="H84" s="266">
        <f t="shared" si="71"/>
        <v>-19.139999999999997</v>
      </c>
      <c r="I84" s="266">
        <f t="shared" si="71"/>
        <v>0</v>
      </c>
      <c r="J84" s="266">
        <f t="shared" si="71"/>
        <v>-27</v>
      </c>
      <c r="K84" s="266">
        <f t="shared" si="71"/>
        <v>-30.500000000000004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0</v>
      </c>
      <c r="U84" s="266">
        <f t="shared" si="71"/>
        <v>0</v>
      </c>
      <c r="V84" s="266">
        <f t="shared" si="71"/>
        <v>0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-443.51041679999997</v>
      </c>
      <c r="AD84" s="266">
        <f t="shared" si="71"/>
        <v>-131.99737611305892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0</v>
      </c>
      <c r="AI84" s="266">
        <f t="shared" si="71"/>
        <v>0</v>
      </c>
      <c r="AJ84" s="105">
        <f>SUM(AJ85:AJ88)</f>
        <v>-1000.129792913059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876.24721609145899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876.24721609145899</v>
      </c>
      <c r="BX84" s="266">
        <f t="shared" si="72"/>
        <v>0</v>
      </c>
      <c r="BY84" s="123">
        <f t="shared" si="72"/>
        <v>123.88257682160003</v>
      </c>
      <c r="BZ84" s="123">
        <f t="shared" si="72"/>
        <v>25.257517960000005</v>
      </c>
    </row>
    <row r="85" spans="2:80" x14ac:dyDescent="0.25">
      <c r="B85" s="31"/>
      <c r="C85" s="32"/>
      <c r="D85" s="32"/>
      <c r="E85" s="32">
        <f>Nøgletal!D149*Nøgletal!D150*Nøgletal!D155/Nøgletal!E391*-1</f>
        <v>0</v>
      </c>
      <c r="F85" s="32"/>
      <c r="G85" s="23">
        <f>SUM(H85:M85)</f>
        <v>0</v>
      </c>
      <c r="H85" s="32">
        <f>Nøgletal!D146/Nøgletal!E389*-1</f>
        <v>0</v>
      </c>
      <c r="I85" s="32"/>
      <c r="J85" s="32">
        <f>Nøgletal!D149*Nøgletal!D150*Nøgletal!D154/Nøgletal!E390*-1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Nøgletal!D149*Nøgletal!D150*Nøgletal!D159/Nøgletal!E395*-1</f>
        <v>0</v>
      </c>
      <c r="R85" s="32"/>
      <c r="S85" s="32">
        <f>Nøgletal!D149*Nøgletal!D150*Nøgletal!D153*(1-1/Nøgletal!E388)*-1</f>
        <v>0</v>
      </c>
      <c r="T85" s="23">
        <f>SUM(U85:AB85)</f>
        <v>0</v>
      </c>
      <c r="U85" s="32"/>
      <c r="V85" s="32"/>
      <c r="W85" s="32">
        <f>Nøgletal!D149*Nøgletal!D150*Nøgletal!D158/Nøgletal!E394*-1</f>
        <v>0</v>
      </c>
      <c r="X85" s="32">
        <f>Nøgletal!D149*Nøgletal!D150*Nøgletal!D157/Nøgletal!E393*-1</f>
        <v>0</v>
      </c>
      <c r="Y85" s="32">
        <f>Nøgletal!D149*Nøgletal!D150*Nøgletal!D156/Nøgletal!E392*-1</f>
        <v>0</v>
      </c>
      <c r="Z85" s="32"/>
      <c r="AA85" s="32"/>
      <c r="AB85" s="32"/>
      <c r="AC85" s="78">
        <f>-(Nøgletal!D143/Nøgletal!D$385+Nøgletal!D144/Nøgletal!D$386+Nøgletal!D145/Nøgletal!D$387+Nøgletal!D149*Nøgletal!D150*(Nøgletal!D153/Nøgletal!E388+Nøgletal!D160/Nøgletal!D384+Nøgletal!D161/Nøgletal!D383))</f>
        <v>-13.760168400000001</v>
      </c>
      <c r="AD85" s="32">
        <f>Nøgletal!D149*Nøgletal!D151*-1</f>
        <v>0</v>
      </c>
      <c r="AE85" s="32"/>
      <c r="AF85" s="32"/>
      <c r="AG85" s="32"/>
      <c r="AH85" s="32"/>
      <c r="AI85" s="32"/>
      <c r="AJ85" s="105">
        <f>SUM(C85:G85,N85,T85,AC85:AG85)</f>
        <v>-13.760168400000001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12.122708360400001</v>
      </c>
      <c r="AP85" s="37">
        <f t="shared" si="68"/>
        <v>0.88100000000000001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Nøgletal!D141</f>
        <v>12.122708360400001</v>
      </c>
      <c r="BX85" s="78"/>
      <c r="BY85" s="127">
        <f>(AJ85+BW85)*-1</f>
        <v>1.6374600396000005</v>
      </c>
      <c r="BZ85" s="123">
        <f>(C85*Emissionsfaktorer!$B$4+E85*Emissionsfaktorer!$B$3+F85*Emissionsfaktorer!$B$5+H85*Emissionsfaktorer!$B$7+I85*Emissionsfaktorer!$B$8+J85*Emissionsfaktorer!$B$9+K85*Emissionsfaktorer!$B$10+L85*Emissionsfaktorer!$B$11+M85*Emissionsfaktorer!$B$12)*-1</f>
        <v>0</v>
      </c>
    </row>
    <row r="86" spans="2:80" x14ac:dyDescent="0.25">
      <c r="B86" s="31"/>
      <c r="C86" s="32"/>
      <c r="D86" s="32"/>
      <c r="E86" s="78">
        <f>Nøgletal!D181*Nøgletal!D182*Nøgletal!D187/Nøgletal!E391*-1+Nøgletal!D177/Nøgletal!E397*Nøgletal!D413*-1+Nøgletal!D178/Nøgletal!E398*Nøgletal!D424*-1</f>
        <v>-347.98200000000003</v>
      </c>
      <c r="F86" s="32">
        <f>Nøgletal!D178/Nøgletal!E398*Nøgletal!D427*-1</f>
        <v>0</v>
      </c>
      <c r="G86" s="23">
        <f>SUM(H86:M86)</f>
        <v>-46.14</v>
      </c>
      <c r="H86" s="32">
        <f>Nøgletal!D175/Nøgletal!E389*-1</f>
        <v>-19.139999999999997</v>
      </c>
      <c r="I86" s="32">
        <f>Nøgletal!D178/Nøgletal!E398*Nøgletal!D425*-1</f>
        <v>0</v>
      </c>
      <c r="J86" s="32">
        <f>Nøgletal!D181*Nøgletal!D182*Nøgletal!D186/Nøgletal!E390*-1+Nøgletal!D176/Nøgletal!E396*Nøgletal!D416*-1</f>
        <v>-27</v>
      </c>
      <c r="K86" s="32"/>
      <c r="L86" s="32"/>
      <c r="M86" s="32"/>
      <c r="N86" s="23">
        <f>SUM(O86:S86)</f>
        <v>0</v>
      </c>
      <c r="O86" s="32"/>
      <c r="P86" s="32"/>
      <c r="Q86" s="32">
        <f>Nøgletal!D181*Nøgletal!D182*Nøgletal!D191/Nøgletal!E395*-1</f>
        <v>0</v>
      </c>
      <c r="R86" s="32"/>
      <c r="S86" s="32">
        <f>Nøgletal!D181*Nøgletal!D182*Nøgletal!D185*(1-1/Nøgletal!E388)*-1</f>
        <v>0</v>
      </c>
      <c r="T86" s="23">
        <f>SUM(U86:AB86)</f>
        <v>0</v>
      </c>
      <c r="U86" s="32"/>
      <c r="V86" s="32"/>
      <c r="W86" s="32">
        <f>Nøgletal!D181*Nøgletal!D182*Nøgletal!D190/Nøgletal!E394*-1</f>
        <v>0</v>
      </c>
      <c r="X86" s="32">
        <f>Nøgletal!$D$177/Nøgletal!$E$397*Nøgletal!$D$414*-1+Nøgletal!D176/Nøgletal!E396*Nøgletal!D417*-1</f>
        <v>0</v>
      </c>
      <c r="Y86" s="32">
        <f>Nøgletal!D178/Nøgletal!E398*Nøgletal!D426*-1</f>
        <v>0</v>
      </c>
      <c r="Z86" s="32"/>
      <c r="AA86" s="32"/>
      <c r="AB86" s="32"/>
      <c r="AC86" s="78">
        <f>-(Nøgletal!D171/Nøgletal!D$385+Nøgletal!D172/Nøgletal!D$386+Nøgletal!D173/Nøgletal!D$387+Nøgletal!D181*Nøgletal!D182*(Nøgletal!D185/Nøgletal!E388+Nøgletal!D192/Nøgletal!D384+Nøgletal!D193/Nøgletal!D383))</f>
        <v>-409.36216680000001</v>
      </c>
      <c r="AD86" s="32">
        <f>(Nøgletal!D181*Nøgletal!D183+Nøgletal!D202)*-1</f>
        <v>-100.70557936904856</v>
      </c>
      <c r="AE86" s="32"/>
      <c r="AF86" s="32"/>
      <c r="AG86" s="32"/>
      <c r="AH86" s="269">
        <f>AH68</f>
        <v>0</v>
      </c>
      <c r="AI86" s="32"/>
      <c r="AJ86" s="105">
        <f>SUM(C86:G86,N86,T86,AC86:AG86)</f>
        <v>-904.18974616904859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806.11064831984856</v>
      </c>
      <c r="AP86" s="37">
        <f t="shared" si="68"/>
        <v>0.89152819055430543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Nøgletal!D169</f>
        <v>806.11064831984856</v>
      </c>
      <c r="BX86" s="78"/>
      <c r="BY86" s="127">
        <f>(AJ86+BW86)*-1</f>
        <v>98.079097849200025</v>
      </c>
      <c r="BZ86" s="123">
        <f>(C86*Emissionsfaktorer!$B$4+E86*Emissionsfaktorer!$B$3+F86*Emissionsfaktorer!$B$5+H86*Emissionsfaktorer!$B$7+I86*Emissionsfaktorer!$B$8+J86*Emissionsfaktorer!$B$9+K86*Emissionsfaktorer!$B$10+L86*Emissionsfaktorer!$B$11+M86*Emissionsfaktorer!$B$12)*-1</f>
        <v>23.000517960000003</v>
      </c>
    </row>
    <row r="87" spans="2:80" x14ac:dyDescent="0.25">
      <c r="B87" s="31"/>
      <c r="C87" s="32"/>
      <c r="D87" s="32"/>
      <c r="E87" s="32">
        <f>Nøgletal!D211*Nøgletal!D212*Nøgletal!D217/Nøgletal!E391*-1</f>
        <v>0</v>
      </c>
      <c r="F87" s="32"/>
      <c r="G87" s="23">
        <f>SUM(H87:M87)</f>
        <v>0</v>
      </c>
      <c r="H87" s="32">
        <f>Nøgletal!D208/Nøgletal!E389*-1</f>
        <v>0</v>
      </c>
      <c r="I87" s="149"/>
      <c r="J87" s="32">
        <f>Nøgletal!D211*Nøgletal!D212*Nøgletal!D216/Nøgletal!E390*-1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Nøgletal!D211*Nøgletal!D212*Nøgletal!D221/Nøgletal!E395*-1</f>
        <v>0</v>
      </c>
      <c r="R87" s="32"/>
      <c r="S87" s="32">
        <f>Nøgletal!D211*Nøgletal!D212*Nøgletal!D215*(1-1/Nøgletal!E388)*-1</f>
        <v>0</v>
      </c>
      <c r="T87" s="23">
        <f>SUM(U87:AB87)</f>
        <v>0</v>
      </c>
      <c r="U87" s="32"/>
      <c r="V87" s="32"/>
      <c r="W87" s="32">
        <f>Nøgletal!D211*Nøgletal!D212*Nøgletal!D220/Nøgletal!E394*-1</f>
        <v>0</v>
      </c>
      <c r="X87" s="32">
        <f>Nøgletal!D211*Nøgletal!D212*Nøgletal!D219/Nøgletal!E393*-1</f>
        <v>0</v>
      </c>
      <c r="Y87" s="32">
        <f>Nøgletal!D211*Nøgletal!D212*Nøgletal!D218/Nøgletal!E392*-1</f>
        <v>0</v>
      </c>
      <c r="Z87" s="32"/>
      <c r="AA87" s="32"/>
      <c r="AB87" s="32"/>
      <c r="AC87" s="78">
        <f>-(Nøgletal!D205/Nøgletal!D$385+Nøgletal!D206/Nøgletal!D$386+Nøgletal!D207/Nøgletal!D$387+Nøgletal!D211*Nøgletal!D212*(Nøgletal!D215/Nøgletal!E388+Nøgletal!D222/Nøgletal!D384+Nøgletal!D223/Nøgletal!D383))</f>
        <v>-1.3647851999999998</v>
      </c>
      <c r="AD87" s="32">
        <f>Nøgletal!D211*Nøgletal!D213*-1</f>
        <v>-31.291796744010355</v>
      </c>
      <c r="AE87" s="32"/>
      <c r="AF87" s="32"/>
      <c r="AG87" s="32"/>
      <c r="AH87" s="32"/>
      <c r="AI87" s="32"/>
      <c r="AJ87" s="105">
        <f>SUM(C87:G87,N87,T87,AC87:AG87)</f>
        <v>-32.656581944010355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32.406826252410355</v>
      </c>
      <c r="AP87" s="37">
        <f t="shared" si="68"/>
        <v>0.99235205656157754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Nøgletal!D203</f>
        <v>32.406826252410355</v>
      </c>
      <c r="BX87" s="78"/>
      <c r="BY87" s="127">
        <f>(AJ87+BW87)*-1</f>
        <v>0.24975569160000077</v>
      </c>
      <c r="BZ87" s="123">
        <f>(C87*Emissionsfaktorer!$B$4+E87*Emissionsfaktorer!$B$3+F87*Emissionsfaktorer!$B$5+H87*Emissionsfaktorer!$B$7+I87*Emissionsfaktorer!$B$8+J87*Emissionsfaktorer!$B$9+K87*Emissionsfaktorer!$B$10+L87*Emissionsfaktorer!$B$11+M87*Emissionsfaktorer!$B$12)*-1</f>
        <v>0</v>
      </c>
    </row>
    <row r="88" spans="2:80" x14ac:dyDescent="0.25">
      <c r="B88" s="31"/>
      <c r="C88" s="32"/>
      <c r="D88" s="32"/>
      <c r="E88" s="32">
        <f>(Nøgletal!D236/Nøgletal!D406*Nøgletal!D696+Nøgletal!D240*Nøgletal!D241*Nøgletal!D246/Nøgletal!E391)*-1</f>
        <v>0</v>
      </c>
      <c r="F88" s="32"/>
      <c r="G88" s="23">
        <f>SUM(H88:M88)</f>
        <v>-30.500000000000004</v>
      </c>
      <c r="H88" s="32">
        <f>Nøgletal!D237/Nøgletal!E389*-1</f>
        <v>0</v>
      </c>
      <c r="I88" s="32"/>
      <c r="J88" s="32">
        <f>Nøgletal!D240*Nøgletal!D241*Nøgletal!D245/Nøgletal!E390*-1</f>
        <v>0</v>
      </c>
      <c r="K88" s="78">
        <f>Nøgletal!D236/Nøgletal!D406*Nøgletal!D692*-1</f>
        <v>-30.500000000000004</v>
      </c>
      <c r="L88" s="32"/>
      <c r="M88" s="32">
        <f>Nøgletal!D236/Nøgletal!D406*Nøgletal!D693*-1</f>
        <v>0</v>
      </c>
      <c r="N88" s="23">
        <f>SUM(O88:S88)</f>
        <v>0</v>
      </c>
      <c r="O88" s="32"/>
      <c r="P88" s="32"/>
      <c r="Q88" s="32">
        <f>Nøgletal!D240*Nøgletal!D241*Nøgletal!D250/Nøgletal!E395*-1</f>
        <v>0</v>
      </c>
      <c r="R88" s="32"/>
      <c r="S88" s="32">
        <f>Nøgletal!D240*Nøgletal!D241*Nøgletal!D244*(1-1/Nøgletal!E388)*-1</f>
        <v>0</v>
      </c>
      <c r="T88" s="23">
        <f>SUM(U88:AB88)</f>
        <v>0</v>
      </c>
      <c r="U88" s="32">
        <f>Nøgletal!D236*Nøgletal!D695/Nøgletal!D406*-1</f>
        <v>0</v>
      </c>
      <c r="V88" s="32">
        <f>Nøgletal!D236*Nøgletal!D697/Nøgletal!D406*-1</f>
        <v>0</v>
      </c>
      <c r="W88" s="32">
        <f>Nøgletal!D240*Nøgletal!D241*Nøgletal!D249/Nøgletal!E394*-1</f>
        <v>0</v>
      </c>
      <c r="X88" s="32">
        <f>Nøgletal!D240*Nøgletal!D241*Nøgletal!D248/Nøgletal!E393*-1</f>
        <v>0</v>
      </c>
      <c r="Y88" s="32">
        <f>Nøgletal!D240*Nøgletal!D241*Nøgletal!D247/Nøgletal!E392*-1</f>
        <v>0</v>
      </c>
      <c r="Z88" s="32"/>
      <c r="AA88" s="32"/>
      <c r="AB88" s="32">
        <f>Nøgletal!D236*Nøgletal!D694/Nøgletal!D406*-1</f>
        <v>0</v>
      </c>
      <c r="AC88" s="78">
        <f>-(Nøgletal!D233/Nøgletal!D$385+Nøgletal!D234/Nøgletal!D$386+Nøgletal!D235/Nøgletal!D$387+Nøgletal!D236*Nøgletal!D698/Nøgletal!D406+Nøgletal!D240*Nøgletal!D241*(Nøgletal!D244/Nøgletal!E388+Nøgletal!D251/Nøgletal!D384+Nøgletal!D252/Nøgletal!D383))</f>
        <v>-19.0232964</v>
      </c>
      <c r="AD88" s="32">
        <f>Nøgletal!D240*Nøgletal!D242</f>
        <v>0</v>
      </c>
      <c r="AE88" s="32"/>
      <c r="AF88" s="32"/>
      <c r="AG88" s="32"/>
      <c r="AH88" s="32"/>
      <c r="AI88" s="32"/>
      <c r="AJ88" s="105">
        <f>SUM(C88:G88,N88,T88,AC88:AG88)</f>
        <v>-49.523296400000007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25.6070331588</v>
      </c>
      <c r="AP88" s="37">
        <f t="shared" si="68"/>
        <v>0.51707045007609787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Nøgletal!D231</f>
        <v>25.6070331588</v>
      </c>
      <c r="BX88" s="78"/>
      <c r="BY88" s="127">
        <f>(AJ88+BW88)*-1</f>
        <v>23.916263241200006</v>
      </c>
      <c r="BZ88" s="123">
        <f>(C88*Emissionsfaktorer!$B$4+E88*Emissionsfaktorer!$B$3+F88*Emissionsfaktorer!$B$5+H88*Emissionsfaktorer!$B$7+I88*Emissionsfaktorer!$B$8+J88*Emissionsfaktorer!$B$9+K88*Emissionsfaktorer!$B$10+L88*Emissionsfaktorer!$B$11+M88*Emissionsfaktorer!$B$12)*-1</f>
        <v>2.2570000000000001</v>
      </c>
    </row>
    <row r="89" spans="2:80" x14ac:dyDescent="0.25"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-5580.3567706673311</v>
      </c>
      <c r="AJ89" s="155">
        <f>AJ90+AJ101+AJ112+AJ117</f>
        <v>-5580.3567706673311</v>
      </c>
      <c r="AK89" s="88" t="s">
        <v>274</v>
      </c>
      <c r="AL89" s="89" t="s">
        <v>275</v>
      </c>
      <c r="AM89" s="89"/>
      <c r="AN89" s="37"/>
      <c r="AO89" s="38">
        <f t="shared" si="61"/>
        <v>3771.1904741040917</v>
      </c>
      <c r="AP89" s="37">
        <f t="shared" si="68"/>
        <v>0.67579737803271511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3771.1904741040917</v>
      </c>
      <c r="BX89" s="82"/>
      <c r="BY89" s="128">
        <f>BY90+BY101+BY112+BY117</f>
        <v>1821.5851832352391</v>
      </c>
      <c r="BZ89" s="128">
        <f>BZ90+BZ101+BZ112+BZ117</f>
        <v>0</v>
      </c>
    </row>
    <row r="90" spans="2:80" x14ac:dyDescent="0.25"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-2003.4799999999998</v>
      </c>
      <c r="AJ90" s="156">
        <f>SUM(AJ91:AJ100)</f>
        <v>-2003.4799999999998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537.08569999999986</v>
      </c>
      <c r="AP90" s="146">
        <f t="shared" ref="AP90:AP127" si="73">BW90/IF(AJ90&lt;0,AJ90,1)*-1</f>
        <v>0.26807639706909975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537.08569999999986</v>
      </c>
      <c r="BX90" s="108"/>
      <c r="BY90" s="129">
        <f>SUM(BY91:BY100)</f>
        <v>1462.4386999999999</v>
      </c>
      <c r="BZ90" s="129">
        <f>SUM(BZ91:BZ100)</f>
        <v>0</v>
      </c>
    </row>
    <row r="91" spans="2:80" x14ac:dyDescent="0.25"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-732.84999999999991</v>
      </c>
      <c r="AJ91" s="156">
        <f>AO91/Nøgletal!D401*-1</f>
        <v>-732.84999999999991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146.57</v>
      </c>
      <c r="AP91" s="146">
        <f t="shared" si="73"/>
        <v>0.2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W91" s="78">
        <f>Nøgletal!D$282*Nøgletal!D286</f>
        <v>146.57</v>
      </c>
      <c r="BX91" s="119"/>
      <c r="BY91" s="127">
        <f t="shared" ref="BY91:BY98" si="76">(AJ91+BW91)*-1</f>
        <v>586.28</v>
      </c>
      <c r="BZ91" s="125">
        <v>0</v>
      </c>
      <c r="CB91" s="151"/>
    </row>
    <row r="92" spans="2:80" x14ac:dyDescent="0.25"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-177.89</v>
      </c>
      <c r="AJ92" s="156">
        <f>AO92/Nøgletal!D402*-1</f>
        <v>-177.89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44.472499999999997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W92" s="78">
        <f>Nøgletal!D$282*Nøgletal!D287</f>
        <v>44.472499999999997</v>
      </c>
      <c r="BX92" s="119"/>
      <c r="BY92" s="127">
        <f t="shared" si="76"/>
        <v>133.41749999999999</v>
      </c>
      <c r="BZ92" s="125">
        <v>0</v>
      </c>
      <c r="CB92" s="151"/>
    </row>
    <row r="93" spans="2:80" x14ac:dyDescent="0.25"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-186</v>
      </c>
      <c r="AJ93" s="156">
        <f>AO93/IF(Nøgletal!D403&gt;0,Nøgletal!D403,1)*-1</f>
        <v>-186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46.5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W93" s="78">
        <f>Nøgletal!D$282*Nøgletal!D288</f>
        <v>46.5</v>
      </c>
      <c r="BX93" s="119"/>
      <c r="BY93" s="127">
        <f t="shared" si="76"/>
        <v>139.5</v>
      </c>
      <c r="BZ93" s="125">
        <v>0</v>
      </c>
      <c r="CB93" s="151"/>
    </row>
    <row r="94" spans="2:80" x14ac:dyDescent="0.25"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-16</v>
      </c>
      <c r="AJ94" s="156">
        <f>AO94/Nøgletal!D404*-1</f>
        <v>-16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5.28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W94" s="78">
        <f>Nøgletal!D$282*Nøgletal!D289</f>
        <v>5.28</v>
      </c>
      <c r="BX94" s="119"/>
      <c r="BY94" s="127">
        <f t="shared" si="76"/>
        <v>10.719999999999999</v>
      </c>
      <c r="BZ94" s="125">
        <v>0</v>
      </c>
      <c r="CB94" s="151"/>
    </row>
    <row r="95" spans="2:80" x14ac:dyDescent="0.25"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-437.25999999999993</v>
      </c>
      <c r="AJ95" s="156">
        <f>AO95/Nøgletal!D405*-1</f>
        <v>-437.25999999999993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144.29579999999999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W95" s="78">
        <f>Nøgletal!D$282*Nøgletal!D290</f>
        <v>144.29579999999999</v>
      </c>
      <c r="BX95" s="119"/>
      <c r="BY95" s="127">
        <f t="shared" si="76"/>
        <v>292.96419999999995</v>
      </c>
      <c r="BZ95" s="125">
        <v>0</v>
      </c>
      <c r="CB95" s="151"/>
    </row>
    <row r="96" spans="2:80" x14ac:dyDescent="0.25"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-27.799999999999997</v>
      </c>
      <c r="AJ96" s="156">
        <f>AO96/Nøgletal!D407*-1</f>
        <v>-27.799999999999997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9.1739999999999995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W96" s="78">
        <f>Nøgletal!D$282*Nøgletal!D291</f>
        <v>9.1739999999999995</v>
      </c>
      <c r="BX96" s="119"/>
      <c r="BY96" s="127">
        <f t="shared" si="76"/>
        <v>18.625999999999998</v>
      </c>
      <c r="BZ96" s="125">
        <v>0</v>
      </c>
      <c r="CB96" s="151"/>
    </row>
    <row r="97" spans="2:80" x14ac:dyDescent="0.25"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-353.39999999999992</v>
      </c>
      <c r="AJ97" s="156">
        <f>AO97/Nøgletal!D408*-1</f>
        <v>-353.39999999999992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116.62199999999999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W97" s="78">
        <f>Nøgletal!D$282*Nøgletal!D292</f>
        <v>116.62199999999999</v>
      </c>
      <c r="BX97" s="119"/>
      <c r="BY97" s="127">
        <f t="shared" si="76"/>
        <v>236.77799999999993</v>
      </c>
      <c r="BZ97" s="125">
        <v>0</v>
      </c>
      <c r="CB97" s="151"/>
    </row>
    <row r="98" spans="2:80" x14ac:dyDescent="0.25"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-65.899999999999991</v>
      </c>
      <c r="AJ98" s="156">
        <f>AO98/Nøgletal!D409*-1</f>
        <v>-65.899999999999991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21.747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W98" s="78">
        <f>Nøgletal!D$282*Nøgletal!D293</f>
        <v>21.747</v>
      </c>
      <c r="BX98" s="119"/>
      <c r="BY98" s="127">
        <f t="shared" si="76"/>
        <v>44.152999999999992</v>
      </c>
      <c r="BZ98" s="125">
        <v>0</v>
      </c>
      <c r="CB98" s="151"/>
    </row>
    <row r="99" spans="2:80" x14ac:dyDescent="0.25"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0</v>
      </c>
      <c r="AJ99" s="156">
        <f>AO99/Nøgletal!D410*-1</f>
        <v>0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0</v>
      </c>
      <c r="AP99" s="146">
        <f t="shared" si="73"/>
        <v>0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W99" s="78">
        <f>Nøgletal!D$282*Nøgletal!D284</f>
        <v>0</v>
      </c>
      <c r="BX99" s="119"/>
      <c r="BY99" s="147">
        <v>0</v>
      </c>
      <c r="BZ99" s="125">
        <v>0</v>
      </c>
      <c r="CB99" s="151"/>
    </row>
    <row r="100" spans="2:80" x14ac:dyDescent="0.25"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-6.3800000000000008</v>
      </c>
      <c r="AJ100" s="156">
        <f>AO100/Nøgletal!D411*-1</f>
        <v>-6.3800000000000008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2.4244000000000003</v>
      </c>
      <c r="AP100" s="146">
        <f t="shared" si="73"/>
        <v>0.38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W100" s="78">
        <f>Nøgletal!D$282*Nøgletal!D285</f>
        <v>2.4244000000000003</v>
      </c>
      <c r="BX100" s="119"/>
      <c r="BY100" s="147">
        <v>0</v>
      </c>
      <c r="BZ100" s="125">
        <v>0</v>
      </c>
      <c r="CB100" s="151"/>
    </row>
    <row r="101" spans="2:80" x14ac:dyDescent="0.25"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-815.80243679199998</v>
      </c>
      <c r="AJ101" s="156">
        <f>SUM(AJ102:AJ111)</f>
        <v>-815.80243679199998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705.61360394680014</v>
      </c>
      <c r="AP101" s="146">
        <f t="shared" si="73"/>
        <v>0.86493196406902373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705.61360394680014</v>
      </c>
      <c r="BX101" s="108"/>
      <c r="BY101" s="129">
        <f>SUM(BY102:BY111)</f>
        <v>126.5633195172</v>
      </c>
      <c r="BZ101" s="129">
        <f>SUM(BZ102:BZ111)</f>
        <v>0</v>
      </c>
      <c r="CB101" s="19"/>
    </row>
    <row r="102" spans="2:80" x14ac:dyDescent="0.25"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-32.748973344000007</v>
      </c>
      <c r="AJ102" s="156">
        <f>AO102/Nøgletal!D386*-1</f>
        <v>-32.748973344000007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49.12346001600001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Nøgletal!D172</f>
        <v>49.12346001600001</v>
      </c>
      <c r="BX102" s="119"/>
      <c r="BY102" s="127">
        <v>0</v>
      </c>
      <c r="BZ102" s="125">
        <v>0</v>
      </c>
      <c r="CB102" s="19"/>
    </row>
    <row r="103" spans="2:80" x14ac:dyDescent="0.25"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-352.05146344799999</v>
      </c>
      <c r="AJ103" s="156">
        <f>AO103/Nøgletal!D387*-1</f>
        <v>-352.05146344799999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299.24374393080001</v>
      </c>
      <c r="AP103" s="146">
        <f t="shared" si="73"/>
        <v>0.85000000000000009</v>
      </c>
      <c r="AQ103" s="49"/>
      <c r="AR103" s="19"/>
      <c r="AS103" s="19"/>
      <c r="AT103" s="19"/>
      <c r="AU103" s="19"/>
      <c r="AV103" s="19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Nøgletal!D173</f>
        <v>299.24374393080001</v>
      </c>
      <c r="BX103" s="119"/>
      <c r="BY103" s="127">
        <f t="shared" ref="BY103:BY111" si="77">(AJ103+BW103)*-1</f>
        <v>52.807719517199985</v>
      </c>
      <c r="BZ103" s="125">
        <v>0</v>
      </c>
      <c r="CB103" s="19"/>
    </row>
    <row r="104" spans="2:80" x14ac:dyDescent="0.25"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-27</v>
      </c>
      <c r="AJ104" s="156">
        <f>AO104/Nøgletal!E396*-1</f>
        <v>-27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24.3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Nøgletal!D176</f>
        <v>24.3</v>
      </c>
      <c r="BX104" s="119"/>
      <c r="BY104" s="127">
        <f t="shared" si="77"/>
        <v>2.6999999999999993</v>
      </c>
      <c r="BZ104" s="125">
        <v>0</v>
      </c>
      <c r="CB104" s="19"/>
    </row>
    <row r="105" spans="2:80" x14ac:dyDescent="0.25"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-347.98200000000003</v>
      </c>
      <c r="AJ105" s="156">
        <f>AO105/IF(Nøgletal!E397&gt;0,Nøgletal!E397,1)*-1</f>
        <v>-347.98200000000003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313.18380000000002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Nøgletal!D177</f>
        <v>313.18380000000002</v>
      </c>
      <c r="BX105" s="119"/>
      <c r="BY105" s="127">
        <f t="shared" si="77"/>
        <v>34.798200000000008</v>
      </c>
      <c r="BZ105" s="125">
        <v>0</v>
      </c>
      <c r="CB105" s="19"/>
    </row>
    <row r="106" spans="2:80" x14ac:dyDescent="0.25"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'2025'!AO106/Nøgletal!E398*-1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Nøgletal!D178</f>
        <v>0</v>
      </c>
      <c r="BX106" s="119"/>
      <c r="BY106" s="127">
        <f t="shared" si="77"/>
        <v>0</v>
      </c>
      <c r="BZ106" s="125">
        <v>0</v>
      </c>
      <c r="CB106" s="19"/>
    </row>
    <row r="107" spans="2:80" x14ac:dyDescent="0.25"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-6.3800000000000008</v>
      </c>
      <c r="AJ107" s="156">
        <f>AO107/Nøgletal!E389*-1</f>
        <v>-6.3800000000000008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2.4244000000000003</v>
      </c>
      <c r="AP107" s="146">
        <f t="shared" si="73"/>
        <v>0.38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Nøgletal!D34+Nøgletal!D62+Nøgletal!D90+Nøgletal!D118+Nøgletal!D146+Nøgletal!D208+Nøgletal!D237</f>
        <v>2.4244000000000003</v>
      </c>
      <c r="BX107" s="119"/>
      <c r="BY107" s="127">
        <f t="shared" si="77"/>
        <v>3.9556000000000004</v>
      </c>
      <c r="BZ107" s="125">
        <v>0</v>
      </c>
      <c r="CB107" s="19"/>
    </row>
    <row r="108" spans="2:80" x14ac:dyDescent="0.25"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-19.139999999999997</v>
      </c>
      <c r="AJ108" s="156">
        <f>AO108/Nøgletal!E389*-1</f>
        <v>-19.139999999999997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7.2731999999999992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Nøgletal!D175</f>
        <v>7.2731999999999992</v>
      </c>
      <c r="BX108" s="119"/>
      <c r="BY108" s="127">
        <f t="shared" si="77"/>
        <v>11.866799999999998</v>
      </c>
      <c r="BZ108" s="125">
        <v>0</v>
      </c>
      <c r="CB108" s="19"/>
    </row>
    <row r="109" spans="2:80" x14ac:dyDescent="0.25"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0</v>
      </c>
      <c r="AJ109" s="156">
        <f>AO109*-1</f>
        <v>0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0</v>
      </c>
      <c r="AP109" s="146">
        <f t="shared" si="73"/>
        <v>0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Nøgletal!D201</f>
        <v>0</v>
      </c>
      <c r="BX109" s="119"/>
      <c r="BY109" s="127">
        <f t="shared" si="77"/>
        <v>0</v>
      </c>
      <c r="BZ109" s="125">
        <v>0</v>
      </c>
      <c r="CB109" s="19"/>
    </row>
    <row r="110" spans="2:80" x14ac:dyDescent="0.25"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-30.500000000000004</v>
      </c>
      <c r="AJ110" s="156">
        <f>AO110/Nøgletal!D406*-1</f>
        <v>-30.500000000000004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10.065000000000001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W110" s="78">
        <f>Nøgletal!D236</f>
        <v>10.065000000000001</v>
      </c>
      <c r="BX110" s="119"/>
      <c r="BY110" s="127">
        <f t="shared" si="77"/>
        <v>20.435000000000002</v>
      </c>
      <c r="BZ110" s="125">
        <v>0</v>
      </c>
      <c r="CB110" s="151"/>
    </row>
    <row r="111" spans="2:80" x14ac:dyDescent="0.25"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Nøgletal!D202</f>
        <v>0</v>
      </c>
      <c r="BX111" s="119"/>
      <c r="BY111" s="127">
        <f t="shared" si="77"/>
        <v>0</v>
      </c>
      <c r="BZ111" s="125">
        <v>0</v>
      </c>
      <c r="CB111" s="19"/>
    </row>
    <row r="112" spans="2:80" x14ac:dyDescent="0.25"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-729.61804293581281</v>
      </c>
      <c r="AJ112" s="157">
        <f>SUM(AJ113:AJ116)</f>
        <v>-729.61804293581281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613.42235057456787</v>
      </c>
      <c r="AP112" s="146">
        <f t="shared" si="73"/>
        <v>0.84074449160590847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613.42235057456787</v>
      </c>
      <c r="BX112" s="108"/>
      <c r="BY112" s="129">
        <f>SUM(BY113:BY116)</f>
        <v>116.19569236124489</v>
      </c>
      <c r="BZ112" s="129">
        <f>SUM(BZ113:BZ116)</f>
        <v>0</v>
      </c>
    </row>
    <row r="113" spans="1:78" x14ac:dyDescent="0.25"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-173.03449862181097</v>
      </c>
      <c r="AJ113" s="157">
        <f>AO113/Nøgletal!D385*-1</f>
        <v>-173.03449862181097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86.517249310905484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Nøgletal!D31+Nøgletal!D59+Nøgletal!D87+Nøgletal!D115+Nøgletal!D143+Nøgletal!D171+Nøgletal!D205+Nøgletal!D233</f>
        <v>86.517249310905484</v>
      </c>
      <c r="BX113" s="119"/>
      <c r="BY113" s="127">
        <f>(AJ113+BW113)*-1</f>
        <v>86.517249310905484</v>
      </c>
      <c r="BZ113" s="125">
        <v>0</v>
      </c>
    </row>
    <row r="114" spans="1:78" x14ac:dyDescent="0.25"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-43.78436548581098</v>
      </c>
      <c r="AJ114" s="157">
        <f>AO114/Nøgletal!D382*-1</f>
        <v>-43.78436548581098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19.26512081375683</v>
      </c>
      <c r="AP114" s="146">
        <f t="shared" si="73"/>
        <v>0.44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Nøgletal!D30</f>
        <v>19.26512081375683</v>
      </c>
      <c r="BX114" s="119"/>
      <c r="BY114" s="127">
        <f>(AJ114+BW114)*-1</f>
        <v>24.51924467205415</v>
      </c>
      <c r="BZ114" s="125">
        <v>0</v>
      </c>
    </row>
    <row r="115" spans="1:78" x14ac:dyDescent="0.25"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-110.40104376298974</v>
      </c>
      <c r="AJ115" s="157">
        <f>AO115/Nøgletal!D386*-1</f>
        <v>-110.40104376298974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165.60156564448462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Nøgletal!D32+Nøgletal!D60+Nøgletal!D88+Nøgletal!D116+Nøgletal!D144+Nøgletal!D206+Nøgletal!D234</f>
        <v>165.60156564448462</v>
      </c>
      <c r="BX115" s="119"/>
      <c r="BY115" s="127">
        <f>(AJ115+BW115)*-1</f>
        <v>-55.200521881494879</v>
      </c>
      <c r="BZ115" s="125">
        <v>0</v>
      </c>
    </row>
    <row r="116" spans="1:78" x14ac:dyDescent="0.25"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-402.39813506520107</v>
      </c>
      <c r="AJ116" s="157">
        <f>AO116/Nøgletal!D387*-1</f>
        <v>-402.39813506520107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342.03841480542093</v>
      </c>
      <c r="AP116" s="146">
        <f t="shared" si="73"/>
        <v>0.85000000000000009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Nøgletal!D33+Nøgletal!D61+Nøgletal!D89+Nøgletal!D117+Nøgletal!D145+Nøgletal!D207+Nøgletal!D235</f>
        <v>342.03841480542093</v>
      </c>
      <c r="BX116" s="119"/>
      <c r="BY116" s="127">
        <f>(AJ116+BW116)*-1</f>
        <v>60.359720259780147</v>
      </c>
      <c r="BZ116" s="125">
        <v>0</v>
      </c>
    </row>
    <row r="117" spans="1:78" x14ac:dyDescent="0.25"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-2031.4562909395183</v>
      </c>
      <c r="AJ117" s="157">
        <f>SUM(AJ118:AJ127)</f>
        <v>-2031.4562909395183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1915.068819582724</v>
      </c>
      <c r="AP117" s="146">
        <f t="shared" si="73"/>
        <v>0.94270737112292635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1915.068819582724</v>
      </c>
      <c r="BX117" s="108"/>
      <c r="BY117" s="129">
        <f>SUM(BY118:BY127)</f>
        <v>116.38747135679426</v>
      </c>
      <c r="BZ117" s="129">
        <f>SUM(BZ118:BZ127)</f>
        <v>0</v>
      </c>
    </row>
    <row r="118" spans="1:78" x14ac:dyDescent="0.25"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-5.4297135679429616</v>
      </c>
      <c r="AJ118" s="157">
        <f>AO118/Nøgletal!D383*-1</f>
        <v>-5.4297135679429616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4.8867422111486656</v>
      </c>
      <c r="AP118" s="146">
        <f t="shared" si="73"/>
        <v>0.9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D49*Nøgletal!D38*Nøgletal!D37+Nøgletal!D65*Nøgletal!D66*Nøgletal!D77+Nøgletal!D93*Nøgletal!D94*Nøgletal!D105+Nøgletal!D121*Nøgletal!D122*Nøgletal!D133+Nøgletal!D149*Nøgletal!D150*Nøgletal!D161+Nøgletal!D181*Nøgletal!D182*Nøgletal!D193+Nøgletal!D211*Nøgletal!D212*Nøgletal!D223+Nøgletal!D240*Nøgletal!D241*Nøgletal!D252</f>
        <v>4.8867422111486656</v>
      </c>
      <c r="BX118" s="119"/>
      <c r="BY118" s="127">
        <f t="shared" ref="BY118:BY127" si="78">(AJ118+BW118)*-1</f>
        <v>0.54297135679429598</v>
      </c>
      <c r="BZ118" s="125">
        <v>0</v>
      </c>
    </row>
    <row r="119" spans="1:78" x14ac:dyDescent="0.25"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-23.037498995415127</v>
      </c>
      <c r="AJ119" s="157">
        <f>AO119*Nøgletal!D384*-1</f>
        <v>-23.037498995415127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23.037498995415127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D37*Nøgletal!D38*Nøgletal!D48+Nøgletal!D65*Nøgletal!D66*Nøgletal!D76+Nøgletal!D93*Nøgletal!D94*Nøgletal!D104+Nøgletal!D121*Nøgletal!D122*Nøgletal!D132+Nøgletal!D149*Nøgletal!D150*Nøgletal!D160+Nøgletal!D181*Nøgletal!D182*Nøgletal!D192+Nøgletal!D211*Nøgletal!D212*Nøgletal!D222+Nøgletal!D240*Nøgletal!D241*Nøgletal!D251</f>
        <v>23.037498995415127</v>
      </c>
      <c r="BX119" s="119"/>
      <c r="BY119" s="127">
        <f t="shared" si="78"/>
        <v>0</v>
      </c>
      <c r="BZ119" s="125">
        <v>0</v>
      </c>
    </row>
    <row r="120" spans="1:78" x14ac:dyDescent="0.25"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-0.54299999999999993</v>
      </c>
      <c r="AJ120" s="157">
        <f>AO120*-1</f>
        <v>-0.54299999999999993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0.54299999999999993</v>
      </c>
      <c r="AP120" s="146">
        <f t="shared" si="73"/>
        <v>1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D37*Nøgletal!D38*Nøgletal!D41+Nøgletal!D65*Nøgletal!D66*Nøgletal!D69+Nøgletal!D93*Nøgletal!D94*Nøgletal!D97+Nøgletal!D121*Nøgletal!D122*Nøgletal!D125+Nøgletal!D149*Nøgletal!D150*Nøgletal!D153+Nøgletal!D181*Nøgletal!D182*Nøgletal!D185+Nøgletal!D211*Nøgletal!D212*Nøgletal!D215+Nøgletal!D240*Nøgletal!D241*Nøgletal!D244</f>
        <v>0.54299999999999993</v>
      </c>
      <c r="BX120" s="119"/>
      <c r="BY120" s="127">
        <f t="shared" si="78"/>
        <v>0</v>
      </c>
      <c r="BZ120" s="125">
        <v>0</v>
      </c>
    </row>
    <row r="121" spans="1:78" x14ac:dyDescent="0.25"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-166</v>
      </c>
      <c r="AJ121" s="157">
        <f>AO121/Nøgletal!E390*-1</f>
        <v>-166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132.80000000000001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D$37*Nøgletal!D$38*Nøgletal!D42+Nøgletal!D$65*Nøgletal!D$66*Nøgletal!D70+Nøgletal!D$93*Nøgletal!D$94*Nøgletal!D98+Nøgletal!D$121*Nøgletal!D$122*Nøgletal!D126+Nøgletal!D$149*Nøgletal!D$150*Nøgletal!D154+Nøgletal!D$181*Nøgletal!D$182*Nøgletal!D186+Nøgletal!D$211*Nøgletal!D$212*Nøgletal!D216+Nøgletal!D$240*Nøgletal!D$241*Nøgletal!D245</f>
        <v>132.80000000000001</v>
      </c>
      <c r="BX121" s="119"/>
      <c r="BY121" s="127">
        <f t="shared" si="78"/>
        <v>33.199999999999989</v>
      </c>
      <c r="BZ121" s="125">
        <v>0</v>
      </c>
    </row>
    <row r="122" spans="1:78" x14ac:dyDescent="0.25"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-0.63</v>
      </c>
      <c r="AJ122" s="157">
        <f>AO122/Nøgletal!E391*-1</f>
        <v>-0.63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0.53549999999999998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D$37*Nøgletal!D$38*Nøgletal!D43+Nøgletal!D$65*Nøgletal!D$66*Nøgletal!D71+Nøgletal!D$93*Nøgletal!D$94*Nøgletal!D99+Nøgletal!D$121*Nøgletal!D$122*Nøgletal!D127+Nøgletal!D$149*Nøgletal!D$150*Nøgletal!D155+Nøgletal!D$181*Nøgletal!D$182*Nøgletal!D187+Nøgletal!D$211*Nøgletal!D$212*Nøgletal!D217+Nøgletal!D$240*Nøgletal!D$241*Nøgletal!D246</f>
        <v>0.53549999999999998</v>
      </c>
      <c r="BX122" s="119"/>
      <c r="BY122" s="127">
        <f t="shared" si="78"/>
        <v>9.4500000000000028E-2</v>
      </c>
      <c r="BZ122" s="125">
        <v>0</v>
      </c>
    </row>
    <row r="123" spans="1:78" x14ac:dyDescent="0.25"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-32</v>
      </c>
      <c r="AJ123" s="157">
        <f>AO123/Nøgletal!E392*-1</f>
        <v>-32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24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D$37*Nøgletal!D$38*Nøgletal!D44+Nøgletal!D$65*Nøgletal!D$66*Nøgletal!D72+Nøgletal!D$93*Nøgletal!D$94*Nøgletal!D100+Nøgletal!D$121*Nøgletal!D$122*Nøgletal!D128+Nøgletal!D$149*Nøgletal!D$150*Nøgletal!D156+Nøgletal!D$181*Nøgletal!D$182*Nøgletal!D188+Nøgletal!D$211*Nøgletal!D$212*Nøgletal!D218+Nøgletal!D$240*Nøgletal!D$241*Nøgletal!D247</f>
        <v>24</v>
      </c>
      <c r="BX123" s="119"/>
      <c r="BY123" s="127">
        <f t="shared" si="78"/>
        <v>8</v>
      </c>
      <c r="BZ123" s="125">
        <v>0</v>
      </c>
    </row>
    <row r="124" spans="1:78" x14ac:dyDescent="0.25"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-174</v>
      </c>
      <c r="AJ124" s="157">
        <f>AO124/Nøgletal!E393*-1</f>
        <v>-174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113.10000000000001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D$37*Nøgletal!D$38*Nøgletal!D45+Nøgletal!D$65*Nøgletal!D$66*Nøgletal!D73+Nøgletal!D$93*Nøgletal!D$94*Nøgletal!D101+Nøgletal!D$121*Nøgletal!D$122*Nøgletal!D129+Nøgletal!D$149*Nøgletal!D$150*Nøgletal!D157+Nøgletal!D$181*Nøgletal!D$182*Nøgletal!D189+Nøgletal!D$211*Nøgletal!D$212*Nøgletal!D219+Nøgletal!D$240*Nøgletal!D$241*Nøgletal!D248</f>
        <v>113.10000000000001</v>
      </c>
      <c r="BX124" s="119"/>
      <c r="BY124" s="127">
        <f t="shared" si="78"/>
        <v>60.899999999999991</v>
      </c>
      <c r="BZ124" s="125">
        <v>0</v>
      </c>
    </row>
    <row r="125" spans="1:78" x14ac:dyDescent="0.25"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-39</v>
      </c>
      <c r="AJ125" s="157">
        <f>AO125/Nøgletal!E394*-1</f>
        <v>-39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25.35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D$37*Nøgletal!D$38*Nøgletal!D46+Nøgletal!D$65*Nøgletal!D$66*Nøgletal!D74+Nøgletal!D$93*Nøgletal!D$94*Nøgletal!D102+Nøgletal!D$121*Nøgletal!D$122*Nøgletal!D130+Nøgletal!D$149*Nøgletal!D$150*Nøgletal!D158+Nøgletal!D$181*Nøgletal!D$182*Nøgletal!D190+Nøgletal!D$211*Nøgletal!D$212*Nøgletal!D220+Nøgletal!D$240*Nøgletal!D$241*Nøgletal!D249</f>
        <v>25.35</v>
      </c>
      <c r="BX125" s="119"/>
      <c r="BY125" s="127">
        <f t="shared" si="78"/>
        <v>13.649999999999999</v>
      </c>
      <c r="BZ125" s="125">
        <v>0</v>
      </c>
    </row>
    <row r="126" spans="1:78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-1588.4160783761602</v>
      </c>
      <c r="AJ126" s="157">
        <f>AO126*-1</f>
        <v>-1588.4160783761602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1588.4160783761602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Nøgletal!D37*Nøgletal!D39+Nøgletal!D65*Nøgletal!D67+Nøgletal!D93*Nøgletal!D95+Nøgletal!D121*Nøgletal!D123+Nøgletal!D149*Nøgletal!D151+Nøgletal!D181*Nøgletal!D183+Nøgletal!D211*Nøgletal!D213+Nøgletal!D240*Nøgletal!D242</f>
        <v>1588.4160783761602</v>
      </c>
      <c r="BX126" s="119"/>
      <c r="BY126" s="127">
        <f t="shared" si="78"/>
        <v>0</v>
      </c>
      <c r="BZ126" s="125">
        <v>0</v>
      </c>
    </row>
    <row r="127" spans="1:78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-2.4</v>
      </c>
      <c r="AJ127" s="157">
        <f>AO127/Nøgletal!E395*-1</f>
        <v>-2.4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2.4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D$37*Nøgletal!D$38*Nøgletal!D47+Nøgletal!D$65*Nøgletal!D$66*Nøgletal!D75+Nøgletal!D$93*Nøgletal!D$94*Nøgletal!D103+Nøgletal!D$121*Nøgletal!D$122*Nøgletal!D131+Nøgletal!D$149*Nøgletal!D$150*Nøgletal!D159+Nøgletal!D$181*Nøgletal!D$182*Nøgletal!D191+Nøgletal!D$211*Nøgletal!D$212*Nøgletal!D221+Nøgletal!D$240*Nøgletal!D$241*Nøgletal!D250</f>
        <v>2.4</v>
      </c>
      <c r="BX127" s="119"/>
      <c r="BY127" s="127">
        <f t="shared" si="78"/>
        <v>0</v>
      </c>
      <c r="BZ127" s="125">
        <v>0</v>
      </c>
    </row>
    <row r="128" spans="1:78" x14ac:dyDescent="0.25">
      <c r="C128" s="40">
        <f>C9+C68+' Plan Energi 2006'!C81</f>
        <v>0</v>
      </c>
      <c r="E128" s="40">
        <f>E9+E68+' Plan Energi 2006'!I81</f>
        <v>2.3760000000038417E-2</v>
      </c>
      <c r="F128" s="40">
        <f>F9+F68+' Plan Energi 2006'!W81</f>
        <v>0</v>
      </c>
      <c r="H128" s="40">
        <f>H9+H68+' Plan Energi 2006'!B81</f>
        <v>0</v>
      </c>
      <c r="I128" s="40">
        <f>I9+I68+' Plan Energi 2006'!D81</f>
        <v>0</v>
      </c>
      <c r="J128" s="40">
        <f>J9+J68+' Plan Energi 2006'!E81</f>
        <v>0</v>
      </c>
      <c r="K128" s="40">
        <f>K9+K68+' Plan Energi 2006'!F81</f>
        <v>0</v>
      </c>
      <c r="L128" s="40">
        <f>L9+L68+' Plan Energi 2006'!G81</f>
        <v>0</v>
      </c>
      <c r="M128" s="40">
        <f>M9+M68+' Plan Energi 2006'!H81</f>
        <v>0</v>
      </c>
      <c r="O128" s="40">
        <f>O9+O68+' Plan Energi 2006'!J81</f>
        <v>0</v>
      </c>
      <c r="P128" s="40">
        <f>P9+P68+' Plan Energi 2006'!K81</f>
        <v>0</v>
      </c>
      <c r="Q128" s="40">
        <f>Q9+Q68+' Plan Energi 2006'!L81</f>
        <v>0</v>
      </c>
      <c r="R128" s="40">
        <f>R9+R68+' Plan Energi 2006'!M81</f>
        <v>0</v>
      </c>
      <c r="S128" s="40">
        <f>S9+S68+' Plan Energi 2006'!N81</f>
        <v>0</v>
      </c>
      <c r="U128" s="40">
        <f>U9+U68+' Plan Energi 2006'!O81</f>
        <v>0</v>
      </c>
      <c r="V128" s="40">
        <f>V9+V68+' Plan Energi 2006'!P81</f>
        <v>0</v>
      </c>
      <c r="W128" s="40">
        <f>W9+W68+' Plan Energi 2006'!Q81</f>
        <v>0</v>
      </c>
      <c r="X128" s="40">
        <f>X9+X68+' Plan Energi 2006'!R81</f>
        <v>0</v>
      </c>
      <c r="Y128" s="40">
        <f>Y9+Y68+' Plan Energi 2006'!S81</f>
        <v>0</v>
      </c>
      <c r="Z128" s="40">
        <f>Z9+Z68+' Plan Energi 2006'!T81</f>
        <v>0</v>
      </c>
      <c r="AA128" s="40">
        <f>AA9+AA68+' Plan Energi 2006'!U81</f>
        <v>0</v>
      </c>
      <c r="AB128" s="40">
        <f>AB9+AB68+' Plan Energi 2006'!V81</f>
        <v>0</v>
      </c>
      <c r="AC128" s="143">
        <f>BR10-' Plan Energi 2006'!A15</f>
        <v>9.100079999711852E-3</v>
      </c>
      <c r="AD128" s="40">
        <f>AD68+SUM(' Plan Energi 2006'!AI39:AP68)+SUM(' Plan Energi 2006'!AI70:AP71)</f>
        <v>4.1138444800005232</v>
      </c>
      <c r="AK128" s="122"/>
      <c r="AP128" s="102"/>
      <c r="BA128" s="22"/>
    </row>
    <row r="129" spans="3:53" x14ac:dyDescent="0.25">
      <c r="C129" s="40"/>
      <c r="D129" s="40"/>
      <c r="E129" s="40"/>
      <c r="F129" s="40"/>
      <c r="AB129" s="231" t="s">
        <v>667</v>
      </c>
      <c r="AC129" s="143">
        <f>AC69-' Plan Energi 2006'!A15</f>
        <v>-411.11631919703404</v>
      </c>
      <c r="AD129" s="143">
        <f>BS10+BS11+BS18+BS57+BS65-(SUM(' Plan Energi 2006'!AF32:AF38,' Plan Energi 2006'!AF40:AF42,' Plan Energi 2006'!AF44:AF51,' Plan Energi 2006'!AF53:AF54,' Plan Energi 2006'!AF56:AF61,' Plan Energi 2006'!AF63:AF68))</f>
        <v>0</v>
      </c>
      <c r="AP129" s="1"/>
      <c r="BA129" s="22"/>
    </row>
    <row r="130" spans="3:53" x14ac:dyDescent="0.25">
      <c r="AP130" s="1"/>
      <c r="BA130" s="2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0"/>
  <dimension ref="A1:K20"/>
  <sheetViews>
    <sheetView workbookViewId="0">
      <selection activeCell="K7" sqref="K7"/>
    </sheetView>
  </sheetViews>
  <sheetFormatPr defaultRowHeight="15" x14ac:dyDescent="0.25"/>
  <cols>
    <col min="1" max="1" width="37.28515625" customWidth="1"/>
    <col min="2" max="4" width="15" style="231" customWidth="1"/>
    <col min="5" max="5" width="9.140625" style="231"/>
    <col min="6" max="8" width="15" style="231" customWidth="1"/>
    <col min="9" max="9" width="9.140625" style="231"/>
    <col min="10" max="10" width="15" customWidth="1"/>
  </cols>
  <sheetData>
    <row r="1" spans="1:11" s="231" customFormat="1" x14ac:dyDescent="0.25">
      <c r="B1" s="296">
        <v>2006</v>
      </c>
      <c r="C1" s="296">
        <v>2008</v>
      </c>
      <c r="D1" s="296">
        <v>2009</v>
      </c>
      <c r="E1" s="296">
        <v>2011</v>
      </c>
      <c r="F1" s="296">
        <v>2013</v>
      </c>
      <c r="G1" s="296">
        <v>2015</v>
      </c>
      <c r="H1" s="296">
        <v>2017</v>
      </c>
      <c r="I1" s="296">
        <v>2019</v>
      </c>
      <c r="J1" s="296">
        <v>2025</v>
      </c>
      <c r="K1" s="296">
        <v>2030</v>
      </c>
    </row>
    <row r="2" spans="1:11" x14ac:dyDescent="0.25">
      <c r="A2" s="148"/>
      <c r="B2" s="296" t="s">
        <v>665</v>
      </c>
      <c r="C2" s="296" t="s">
        <v>665</v>
      </c>
      <c r="D2" s="296" t="s">
        <v>665</v>
      </c>
      <c r="E2" s="296" t="s">
        <v>665</v>
      </c>
      <c r="F2" s="296" t="s">
        <v>665</v>
      </c>
      <c r="G2" s="296" t="s">
        <v>665</v>
      </c>
      <c r="H2" s="296" t="s">
        <v>665</v>
      </c>
      <c r="I2" s="296" t="s">
        <v>665</v>
      </c>
      <c r="J2" s="296" t="s">
        <v>665</v>
      </c>
      <c r="K2" s="296" t="s">
        <v>665</v>
      </c>
    </row>
    <row r="3" spans="1:11" x14ac:dyDescent="0.25">
      <c r="A3" s="148" t="s">
        <v>3</v>
      </c>
      <c r="B3" s="302">
        <f>' Plan Energi 2006'!$I$89/1000</f>
        <v>5.6780000000000004E-2</v>
      </c>
      <c r="C3" s="302">
        <f>' Plan Energi 2008'!$I$89/1000</f>
        <v>5.6770000000000001E-2</v>
      </c>
      <c r="D3" s="302">
        <f>' Plan Energi 2009'!$I$89/1000</f>
        <v>5.6689999999999997E-2</v>
      </c>
      <c r="E3" s="302">
        <f>' Plan Energi 2011'!$I$89/1000</f>
        <v>5.697E-2</v>
      </c>
      <c r="F3" s="302">
        <f>' Plan Energi 2013'!$I$89/1000</f>
        <v>5.7599999999999998E-2</v>
      </c>
      <c r="G3" s="302">
        <f>' Plan Energi 2015'!$I$89/1000</f>
        <v>5.7599999999999998E-2</v>
      </c>
      <c r="H3" s="302">
        <f>' Plan Energi 2017'!$I$89/1000</f>
        <v>5.7000000000000002E-2</v>
      </c>
      <c r="I3" s="302">
        <f>' Plan Energi 2019'!$I$89/1000</f>
        <v>5.7000000000000002E-2</v>
      </c>
      <c r="J3" s="302">
        <f>' Plan Energi 2030-S'!$I$89/1000</f>
        <v>5.7000000000000002E-2</v>
      </c>
      <c r="K3" s="302">
        <f>' Plan Energi 2030-S'!$I$89/1000</f>
        <v>5.7000000000000002E-2</v>
      </c>
    </row>
    <row r="4" spans="1:11" x14ac:dyDescent="0.25">
      <c r="A4" s="148" t="s">
        <v>1</v>
      </c>
      <c r="B4" s="302">
        <f>' Plan Energi 2006'!$C$89/1000</f>
        <v>9.5000000000000001E-2</v>
      </c>
      <c r="C4" s="302">
        <f>' Plan Energi 2008'!$C$89/1000</f>
        <v>9.5000000000000001E-2</v>
      </c>
      <c r="D4" s="302">
        <f>' Plan Energi 2009'!$C$89/1000</f>
        <v>9.5000000000000001E-2</v>
      </c>
      <c r="E4" s="302">
        <f>' Plan Energi 2011'!$C$89/1000</f>
        <v>9.5000000000000001E-2</v>
      </c>
      <c r="F4" s="302">
        <f>' Plan Energi 2013'!$C$89/1000</f>
        <v>9.425E-2</v>
      </c>
      <c r="G4" s="302">
        <f>' Plan Energi 2015'!$C$89/1000</f>
        <v>9.425E-2</v>
      </c>
      <c r="H4" s="302">
        <f>' Plan Energi 2017'!$C$89/1000</f>
        <v>9.4950000000000007E-2</v>
      </c>
      <c r="I4" s="302">
        <f>' Plan Energi 2019'!$C$89/1000</f>
        <v>9.4950000000000007E-2</v>
      </c>
      <c r="J4" s="302">
        <f>' Plan Energi 2030-S'!$C$89/1000</f>
        <v>9.4950000000000007E-2</v>
      </c>
      <c r="K4" s="302">
        <f>' Plan Energi 2030-S'!$C$89/1000</f>
        <v>9.4950000000000007E-2</v>
      </c>
    </row>
    <row r="5" spans="1:11" x14ac:dyDescent="0.25">
      <c r="A5" s="148" t="s">
        <v>471</v>
      </c>
      <c r="B5" s="302">
        <f>' Plan Energi 2006'!$W$89/1000</f>
        <v>7.8879999999999992E-2</v>
      </c>
      <c r="C5" s="302">
        <f>' Plan Energi 2008'!$W$89/1000</f>
        <v>7.8879999999999992E-2</v>
      </c>
      <c r="D5" s="302">
        <f>' Plan Energi 2009'!$W$89/1000</f>
        <v>7.8879999999999992E-2</v>
      </c>
      <c r="E5" s="302">
        <f>' Plan Energi 2011'!$W$89/1000</f>
        <v>8.2220000000000001E-2</v>
      </c>
      <c r="F5" s="302">
        <f>' Plan Energi 2013'!$W$89/1000</f>
        <v>8.2220000000000001E-2</v>
      </c>
      <c r="G5" s="302">
        <f>' Plan Energi 2015'!$W$89/1000</f>
        <v>8.2220000000000001E-2</v>
      </c>
      <c r="H5" s="302">
        <f>' Plan Energi 2017'!$W$89/1000</f>
        <v>8.2220000000000001E-2</v>
      </c>
      <c r="I5" s="302">
        <f>' Plan Energi 2019'!$W$89/1000</f>
        <v>8.2220000000000001E-2</v>
      </c>
      <c r="J5" s="302">
        <f>' Plan Energi 2030-S'!$W$89/1000</f>
        <v>8.2220000000000001E-2</v>
      </c>
      <c r="K5" s="302">
        <f>' Plan Energi 2030-S'!$W$89/1000</f>
        <v>8.2220000000000001E-2</v>
      </c>
    </row>
    <row r="6" spans="1:11" x14ac:dyDescent="0.25">
      <c r="A6" s="148" t="s">
        <v>461</v>
      </c>
      <c r="B6" s="302">
        <f>' Plan Energi 2006'!$A$89/1000</f>
        <v>0.21858000000000002</v>
      </c>
      <c r="C6" s="302">
        <f>' Plan Energi 2008'!$A$89/1000</f>
        <v>0.216</v>
      </c>
      <c r="D6" s="302">
        <f>' Plan Energi 2009'!$A$89/1000</f>
        <v>0.21</v>
      </c>
      <c r="E6" s="302">
        <f>' Plan Energi 2011'!$A$89/1000</f>
        <v>0.17599999999999999</v>
      </c>
      <c r="F6" s="302">
        <f>' Plan Energi 2013'!$A$89/1000</f>
        <v>0.16</v>
      </c>
      <c r="G6" s="302">
        <f>' Plan Energi 2015'!$A$89/1000</f>
        <v>0.121</v>
      </c>
      <c r="H6" s="302">
        <f>' Plan Energi 2017'!$A$89/1000</f>
        <v>0.11092</v>
      </c>
      <c r="I6" s="302">
        <f>' Plan Energi 2019'!$A$89/1000</f>
        <v>0.11092</v>
      </c>
      <c r="J6" s="302">
        <f>Elproduktion!R16</f>
        <v>0.111</v>
      </c>
      <c r="K6" s="302">
        <f>Elproduktion!T16</f>
        <v>0</v>
      </c>
    </row>
    <row r="7" spans="1:11" x14ac:dyDescent="0.25">
      <c r="A7" s="148" t="s">
        <v>472</v>
      </c>
      <c r="B7" s="302">
        <f>' Plan Energi 2006'!$B$89/1000</f>
        <v>6.5000000000000002E-2</v>
      </c>
      <c r="C7" s="302">
        <f>' Plan Energi 2008'!$B$89/1000</f>
        <v>6.5000000000000002E-2</v>
      </c>
      <c r="D7" s="302">
        <f>' Plan Energi 2009'!$B$89/1000</f>
        <v>6.5000000000000002E-2</v>
      </c>
      <c r="E7" s="302">
        <f>' Plan Energi 2011'!$B$89/1000</f>
        <v>6.5000000000000002E-2</v>
      </c>
      <c r="F7" s="302">
        <f>' Plan Energi 2013'!$B$89/1000</f>
        <v>6.3100000000000003E-2</v>
      </c>
      <c r="G7" s="302">
        <f>' Plan Energi 2015'!$B$89/1000</f>
        <v>6.3100000000000003E-2</v>
      </c>
      <c r="H7" s="302">
        <f>' Plan Energi 2017'!$B$89/1000</f>
        <v>6.3100000000000003E-2</v>
      </c>
      <c r="I7" s="302">
        <f>' Plan Energi 2019'!$B$89/1000</f>
        <v>6.3100000000000003E-2</v>
      </c>
      <c r="J7" s="302">
        <f>' Plan Energi 2030-S'!$B$89/1000</f>
        <v>6.3100000000000003E-2</v>
      </c>
      <c r="K7" s="302">
        <f>' Plan Energi 2030-S'!$B$89/1000</f>
        <v>6.3100000000000003E-2</v>
      </c>
    </row>
    <row r="8" spans="1:11" x14ac:dyDescent="0.25">
      <c r="A8" s="148" t="s">
        <v>7</v>
      </c>
      <c r="B8" s="302">
        <f>' Plan Energi 2006'!$D$89/1000</f>
        <v>7.8E-2</v>
      </c>
      <c r="C8" s="302">
        <f>' Plan Energi 2008'!$D$89/1000</f>
        <v>7.8E-2</v>
      </c>
      <c r="D8" s="302">
        <f>' Plan Energi 2009'!$D$89/1000</f>
        <v>7.8E-2</v>
      </c>
      <c r="E8" s="302">
        <f>' Plan Energi 2011'!$D$89/1000</f>
        <v>7.8E-2</v>
      </c>
      <c r="F8" s="302">
        <f>' Plan Energi 2013'!$D$89/1000</f>
        <v>7.8E-2</v>
      </c>
      <c r="G8" s="302">
        <f>' Plan Energi 2015'!$D$89/1000</f>
        <v>7.8E-2</v>
      </c>
      <c r="H8" s="302">
        <f>' Plan Energi 2017'!$D$89/1000</f>
        <v>7.8840000000000007E-2</v>
      </c>
      <c r="I8" s="302">
        <f>' Plan Energi 2019'!$D$89/1000</f>
        <v>7.8840000000000007E-2</v>
      </c>
      <c r="J8" s="302">
        <f>' Plan Energi 2030-S'!$D$89/1000</f>
        <v>7.8840000000000007E-2</v>
      </c>
      <c r="K8" s="302">
        <f>' Plan Energi 2030-S'!$D$89/1000</f>
        <v>7.8840000000000007E-2</v>
      </c>
    </row>
    <row r="9" spans="1:11" x14ac:dyDescent="0.25">
      <c r="A9" s="148" t="s">
        <v>8</v>
      </c>
      <c r="B9" s="302">
        <f>' Plan Energi 2006'!$E$89/1000</f>
        <v>7.3999999999999996E-2</v>
      </c>
      <c r="C9" s="302">
        <f>' Plan Energi 2008'!$E$89/1000</f>
        <v>7.3999999999999996E-2</v>
      </c>
      <c r="D9" s="302">
        <f>' Plan Energi 2009'!$E$89/1000</f>
        <v>7.3999999999999996E-2</v>
      </c>
      <c r="E9" s="302">
        <f>' Plan Energi 2011'!$E$89/1000</f>
        <v>7.3999999999999996E-2</v>
      </c>
      <c r="F9" s="302">
        <f>' Plan Energi 2013'!$E$89/1000</f>
        <v>7.3999999999999996E-2</v>
      </c>
      <c r="G9" s="302">
        <f>' Plan Energi 2015'!$E$89/1000</f>
        <v>7.3999999999999996E-2</v>
      </c>
      <c r="H9" s="302">
        <f>' Plan Energi 2017'!$E$89/1000</f>
        <v>7.3999999999999996E-2</v>
      </c>
      <c r="I9" s="302">
        <f>' Plan Energi 2019'!$E$89/1000</f>
        <v>7.3999999999999996E-2</v>
      </c>
      <c r="J9" s="302">
        <f>' Plan Energi 2030-S'!$E$89/1000</f>
        <v>7.3999999999999996E-2</v>
      </c>
      <c r="K9" s="302">
        <f>' Plan Energi 2030-S'!$E$89/1000</f>
        <v>7.3999999999999996E-2</v>
      </c>
    </row>
    <row r="10" spans="1:11" x14ac:dyDescent="0.25">
      <c r="A10" s="148" t="s">
        <v>473</v>
      </c>
      <c r="B10" s="302">
        <f>' Plan Energi 2006'!$F$89/1000</f>
        <v>7.3999999999999996E-2</v>
      </c>
      <c r="C10" s="302">
        <f>' Plan Energi 2008'!$F$89/1000</f>
        <v>7.3999999999999996E-2</v>
      </c>
      <c r="D10" s="302">
        <f>' Plan Energi 2009'!$F$89/1000</f>
        <v>7.3999999999999996E-2</v>
      </c>
      <c r="E10" s="302">
        <f>' Plan Energi 2011'!$F$89/1000</f>
        <v>7.3999999999999996E-2</v>
      </c>
      <c r="F10" s="302">
        <f>' Plan Energi 2013'!$F$89/1000</f>
        <v>7.3999999999999996E-2</v>
      </c>
      <c r="G10" s="302">
        <f>' Plan Energi 2015'!$F$89/1000</f>
        <v>7.3999999999999996E-2</v>
      </c>
      <c r="H10" s="302">
        <f>' Plan Energi 2017'!$F$89/1000</f>
        <v>7.3999999999999996E-2</v>
      </c>
      <c r="I10" s="302">
        <f>' Plan Energi 2019'!$F$89/1000</f>
        <v>7.3999999999999996E-2</v>
      </c>
      <c r="J10" s="302">
        <f>' Plan Energi 2030-S'!$F$89/1000</f>
        <v>7.3999999999999996E-2</v>
      </c>
      <c r="K10" s="302">
        <f>' Plan Energi 2030-S'!$F$89/1000</f>
        <v>7.3999999999999996E-2</v>
      </c>
    </row>
    <row r="11" spans="1:11" x14ac:dyDescent="0.25">
      <c r="A11" s="148" t="s">
        <v>10</v>
      </c>
      <c r="B11" s="302">
        <f>' Plan Energi 2006'!$G$89/1000</f>
        <v>7.1999999999999995E-2</v>
      </c>
      <c r="C11" s="302">
        <f>' Plan Energi 2008'!$G$89/1000</f>
        <v>7.1999999999999995E-2</v>
      </c>
      <c r="D11" s="302">
        <f>' Plan Energi 2009'!$G$89/1000</f>
        <v>7.1999999999999995E-2</v>
      </c>
      <c r="E11" s="302">
        <f>' Plan Energi 2011'!$G$89/1000</f>
        <v>7.1999999999999995E-2</v>
      </c>
      <c r="F11" s="302">
        <f>' Plan Energi 2013'!$G$89/1000</f>
        <v>7.1999999999999995E-2</v>
      </c>
      <c r="G11" s="302">
        <f>' Plan Energi 2015'!$G$89/1000</f>
        <v>7.1999999999999995E-2</v>
      </c>
      <c r="H11" s="302">
        <f>' Plan Energi 2017'!$G$89/1000</f>
        <v>7.1999999999999995E-2</v>
      </c>
      <c r="I11" s="302">
        <f>' Plan Energi 2019'!$G$89/1000</f>
        <v>7.1999999999999995E-2</v>
      </c>
      <c r="J11" s="302">
        <f>' Plan Energi 2030-S'!$G$89/1000</f>
        <v>7.1999999999999995E-2</v>
      </c>
      <c r="K11" s="302">
        <f>' Plan Energi 2030-S'!$G$89/1000</f>
        <v>7.1999999999999995E-2</v>
      </c>
    </row>
    <row r="12" spans="1:11" x14ac:dyDescent="0.25">
      <c r="A12" s="148" t="s">
        <v>11</v>
      </c>
      <c r="B12" s="302">
        <f>' Plan Energi 2006'!$H$89/1000</f>
        <v>7.2999999999999995E-2</v>
      </c>
      <c r="C12" s="302">
        <f>' Plan Energi 2008'!$H$89/1000</f>
        <v>7.2999999999999995E-2</v>
      </c>
      <c r="D12" s="302">
        <f>' Plan Energi 2009'!$H$89/1000</f>
        <v>7.2999999999999995E-2</v>
      </c>
      <c r="E12" s="302">
        <f>' Plan Energi 2011'!$H$89/1000</f>
        <v>7.2999999999999995E-2</v>
      </c>
      <c r="F12" s="302">
        <f>' Plan Energi 2013'!$H$89/1000</f>
        <v>7.2999999999999995E-2</v>
      </c>
      <c r="G12" s="302">
        <f>' Plan Energi 2015'!$H$89/1000</f>
        <v>7.2999999999999995E-2</v>
      </c>
      <c r="H12" s="302">
        <f>' Plan Energi 2017'!$H$89/1000</f>
        <v>7.2999999999999995E-2</v>
      </c>
      <c r="I12" s="302">
        <f>' Plan Energi 2019'!$H$89/1000</f>
        <v>7.2999999999999995E-2</v>
      </c>
      <c r="J12" s="302">
        <f>' Plan Energi 2030-S'!$H$89/1000</f>
        <v>7.2999999999999995E-2</v>
      </c>
      <c r="K12" s="302">
        <f>' Plan Energi 2030-S'!$H$89/1000</f>
        <v>7.2999999999999995E-2</v>
      </c>
    </row>
    <row r="13" spans="1:11" ht="18" x14ac:dyDescent="0.35">
      <c r="A13" s="298" t="s">
        <v>662</v>
      </c>
      <c r="B13" s="299">
        <v>0.1</v>
      </c>
      <c r="C13" s="299">
        <v>0.1</v>
      </c>
      <c r="D13" s="299">
        <v>0.1</v>
      </c>
      <c r="E13" s="299">
        <v>0.1</v>
      </c>
      <c r="F13" s="299">
        <v>0.1</v>
      </c>
      <c r="G13" s="299">
        <v>0.1</v>
      </c>
      <c r="H13" s="299">
        <v>0.1</v>
      </c>
      <c r="I13" s="299">
        <v>0.1</v>
      </c>
      <c r="J13" s="299">
        <v>0.1</v>
      </c>
      <c r="K13" s="299">
        <v>0.1</v>
      </c>
    </row>
    <row r="14" spans="1:11" x14ac:dyDescent="0.25">
      <c r="A14" s="298" t="s">
        <v>663</v>
      </c>
      <c r="B14" s="298">
        <f>Raffinaderi!B30</f>
        <v>0</v>
      </c>
      <c r="C14" s="298">
        <f>Raffinaderi!C30</f>
        <v>0</v>
      </c>
      <c r="D14" s="298">
        <f>Raffinaderi!D30</f>
        <v>0</v>
      </c>
      <c r="E14" s="298">
        <f>Raffinaderi!E30</f>
        <v>0</v>
      </c>
      <c r="F14" s="298">
        <f>Raffinaderi!F30</f>
        <v>0</v>
      </c>
      <c r="G14" s="298">
        <f>Raffinaderi!G30</f>
        <v>0</v>
      </c>
      <c r="H14" s="298">
        <f>Raffinaderi!H30</f>
        <v>0</v>
      </c>
      <c r="I14" s="299">
        <v>0</v>
      </c>
      <c r="J14" s="298">
        <f>Raffinaderi!J30</f>
        <v>7.2999999999999995E-2</v>
      </c>
      <c r="K14" s="298">
        <f>Raffinaderi!K30</f>
        <v>7.2999999999999995E-2</v>
      </c>
    </row>
    <row r="20" spans="1:11" x14ac:dyDescent="0.25">
      <c r="A20" s="148" t="s">
        <v>474</v>
      </c>
      <c r="B20" s="231">
        <v>0.45</v>
      </c>
      <c r="C20" s="231">
        <v>0.45</v>
      </c>
      <c r="D20" s="231">
        <v>0.45</v>
      </c>
      <c r="E20" s="231">
        <v>0.45</v>
      </c>
      <c r="F20" s="231">
        <v>0.45</v>
      </c>
      <c r="G20" s="231">
        <v>0.45</v>
      </c>
      <c r="H20" s="231">
        <v>0.45</v>
      </c>
      <c r="I20" s="231">
        <v>0.45</v>
      </c>
      <c r="J20" s="148">
        <v>0.45</v>
      </c>
      <c r="K20">
        <v>0.45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2"/>
  <dimension ref="A1:U118"/>
  <sheetViews>
    <sheetView workbookViewId="0">
      <pane ySplit="1" topLeftCell="A34" activePane="bottomLeft" state="frozen"/>
      <selection pane="bottomLeft" activeCell="M81" sqref="M81"/>
    </sheetView>
  </sheetViews>
  <sheetFormatPr defaultRowHeight="15" x14ac:dyDescent="0.25"/>
  <cols>
    <col min="1" max="1" width="54.28515625" style="582" customWidth="1"/>
    <col min="2" max="2" width="14.42578125" style="582" hidden="1" customWidth="1"/>
    <col min="3" max="3" width="14.28515625" style="582" hidden="1" customWidth="1"/>
    <col min="4" max="4" width="15.28515625" style="582" hidden="1" customWidth="1"/>
    <col min="5" max="5" width="13.7109375" style="582" hidden="1" customWidth="1"/>
    <col min="6" max="6" width="12.5703125" style="582" customWidth="1"/>
    <col min="7" max="7" width="13.85546875" style="582" customWidth="1"/>
    <col min="8" max="8" width="11.28515625" style="582" customWidth="1"/>
    <col min="9" max="9" width="14" style="582" customWidth="1"/>
    <col min="10" max="10" width="11.28515625" style="582" hidden="1" customWidth="1"/>
    <col min="11" max="11" width="14" style="582" hidden="1" customWidth="1"/>
    <col min="12" max="12" width="15" style="582" customWidth="1"/>
    <col min="13" max="13" width="16.85546875" style="582" customWidth="1"/>
    <col min="14" max="14" width="9.140625" style="582"/>
    <col min="15" max="15" width="16.85546875" style="582" customWidth="1"/>
    <col min="16" max="16" width="9.140625" style="582"/>
    <col min="17" max="17" width="10.7109375" style="582" customWidth="1"/>
    <col min="18" max="16384" width="9.140625" style="582"/>
  </cols>
  <sheetData>
    <row r="1" spans="1:19" x14ac:dyDescent="0.25">
      <c r="A1" s="604" t="s">
        <v>792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761">
        <f>Nøgletal!T2</f>
        <v>379.27115877733439</v>
      </c>
      <c r="M1" s="762"/>
      <c r="N1" s="763">
        <f>Nøgletal!V2</f>
        <v>255.10348315360176</v>
      </c>
      <c r="O1" s="762"/>
      <c r="P1" s="603"/>
      <c r="Q1" s="604" t="s">
        <v>796</v>
      </c>
      <c r="R1" s="605">
        <f>Nøgletal!R2*0.4</f>
        <v>152.00699862265944</v>
      </c>
      <c r="S1" s="582" t="s">
        <v>797</v>
      </c>
    </row>
    <row r="2" spans="1:19" x14ac:dyDescent="0.25">
      <c r="A2" s="604" t="s">
        <v>793</v>
      </c>
      <c r="B2" s="623">
        <v>2006</v>
      </c>
      <c r="C2" s="623">
        <v>2008</v>
      </c>
      <c r="D2" s="623">
        <v>2009</v>
      </c>
      <c r="E2" s="623">
        <v>2011</v>
      </c>
      <c r="F2" s="623">
        <v>2013</v>
      </c>
      <c r="G2" s="624">
        <v>2015</v>
      </c>
      <c r="H2" s="766">
        <v>2017</v>
      </c>
      <c r="I2" s="766"/>
      <c r="J2" s="766">
        <v>2017</v>
      </c>
      <c r="K2" s="766"/>
      <c r="L2" s="762">
        <v>2025</v>
      </c>
      <c r="M2" s="762"/>
      <c r="N2" s="772">
        <v>2030</v>
      </c>
      <c r="O2" s="762"/>
      <c r="P2" s="604"/>
      <c r="Q2" s="604"/>
      <c r="R2" s="604"/>
    </row>
    <row r="3" spans="1:19" ht="18" x14ac:dyDescent="0.35">
      <c r="A3" s="604" t="s">
        <v>794</v>
      </c>
      <c r="B3" s="625">
        <f>Nøgletal!D5</f>
        <v>12.734471399999999</v>
      </c>
      <c r="C3" s="625">
        <f>Nøgletal!F5</f>
        <v>10.962430029999998</v>
      </c>
      <c r="D3" s="625">
        <f>Nøgletal!H5</f>
        <v>10.018314699999999</v>
      </c>
      <c r="E3" s="625">
        <f>Nøgletal!J5</f>
        <v>7.7167789999999981</v>
      </c>
      <c r="F3" s="625">
        <f>Nøgletal!L5</f>
        <v>6.8095543439369921</v>
      </c>
      <c r="G3" s="626">
        <f>Nøgletal!N5</f>
        <v>5.7743180000000001</v>
      </c>
      <c r="H3" s="768">
        <f>Nøgletal!P5</f>
        <v>4.0035949999999998</v>
      </c>
      <c r="I3" s="768"/>
      <c r="J3" s="768">
        <f>Nøgletal!R5</f>
        <v>4.0035949999999998</v>
      </c>
      <c r="K3" s="768"/>
      <c r="L3" s="767">
        <f>Nøgletal!T5</f>
        <v>3.9129542500000003</v>
      </c>
      <c r="M3" s="767"/>
      <c r="N3" s="773">
        <f>Nøgletal!V5</f>
        <v>4.3831274316708608</v>
      </c>
      <c r="O3" s="767"/>
      <c r="P3" s="604"/>
      <c r="Q3" s="604"/>
      <c r="R3" s="604"/>
    </row>
    <row r="4" spans="1:19" ht="18" x14ac:dyDescent="0.35">
      <c r="A4" s="604" t="s">
        <v>552</v>
      </c>
      <c r="B4" s="627">
        <f>Nøgletal!E5</f>
        <v>2.7724250922488727E-2</v>
      </c>
      <c r="C4" s="627">
        <f>Nøgletal!G5</f>
        <v>2.1312562610224933E-2</v>
      </c>
      <c r="D4" s="627">
        <f>Nøgletal!I5</f>
        <v>2.0237182085561467E-2</v>
      </c>
      <c r="E4" s="627">
        <f>Nøgletal!K5</f>
        <v>1.7941512776127662E-2</v>
      </c>
      <c r="F4" s="627">
        <f>Nøgletal!M5</f>
        <v>1.5964154897692519E-2</v>
      </c>
      <c r="G4" s="628">
        <f>Nøgletal!O5</f>
        <v>1.4136686727040135E-2</v>
      </c>
      <c r="H4" s="769">
        <f>Nøgletal!Q5</f>
        <v>1.0535291233368754E-2</v>
      </c>
      <c r="I4" s="769"/>
      <c r="J4" s="769">
        <f>Nøgletal!S5</f>
        <v>1.0535291233368754E-2</v>
      </c>
      <c r="K4" s="769"/>
      <c r="L4" s="765">
        <f>L3/Nøgletal!T2</f>
        <v>1.0317036134817858E-2</v>
      </c>
      <c r="M4" s="765"/>
      <c r="N4" s="774">
        <f>Nøgletal!W5</f>
        <v>1.7181762387116103E-2</v>
      </c>
      <c r="O4" s="765"/>
      <c r="P4" s="604"/>
      <c r="Q4" s="604"/>
      <c r="R4" s="604"/>
    </row>
    <row r="5" spans="1:19" ht="18" x14ac:dyDescent="0.35">
      <c r="A5" s="604" t="s">
        <v>795</v>
      </c>
      <c r="B5" s="625">
        <f>Nøgletal!D6</f>
        <v>201.14651332948455</v>
      </c>
      <c r="C5" s="625">
        <f>Nøgletal!F6</f>
        <v>222.23480226559903</v>
      </c>
      <c r="D5" s="625">
        <f>Nøgletal!H6</f>
        <v>219.38066264042942</v>
      </c>
      <c r="E5" s="625">
        <f>Nøgletal!J6</f>
        <v>194.92665253784114</v>
      </c>
      <c r="F5" s="625">
        <f>Nøgletal!L6</f>
        <v>183.53046858136406</v>
      </c>
      <c r="G5" s="626">
        <f>Nøgletal!N6</f>
        <v>209.03370970343639</v>
      </c>
      <c r="H5" s="768">
        <f>Nøgletal!P6</f>
        <v>107.05595877397511</v>
      </c>
      <c r="I5" s="768"/>
      <c r="J5" s="768">
        <f>Nøgletal!R6</f>
        <v>107.05595877397511</v>
      </c>
      <c r="K5" s="768"/>
      <c r="L5" s="767">
        <f>Nøgletal!T6</f>
        <v>107.24534186162556</v>
      </c>
      <c r="M5" s="767"/>
      <c r="N5" s="773">
        <f>Nøgletal!V6</f>
        <v>70.933180218914245</v>
      </c>
      <c r="O5" s="767"/>
      <c r="P5" s="604"/>
      <c r="Q5" s="604"/>
      <c r="R5" s="604"/>
    </row>
    <row r="6" spans="1:19" ht="18" x14ac:dyDescent="0.35">
      <c r="A6" s="604" t="s">
        <v>553</v>
      </c>
      <c r="B6" s="627">
        <f>Nøgletal!E6</f>
        <v>0.43791659917115627</v>
      </c>
      <c r="C6" s="627">
        <f>Nøgletal!G6</f>
        <v>0.43205686371496388</v>
      </c>
      <c r="D6" s="627">
        <f>Nøgletal!I6</f>
        <v>0.44315302012877494</v>
      </c>
      <c r="E6" s="627">
        <f>Nøgletal!K6</f>
        <v>0.45320450759513459</v>
      </c>
      <c r="F6" s="627">
        <f>Nøgletal!M6</f>
        <v>0.43026440217599299</v>
      </c>
      <c r="G6" s="628">
        <f>Nøgletal!O6</f>
        <v>0.51175637875650948</v>
      </c>
      <c r="H6" s="769">
        <f>Nøgletal!Q6</f>
        <v>0.28171323621678684</v>
      </c>
      <c r="I6" s="769"/>
      <c r="J6" s="769">
        <f>Nøgletal!S6</f>
        <v>0.28171323621678684</v>
      </c>
      <c r="K6" s="769"/>
      <c r="L6" s="765">
        <f>Nøgletal!U6</f>
        <v>0.28276693173125783</v>
      </c>
      <c r="M6" s="765"/>
      <c r="N6" s="774">
        <f>Nøgletal!W6</f>
        <v>0.27805649433725793</v>
      </c>
      <c r="O6" s="765"/>
      <c r="P6" s="604"/>
      <c r="Q6" s="604"/>
      <c r="R6" s="604"/>
    </row>
    <row r="7" spans="1:19" x14ac:dyDescent="0.25">
      <c r="A7" s="629" t="s">
        <v>343</v>
      </c>
      <c r="B7" s="630"/>
      <c r="C7" s="630" t="s">
        <v>491</v>
      </c>
      <c r="D7" s="630" t="s">
        <v>491</v>
      </c>
      <c r="E7" s="630" t="s">
        <v>491</v>
      </c>
      <c r="F7" s="630" t="s">
        <v>491</v>
      </c>
      <c r="G7" s="630" t="s">
        <v>491</v>
      </c>
      <c r="H7" s="630" t="s">
        <v>0</v>
      </c>
      <c r="I7" s="630" t="s">
        <v>491</v>
      </c>
      <c r="J7" s="630" t="s">
        <v>0</v>
      </c>
      <c r="K7" s="630" t="s">
        <v>491</v>
      </c>
      <c r="L7" s="589" t="s">
        <v>0</v>
      </c>
      <c r="M7" s="589" t="s">
        <v>491</v>
      </c>
      <c r="N7" s="590" t="s">
        <v>0</v>
      </c>
      <c r="O7" s="590" t="s">
        <v>491</v>
      </c>
      <c r="P7" s="591" t="s">
        <v>807</v>
      </c>
    </row>
    <row r="8" spans="1:19" x14ac:dyDescent="0.25">
      <c r="A8" s="631" t="s">
        <v>485</v>
      </c>
      <c r="B8" s="630">
        <f>Nøgletal!D29</f>
        <v>240.43266247256781</v>
      </c>
      <c r="C8" s="632">
        <f>Nøgletal!G29</f>
        <v>2.3737653684760616E-3</v>
      </c>
      <c r="D8" s="632">
        <f>Nøgletal!I29</f>
        <v>2.5146043875529319E-2</v>
      </c>
      <c r="E8" s="632">
        <f>Nøgletal!K29</f>
        <v>-9.463399503407896E-3</v>
      </c>
      <c r="F8" s="632">
        <f>Nøgletal!M29</f>
        <v>-3.098097389807037E-2</v>
      </c>
      <c r="G8" s="632">
        <f>Nøgletal!O29</f>
        <v>-4.0602466133209544E-2</v>
      </c>
      <c r="H8" s="630">
        <f>Nøgletal!P29</f>
        <v>199.7</v>
      </c>
      <c r="I8" s="632">
        <f>Nøgletal!Q29</f>
        <v>-2.3161413562559734E-2</v>
      </c>
      <c r="J8" s="630">
        <f>Nøgletal!R29</f>
        <v>199.7</v>
      </c>
      <c r="K8" s="632">
        <f>Nøgletal!S29</f>
        <v>0</v>
      </c>
      <c r="L8" s="606">
        <f>SUM(L9:L12)</f>
        <v>199.7</v>
      </c>
      <c r="M8" s="592">
        <v>0</v>
      </c>
      <c r="N8" s="607">
        <f>SUM(N9:N12)</f>
        <v>203.7872060548562</v>
      </c>
      <c r="O8" s="592">
        <v>5.0000000000000001E-3</v>
      </c>
      <c r="P8" s="593"/>
    </row>
    <row r="9" spans="1:19" ht="15" customHeight="1" x14ac:dyDescent="0.25">
      <c r="A9" s="604" t="s">
        <v>307</v>
      </c>
      <c r="B9" s="630">
        <f>Nøgletal!D30</f>
        <v>19.26512081375683</v>
      </c>
      <c r="C9" s="632">
        <f>Nøgletal!G30</f>
        <v>2.3737653684759805E-3</v>
      </c>
      <c r="D9" s="632">
        <f>Nøgletal!I30</f>
        <v>2.5146043875529364E-2</v>
      </c>
      <c r="E9" s="632">
        <f>Nøgletal!K30</f>
        <v>-9.4633995034080227E-3</v>
      </c>
      <c r="F9" s="632">
        <f>Nøgletal!M30</f>
        <v>-3.0980973898070231E-2</v>
      </c>
      <c r="G9" s="632">
        <f>Nøgletal!O30</f>
        <v>-4.0015717020556271E-2</v>
      </c>
      <c r="H9" s="630">
        <f>Nøgletal!P30</f>
        <v>16</v>
      </c>
      <c r="I9" s="632">
        <f>Nøgletal!Q30</f>
        <v>-2.3809523809523829E-2</v>
      </c>
      <c r="J9" s="630">
        <f>Nøgletal!R30</f>
        <v>16</v>
      </c>
      <c r="K9" s="632">
        <f>Nøgletal!S30</f>
        <v>0</v>
      </c>
      <c r="L9" s="594">
        <f t="shared" ref="L9:L14" si="0">J9*(1+M9)^(L$2-J$2)</f>
        <v>16</v>
      </c>
      <c r="M9" s="592">
        <f>M$8</f>
        <v>0</v>
      </c>
      <c r="N9" s="595">
        <f t="shared" ref="N9:N14" si="1">J9*(1+O9)^(N$2-J$2)</f>
        <v>17.133328055887436</v>
      </c>
      <c r="O9" s="592">
        <v>5.2782545097671552E-3</v>
      </c>
      <c r="P9" s="608">
        <f>'BF - elapparater'!B15</f>
        <v>5.2782545097671552E-3</v>
      </c>
      <c r="Q9" s="596"/>
    </row>
    <row r="10" spans="1:19" ht="15" customHeight="1" x14ac:dyDescent="0.25">
      <c r="A10" s="604" t="s">
        <v>305</v>
      </c>
      <c r="B10" s="630">
        <f>Nøgletal!D31</f>
        <v>21.892182742905486</v>
      </c>
      <c r="C10" s="632">
        <f>Nøgletal!G31</f>
        <v>2.3737653684760621E-3</v>
      </c>
      <c r="D10" s="632">
        <f>Nøgletal!I31</f>
        <v>2.5146043875529305E-2</v>
      </c>
      <c r="E10" s="632">
        <f>Nøgletal!K31</f>
        <v>-9.4633995034079429E-3</v>
      </c>
      <c r="F10" s="632">
        <f>Nøgletal!M31</f>
        <v>-3.0980973898070384E-2</v>
      </c>
      <c r="G10" s="632">
        <f>Nøgletal!O31</f>
        <v>-3.9796676885804058E-2</v>
      </c>
      <c r="H10" s="630">
        <f>Nøgletal!P31</f>
        <v>18.2</v>
      </c>
      <c r="I10" s="632">
        <f>Nøgletal!Q31</f>
        <v>-2.3560209424083822E-2</v>
      </c>
      <c r="J10" s="630">
        <f>Nøgletal!R31</f>
        <v>18.2</v>
      </c>
      <c r="K10" s="632">
        <f>Nøgletal!S31</f>
        <v>0</v>
      </c>
      <c r="L10" s="594">
        <f t="shared" si="0"/>
        <v>18.2</v>
      </c>
      <c r="M10" s="592">
        <f>M$8</f>
        <v>0</v>
      </c>
      <c r="N10" s="595">
        <f t="shared" si="1"/>
        <v>15.616118964058028</v>
      </c>
      <c r="O10" s="592">
        <v>-1.1709210879118914E-2</v>
      </c>
      <c r="P10" s="609">
        <f>'BF - elapparater'!B16</f>
        <v>-1.1709210879118914E-2</v>
      </c>
      <c r="Q10" s="596"/>
    </row>
    <row r="11" spans="1:19" ht="15" customHeight="1" x14ac:dyDescent="0.25">
      <c r="A11" s="604" t="s">
        <v>309</v>
      </c>
      <c r="B11" s="630">
        <f>Nøgletal!D32</f>
        <v>77.540698876484612</v>
      </c>
      <c r="C11" s="632">
        <f>Nøgletal!G32</f>
        <v>2.3737653684759905E-3</v>
      </c>
      <c r="D11" s="632">
        <f>Nøgletal!I32</f>
        <v>2.5146043875529392E-2</v>
      </c>
      <c r="E11" s="632">
        <f>Nøgletal!K32</f>
        <v>-9.4633995034079915E-3</v>
      </c>
      <c r="F11" s="632">
        <f>Nøgletal!M32</f>
        <v>-3.0980973898070304E-2</v>
      </c>
      <c r="G11" s="632">
        <f>Nøgletal!O32</f>
        <v>-4.0823651943822321E-2</v>
      </c>
      <c r="H11" s="630">
        <f>Nøgletal!P32</f>
        <v>64.400000000000006</v>
      </c>
      <c r="I11" s="632">
        <f>Nøgletal!Q32</f>
        <v>-2.2962962962962921E-2</v>
      </c>
      <c r="J11" s="630">
        <f>Nøgletal!R32</f>
        <v>64.400000000000006</v>
      </c>
      <c r="K11" s="632">
        <f>Nøgletal!S32</f>
        <v>0</v>
      </c>
      <c r="L11" s="594">
        <f t="shared" si="0"/>
        <v>64.400000000000006</v>
      </c>
      <c r="M11" s="592">
        <f>M$8</f>
        <v>0</v>
      </c>
      <c r="N11" s="595">
        <f t="shared" si="1"/>
        <v>66.554874210563469</v>
      </c>
      <c r="O11" s="592">
        <v>2.5349884618970364E-3</v>
      </c>
      <c r="P11" s="609">
        <f>'BF - elapparater'!B17</f>
        <v>2.5349884618970364E-3</v>
      </c>
      <c r="Q11" s="596"/>
    </row>
    <row r="12" spans="1:19" ht="15" customHeight="1" x14ac:dyDescent="0.25">
      <c r="A12" s="604" t="s">
        <v>290</v>
      </c>
      <c r="B12" s="630">
        <f>Nøgletal!D33</f>
        <v>121.7346600394209</v>
      </c>
      <c r="C12" s="632">
        <f>Nøgletal!G33</f>
        <v>2.3737653684761046E-3</v>
      </c>
      <c r="D12" s="632">
        <f>Nøgletal!I33</f>
        <v>2.5146043875529295E-2</v>
      </c>
      <c r="E12" s="632">
        <f>Nøgletal!K33</f>
        <v>-9.4633995034079463E-3</v>
      </c>
      <c r="F12" s="632">
        <f>Nøgletal!M33</f>
        <v>-3.098097389807029E-2</v>
      </c>
      <c r="G12" s="632">
        <f>Nøgletal!O33</f>
        <v>-4.0699343847895017E-2</v>
      </c>
      <c r="H12" s="630">
        <f>Nøgletal!P33</f>
        <v>101.1</v>
      </c>
      <c r="I12" s="632">
        <f>Nøgletal!Q33</f>
        <v>-2.3113207547169837E-2</v>
      </c>
      <c r="J12" s="630">
        <f>Nøgletal!R33</f>
        <v>101.1</v>
      </c>
      <c r="K12" s="632">
        <f>Nøgletal!S33</f>
        <v>0</v>
      </c>
      <c r="L12" s="594">
        <f t="shared" si="0"/>
        <v>101.1</v>
      </c>
      <c r="M12" s="592">
        <f>M$8</f>
        <v>0</v>
      </c>
      <c r="N12" s="595">
        <f t="shared" si="1"/>
        <v>104.48288482434728</v>
      </c>
      <c r="O12" s="592">
        <v>2.5349884618970364E-3</v>
      </c>
      <c r="P12" s="609">
        <f>'BF - elapparater'!B18</f>
        <v>2.5349884618970364E-3</v>
      </c>
      <c r="Q12" s="596"/>
    </row>
    <row r="13" spans="1:19" x14ac:dyDescent="0.25">
      <c r="A13" s="631" t="s">
        <v>345</v>
      </c>
      <c r="B13" s="630">
        <f>Nøgletal!D34</f>
        <v>2.4244000000000003</v>
      </c>
      <c r="C13" s="632">
        <f>Nøgletal!G34</f>
        <v>-9.8746081504702155E-2</v>
      </c>
      <c r="D13" s="632">
        <f>Nøgletal!I34</f>
        <v>-0.13281250000000017</v>
      </c>
      <c r="E13" s="632">
        <f>Nøgletal!K34</f>
        <v>-2.0270270270270275E-2</v>
      </c>
      <c r="F13" s="632">
        <f>Nøgletal!M34</f>
        <v>-2.1475187343420431E-2</v>
      </c>
      <c r="G13" s="632">
        <f>Nøgletal!O34</f>
        <v>1.26278885255961E-2</v>
      </c>
      <c r="H13" s="630">
        <f>Nøgletal!P34</f>
        <v>1.6910000000000001</v>
      </c>
      <c r="I13" s="632">
        <f>Nøgletal!Q34</f>
        <v>3.2296650717703358E-2</v>
      </c>
      <c r="J13" s="630">
        <f>Nøgletal!R34</f>
        <v>1.6910000000000001</v>
      </c>
      <c r="K13" s="632">
        <f>Nøgletal!S34</f>
        <v>0</v>
      </c>
      <c r="L13" s="594">
        <f t="shared" si="0"/>
        <v>1.6910000000000001</v>
      </c>
      <c r="M13" s="592">
        <v>0</v>
      </c>
      <c r="N13" s="595">
        <f t="shared" si="1"/>
        <v>1.6910000000000001</v>
      </c>
      <c r="O13" s="592">
        <v>0</v>
      </c>
      <c r="P13" s="609">
        <f>'BF - overblik beregning'!C9</f>
        <v>0</v>
      </c>
      <c r="Q13" s="596"/>
    </row>
    <row r="14" spans="1:19" x14ac:dyDescent="0.25">
      <c r="A14" s="631" t="s">
        <v>526</v>
      </c>
      <c r="B14" s="630">
        <f>Nøgletal!D35</f>
        <v>326.65274120656386</v>
      </c>
      <c r="C14" s="632">
        <f>Nøgletal!G35</f>
        <v>-2.5976856055013531E-2</v>
      </c>
      <c r="D14" s="632">
        <f>Nøgletal!I35</f>
        <v>-2.494831221341666E-2</v>
      </c>
      <c r="E14" s="632">
        <f>Nøgletal!K35</f>
        <v>-3.7341068190587474E-2</v>
      </c>
      <c r="F14" s="632">
        <f>Nøgletal!M35</f>
        <v>-1.6987200626350764E-2</v>
      </c>
      <c r="G14" s="632">
        <f>Nøgletal!O35</f>
        <v>-2.4640927433181442E-2</v>
      </c>
      <c r="H14" s="630">
        <f>Nøgletal!P35</f>
        <v>229.53</v>
      </c>
      <c r="I14" s="632">
        <f>Nøgletal!Q35</f>
        <v>-5.2766209217318914E-2</v>
      </c>
      <c r="J14" s="630">
        <f>Nøgletal!R35</f>
        <v>229.53</v>
      </c>
      <c r="K14" s="632">
        <f>Nøgletal!S35</f>
        <v>0</v>
      </c>
      <c r="L14" s="594">
        <f t="shared" si="0"/>
        <v>229.53</v>
      </c>
      <c r="M14" s="592">
        <v>0</v>
      </c>
      <c r="N14" s="595">
        <f t="shared" si="1"/>
        <v>202.46424373639678</v>
      </c>
      <c r="O14" s="592">
        <v>-9.605145604051013E-3</v>
      </c>
      <c r="P14" s="609">
        <f>'BF - Husholdning'!B15</f>
        <v>-9.605145604051013E-3</v>
      </c>
      <c r="Q14" s="596"/>
    </row>
    <row r="15" spans="1:19" x14ac:dyDescent="0.25">
      <c r="A15" s="631" t="s">
        <v>28</v>
      </c>
      <c r="B15" s="630">
        <f>Nøgletal!D36</f>
        <v>996.09572274969014</v>
      </c>
      <c r="C15" s="632">
        <f>Nøgletal!G36</f>
        <v>7.6977734649493854E-2</v>
      </c>
      <c r="D15" s="632">
        <f>Nøgletal!I36</f>
        <v>8.9623105738908804E-2</v>
      </c>
      <c r="E15" s="632">
        <f>Nøgletal!K36</f>
        <v>-5.1680415128206446E-2</v>
      </c>
      <c r="F15" s="632">
        <f>Nøgletal!M36</f>
        <v>-3.3124118077146956E-2</v>
      </c>
      <c r="G15" s="632">
        <f>Nøgletal!O36</f>
        <v>-1.6560520341410354E-2</v>
      </c>
      <c r="H15" s="630">
        <f>Nøgletal!P36</f>
        <v>1036.55515067748</v>
      </c>
      <c r="I15" s="632">
        <f>Nøgletal!Q36</f>
        <v>1.118104025795162E-2</v>
      </c>
      <c r="J15" s="630">
        <f>Nøgletal!R36</f>
        <v>1036.55515067748</v>
      </c>
      <c r="K15" s="632">
        <f>Nøgletal!S36</f>
        <v>0</v>
      </c>
      <c r="L15" s="616">
        <f>Fjernvarmeprognose!R6</f>
        <v>1036.55515067748</v>
      </c>
      <c r="M15" s="617">
        <f>Fjernvarmeprognose!S6</f>
        <v>0</v>
      </c>
      <c r="N15" s="618">
        <f>Fjernvarmeprognose!U6</f>
        <v>-4.6242853915723359E-3</v>
      </c>
      <c r="O15" s="619">
        <f>Fjernvarmeprognose!U6</f>
        <v>-4.6242853915723359E-3</v>
      </c>
      <c r="P15" s="610"/>
      <c r="Q15" s="596"/>
    </row>
    <row r="16" spans="1:19" x14ac:dyDescent="0.25">
      <c r="A16" s="633" t="s">
        <v>490</v>
      </c>
      <c r="B16" s="632" t="s">
        <v>527</v>
      </c>
      <c r="C16" s="632" t="s">
        <v>527</v>
      </c>
      <c r="D16" s="632" t="s">
        <v>527</v>
      </c>
      <c r="E16" s="632" t="s">
        <v>527</v>
      </c>
      <c r="F16" s="632" t="s">
        <v>527</v>
      </c>
      <c r="G16" s="632" t="s">
        <v>527</v>
      </c>
      <c r="H16" s="764" t="s">
        <v>527</v>
      </c>
      <c r="I16" s="764"/>
      <c r="J16" s="764" t="s">
        <v>527</v>
      </c>
      <c r="K16" s="764"/>
      <c r="L16" s="597"/>
      <c r="M16" s="597"/>
      <c r="N16" s="597"/>
      <c r="O16" s="598"/>
      <c r="P16" s="610"/>
      <c r="Q16" s="596"/>
    </row>
    <row r="17" spans="1:21" x14ac:dyDescent="0.25">
      <c r="A17" s="604" t="s">
        <v>344</v>
      </c>
      <c r="B17" s="632">
        <f>Nøgletal!D41</f>
        <v>1.662315760750422E-3</v>
      </c>
      <c r="C17" s="632">
        <f>Nøgletal!F41</f>
        <v>2.0537201610229382E-3</v>
      </c>
      <c r="D17" s="632">
        <f>Nøgletal!H41</f>
        <v>2.5136122740744603E-3</v>
      </c>
      <c r="E17" s="632">
        <f>Nøgletal!J41</f>
        <v>5.014223654121866E-3</v>
      </c>
      <c r="F17" s="632">
        <f>Nøgletal!L41</f>
        <v>4.7339766136075484E-3</v>
      </c>
      <c r="G17" s="632">
        <f>Nøgletal!N41</f>
        <v>4.6763433881341632E-3</v>
      </c>
      <c r="H17" s="764">
        <f>Nøgletal!P41</f>
        <v>0</v>
      </c>
      <c r="I17" s="764"/>
      <c r="J17" s="764">
        <f>Nøgletal!R41</f>
        <v>0</v>
      </c>
      <c r="K17" s="764"/>
      <c r="L17" s="770">
        <v>0</v>
      </c>
      <c r="M17" s="770"/>
      <c r="N17" s="770">
        <v>0.20747889022919178</v>
      </c>
      <c r="O17" s="770"/>
      <c r="P17" s="611">
        <f>'BF - Husholdning'!B22</f>
        <v>0.20747889022919178</v>
      </c>
      <c r="Q17" s="600"/>
    </row>
    <row r="18" spans="1:21" x14ac:dyDescent="0.25">
      <c r="A18" s="604" t="s">
        <v>346</v>
      </c>
      <c r="B18" s="632">
        <f>Nøgletal!D42</f>
        <v>0.40654794296069263</v>
      </c>
      <c r="C18" s="632">
        <f>Nøgletal!F42</f>
        <v>0.36941129940412598</v>
      </c>
      <c r="D18" s="632">
        <f>Nøgletal!H42</f>
        <v>0.34707057486561715</v>
      </c>
      <c r="E18" s="632">
        <f>Nøgletal!J42</f>
        <v>0.28632254984279032</v>
      </c>
      <c r="F18" s="632">
        <f>Nøgletal!L42</f>
        <v>0.26082522470252517</v>
      </c>
      <c r="G18" s="632">
        <f>Nøgletal!N42</f>
        <v>0.2306996071479521</v>
      </c>
      <c r="H18" s="764">
        <f>Nøgletal!P42</f>
        <v>0.17426915871563631</v>
      </c>
      <c r="I18" s="764"/>
      <c r="J18" s="764">
        <f>Nøgletal!R42</f>
        <v>0.17426915871563631</v>
      </c>
      <c r="K18" s="764"/>
      <c r="L18" s="770">
        <v>0.17</v>
      </c>
      <c r="M18" s="770"/>
      <c r="N18" s="775">
        <v>3.0156815440289503E-2</v>
      </c>
      <c r="O18" s="776"/>
      <c r="P18" s="611">
        <f>'BF - Husholdning'!B18</f>
        <v>3.0156815440289503E-2</v>
      </c>
      <c r="Q18" s="600"/>
    </row>
    <row r="19" spans="1:21" x14ac:dyDescent="0.25">
      <c r="A19" s="604" t="s">
        <v>347</v>
      </c>
      <c r="B19" s="632">
        <f>Nøgletal!D43</f>
        <v>1.6393555983091181E-3</v>
      </c>
      <c r="C19" s="632">
        <f>Nøgletal!F43</f>
        <v>2.3028467497382206E-3</v>
      </c>
      <c r="D19" s="632">
        <f>Nøgletal!H43</f>
        <v>1.7734379087837593E-3</v>
      </c>
      <c r="E19" s="632">
        <f>Nøgletal!J43</f>
        <v>2.129523964455753E-3</v>
      </c>
      <c r="F19" s="632">
        <f>Nøgletal!L43</f>
        <v>2.2029777775730949E-3</v>
      </c>
      <c r="G19" s="632">
        <f>Nøgletal!N43</f>
        <v>1.9874459399570198E-3</v>
      </c>
      <c r="H19" s="764">
        <f>Nøgletal!P43</f>
        <v>1.4812878490829086E-3</v>
      </c>
      <c r="I19" s="764"/>
      <c r="J19" s="764">
        <f>Nøgletal!R43</f>
        <v>1.4812878490829086E-3</v>
      </c>
      <c r="K19" s="764"/>
      <c r="L19" s="770">
        <v>1.4812878490829086E-3</v>
      </c>
      <c r="M19" s="770"/>
      <c r="N19" s="775">
        <v>0.26055488540410132</v>
      </c>
      <c r="O19" s="776"/>
      <c r="P19" s="611">
        <f>'BF - Husholdning'!B19</f>
        <v>0.26055488540410132</v>
      </c>
      <c r="Q19" s="600"/>
    </row>
    <row r="20" spans="1:21" x14ac:dyDescent="0.25">
      <c r="A20" s="604" t="s">
        <v>348</v>
      </c>
      <c r="B20" s="632">
        <f>Nøgletal!D44</f>
        <v>7.3472519812173356E-2</v>
      </c>
      <c r="C20" s="632">
        <f>Nøgletal!F44</f>
        <v>0.10171727212613609</v>
      </c>
      <c r="D20" s="632">
        <f>Nøgletal!H44</f>
        <v>0.10431987698727997</v>
      </c>
      <c r="E20" s="632">
        <f>Nøgletal!J44</f>
        <v>0.16642498209612189</v>
      </c>
      <c r="F20" s="632">
        <f>Nøgletal!L44</f>
        <v>0.18895009175893157</v>
      </c>
      <c r="G20" s="632">
        <f>Nøgletal!N44</f>
        <v>0.21920359631878891</v>
      </c>
      <c r="H20" s="764">
        <f>Nøgletal!P44</f>
        <v>0.2679388315252908</v>
      </c>
      <c r="I20" s="764"/>
      <c r="J20" s="764">
        <f>Nøgletal!R44</f>
        <v>0.2679388315252908</v>
      </c>
      <c r="K20" s="764"/>
      <c r="L20" s="770">
        <v>0.2679388315252908</v>
      </c>
      <c r="M20" s="770"/>
      <c r="N20" s="775">
        <v>0.11338962605548854</v>
      </c>
      <c r="O20" s="776"/>
      <c r="P20" s="611">
        <f>'BF - Husholdning'!B20</f>
        <v>0.11338962605548854</v>
      </c>
      <c r="Q20" s="600"/>
    </row>
    <row r="21" spans="1:21" x14ac:dyDescent="0.25">
      <c r="A21" s="604" t="s">
        <v>349</v>
      </c>
      <c r="B21" s="632">
        <f>Nøgletal!D45</f>
        <v>0.34623924961486696</v>
      </c>
      <c r="C21" s="632">
        <f>Nøgletal!F45</f>
        <v>0.35891666021650881</v>
      </c>
      <c r="D21" s="632">
        <f>Nøgletal!H45</f>
        <v>0.36379487260484772</v>
      </c>
      <c r="E21" s="632">
        <f>Nøgletal!J45</f>
        <v>0.3675665733606821</v>
      </c>
      <c r="F21" s="632">
        <f>Nøgletal!L45</f>
        <v>0.37567724126187568</v>
      </c>
      <c r="G21" s="632">
        <f>Nøgletal!N45</f>
        <v>0.38755195829161881</v>
      </c>
      <c r="H21" s="764">
        <f>Nøgletal!P45</f>
        <v>0.37947109310329802</v>
      </c>
      <c r="I21" s="764"/>
      <c r="J21" s="764">
        <f>Nøgletal!R45</f>
        <v>0.37947109310329802</v>
      </c>
      <c r="K21" s="764"/>
      <c r="L21" s="771">
        <f>IF(L14&gt;0,1-L17-L18-L19-L20-L22-L23-L24-L25,0)</f>
        <v>0.38374025181893445</v>
      </c>
      <c r="M21" s="771"/>
      <c r="N21" s="777">
        <f>IF(N14&gt;0,1-N17-N18-N19-N20-N22-N23-N24-N25,0)</f>
        <v>0.28841978287092895</v>
      </c>
      <c r="O21" s="771"/>
      <c r="P21" s="611">
        <f>1-P17-P18-P19-P20-P22-P23-P24-P25</f>
        <v>0.28841978287092895</v>
      </c>
      <c r="Q21" s="596"/>
    </row>
    <row r="22" spans="1:21" x14ac:dyDescent="0.25">
      <c r="A22" s="604" t="s">
        <v>350</v>
      </c>
      <c r="B22" s="632">
        <f>Nøgletal!D46</f>
        <v>7.7605349051608111E-2</v>
      </c>
      <c r="C22" s="632">
        <f>Nøgletal!F46</f>
        <v>6.7165690800750175E-2</v>
      </c>
      <c r="D22" s="632">
        <f>Nøgletal!H46</f>
        <v>7.1036868615147783E-2</v>
      </c>
      <c r="E22" s="632">
        <f>Nøgletal!J46</f>
        <v>6.2812009371762137E-2</v>
      </c>
      <c r="F22" s="632">
        <f>Nøgletal!L46</f>
        <v>5.7796498655673184E-2</v>
      </c>
      <c r="G22" s="632">
        <f>Nøgletal!N46</f>
        <v>5.5726425375265454E-2</v>
      </c>
      <c r="H22" s="764">
        <f>Nøgletal!P46</f>
        <v>5.6637476582581794E-2</v>
      </c>
      <c r="I22" s="764"/>
      <c r="J22" s="764">
        <f>Nøgletal!R46</f>
        <v>5.6637476582581794E-2</v>
      </c>
      <c r="K22" s="764"/>
      <c r="L22" s="770">
        <v>5.6637476582581794E-2</v>
      </c>
      <c r="M22" s="770"/>
      <c r="N22" s="775"/>
      <c r="O22" s="776"/>
      <c r="P22" s="611"/>
      <c r="Q22" s="600"/>
    </row>
    <row r="23" spans="1:21" x14ac:dyDescent="0.25">
      <c r="A23" s="604" t="s">
        <v>331</v>
      </c>
      <c r="B23" s="632">
        <f>Nøgletal!D47</f>
        <v>7.3472519812173356E-3</v>
      </c>
      <c r="C23" s="632">
        <f>Nøgletal!F47</f>
        <v>8.3957113500937718E-3</v>
      </c>
      <c r="D23" s="632">
        <f>Nøgletal!H47</f>
        <v>9.2728779544248852E-3</v>
      </c>
      <c r="E23" s="632">
        <f>Nøgletal!J47</f>
        <v>1.0021289244497661E-2</v>
      </c>
      <c r="F23" s="632">
        <f>Nøgletal!L47</f>
        <v>1.1117502565350204E-2</v>
      </c>
      <c r="G23" s="632">
        <f>Nøgletal!N47</f>
        <v>1.1693794446078947E-2</v>
      </c>
      <c r="H23" s="764">
        <f>Nøgletal!P47</f>
        <v>1.3462292510782903E-2</v>
      </c>
      <c r="I23" s="764"/>
      <c r="J23" s="764">
        <f>Nøgletal!R47</f>
        <v>1.3462292510782903E-2</v>
      </c>
      <c r="K23" s="764"/>
      <c r="L23" s="770">
        <v>1.3462292510782903E-2</v>
      </c>
      <c r="M23" s="770"/>
      <c r="N23" s="775"/>
      <c r="O23" s="776"/>
      <c r="P23" s="611"/>
      <c r="Q23" s="600"/>
      <c r="U23" s="601"/>
    </row>
    <row r="24" spans="1:21" x14ac:dyDescent="0.25">
      <c r="A24" s="604" t="s">
        <v>501</v>
      </c>
      <c r="B24" s="632">
        <f>Nøgletal!D48</f>
        <v>7.0525962556815078E-2</v>
      </c>
      <c r="C24" s="632">
        <f>Nøgletal!F48</f>
        <v>7.4280359333089657E-2</v>
      </c>
      <c r="D24" s="632">
        <f>Nøgletal!H48</f>
        <v>8.2679750001604976E-2</v>
      </c>
      <c r="E24" s="632">
        <f>Nøgletal!J48</f>
        <v>8.225979998409369E-2</v>
      </c>
      <c r="F24" s="632">
        <f>Nøgletal!L48</f>
        <v>8.1424601498182481E-2</v>
      </c>
      <c r="G24" s="632">
        <f>Nøgletal!N48</f>
        <v>7.2873017798424047E-2</v>
      </c>
      <c r="H24" s="764">
        <f>Nøgletal!P48</f>
        <v>8.8005925151396325E-2</v>
      </c>
      <c r="I24" s="764"/>
      <c r="J24" s="764">
        <f>Nøgletal!R48</f>
        <v>8.8005925151396325E-2</v>
      </c>
      <c r="K24" s="764"/>
      <c r="L24" s="770">
        <v>8.8005925151396325E-2</v>
      </c>
      <c r="M24" s="770"/>
      <c r="N24" s="775">
        <v>0.1</v>
      </c>
      <c r="O24" s="776"/>
      <c r="P24" s="611">
        <v>0.1</v>
      </c>
      <c r="Q24" s="600"/>
    </row>
    <row r="25" spans="1:21" x14ac:dyDescent="0.25">
      <c r="A25" s="604" t="s">
        <v>314</v>
      </c>
      <c r="B25" s="632">
        <f>Nøgletal!D49</f>
        <v>1.496005266356684E-2</v>
      </c>
      <c r="C25" s="632">
        <f>Nøgletal!F49</f>
        <v>1.5756439858534182E-2</v>
      </c>
      <c r="D25" s="632">
        <f>Nøgletal!H49</f>
        <v>1.753812878821924E-2</v>
      </c>
      <c r="E25" s="632">
        <f>Nøgletal!J49</f>
        <v>1.7449048481474428E-2</v>
      </c>
      <c r="F25" s="632">
        <f>Nøgletal!L49</f>
        <v>1.7271885166281139E-2</v>
      </c>
      <c r="G25" s="632">
        <f>Nøgletal!N49</f>
        <v>1.5587811293780545E-2</v>
      </c>
      <c r="H25" s="764">
        <f>Nøgletal!P49</f>
        <v>1.8733934561930902E-2</v>
      </c>
      <c r="I25" s="764"/>
      <c r="J25" s="764">
        <f>Nøgletal!R49</f>
        <v>1.8733934561930902E-2</v>
      </c>
      <c r="K25" s="764"/>
      <c r="L25" s="770">
        <v>1.8733934561930902E-2</v>
      </c>
      <c r="M25" s="770"/>
      <c r="N25" s="770"/>
      <c r="O25" s="770"/>
      <c r="P25" s="611"/>
      <c r="Q25" s="600"/>
    </row>
    <row r="26" spans="1:21" x14ac:dyDescent="0.25">
      <c r="A26" s="629" t="s">
        <v>260</v>
      </c>
      <c r="B26" s="630"/>
      <c r="C26" s="630" t="s">
        <v>491</v>
      </c>
      <c r="D26" s="630" t="s">
        <v>491</v>
      </c>
      <c r="E26" s="630" t="s">
        <v>491</v>
      </c>
      <c r="F26" s="630" t="s">
        <v>491</v>
      </c>
      <c r="G26" s="630" t="s">
        <v>491</v>
      </c>
      <c r="H26" s="630" t="s">
        <v>0</v>
      </c>
      <c r="I26" s="627" t="s">
        <v>491</v>
      </c>
      <c r="J26" s="630" t="s">
        <v>0</v>
      </c>
      <c r="K26" s="627" t="s">
        <v>491</v>
      </c>
      <c r="L26" s="588"/>
      <c r="M26" s="597"/>
      <c r="N26" s="588"/>
      <c r="O26" s="598"/>
      <c r="P26" s="610"/>
      <c r="Q26" s="596"/>
    </row>
    <row r="27" spans="1:21" x14ac:dyDescent="0.25">
      <c r="A27" s="631" t="s">
        <v>485</v>
      </c>
      <c r="B27" s="630">
        <f>Nøgletal!D58</f>
        <v>139.6734169806</v>
      </c>
      <c r="C27" s="632">
        <f>Nøgletal!G58</f>
        <v>1.1324251990052553E-2</v>
      </c>
      <c r="D27" s="632">
        <f>Nøgletal!I58</f>
        <v>4.0371575932126737E-2</v>
      </c>
      <c r="E27" s="632">
        <f>Nøgletal!K58</f>
        <v>8.4429090550364565E-3</v>
      </c>
      <c r="F27" s="632">
        <f>Nøgletal!M58</f>
        <v>0.10690340171429813</v>
      </c>
      <c r="G27" s="632">
        <f>Nøgletal!O58</f>
        <v>2.4202281848744518E-2</v>
      </c>
      <c r="H27" s="630">
        <f>Nøgletal!P58</f>
        <v>104.19999999999999</v>
      </c>
      <c r="I27" s="632">
        <f>Nøgletal!Q58</f>
        <v>-0.22906916276651071</v>
      </c>
      <c r="J27" s="630">
        <f>Nøgletal!R58</f>
        <v>104.19999999999999</v>
      </c>
      <c r="K27" s="632">
        <f>Nøgletal!S58</f>
        <v>0</v>
      </c>
      <c r="L27" s="606">
        <f>SUM(L28:L30)</f>
        <v>104.19999999999999</v>
      </c>
      <c r="M27" s="592">
        <v>0</v>
      </c>
      <c r="N27" s="607">
        <f>SUM(N28:N30)</f>
        <v>109.53104690319174</v>
      </c>
      <c r="O27" s="592">
        <v>3.8455222818443158E-3</v>
      </c>
      <c r="P27" s="609">
        <f>'BF - overblik beregning'!G2</f>
        <v>3.8455222818443158E-3</v>
      </c>
      <c r="Q27" s="596"/>
    </row>
    <row r="28" spans="1:21" ht="15" customHeight="1" x14ac:dyDescent="0.25">
      <c r="A28" s="604" t="s">
        <v>305</v>
      </c>
      <c r="B28" s="630">
        <f>Nøgletal!D59</f>
        <v>24.958188342000003</v>
      </c>
      <c r="C28" s="632">
        <f>Nøgletal!G59</f>
        <v>1.132425199005253E-2</v>
      </c>
      <c r="D28" s="632">
        <f>Nøgletal!I59</f>
        <v>4.037157593212698E-2</v>
      </c>
      <c r="E28" s="632">
        <f>Nøgletal!K59</f>
        <v>8.4429090550363177E-3</v>
      </c>
      <c r="F28" s="632">
        <f>Nøgletal!M59</f>
        <v>0.10690340171429817</v>
      </c>
      <c r="G28" s="632">
        <f>Nøgletal!O59</f>
        <v>2.4781800944642343E-2</v>
      </c>
      <c r="H28" s="630">
        <f>Nøgletal!P59</f>
        <v>18.600000000000001</v>
      </c>
      <c r="I28" s="632">
        <f>Nøgletal!Q59</f>
        <v>-0.22965116279069764</v>
      </c>
      <c r="J28" s="630">
        <f>Nøgletal!R59</f>
        <v>18.600000000000001</v>
      </c>
      <c r="K28" s="632">
        <f>Nøgletal!S59</f>
        <v>0</v>
      </c>
      <c r="L28" s="594">
        <f>J28*(1+M28)^(L$2-J$2)</f>
        <v>18.600000000000001</v>
      </c>
      <c r="M28" s="592">
        <v>0</v>
      </c>
      <c r="N28" s="595">
        <f>J28*(1+O28)^(N$2-J$2)</f>
        <v>19.551607220723287</v>
      </c>
      <c r="O28" s="592">
        <f>O$27</f>
        <v>3.8455222818443158E-3</v>
      </c>
      <c r="P28" s="612"/>
      <c r="Q28" s="596"/>
    </row>
    <row r="29" spans="1:21" ht="15" customHeight="1" x14ac:dyDescent="0.25">
      <c r="A29" s="604" t="s">
        <v>309</v>
      </c>
      <c r="B29" s="630">
        <f>Nøgletal!D60</f>
        <v>0</v>
      </c>
      <c r="C29" s="632">
        <f>Nøgletal!G60</f>
        <v>0</v>
      </c>
      <c r="D29" s="632">
        <f>Nøgletal!I60</f>
        <v>0</v>
      </c>
      <c r="E29" s="632">
        <f>Nøgletal!K60</f>
        <v>0</v>
      </c>
      <c r="F29" s="632">
        <f>Nøgletal!M60</f>
        <v>0</v>
      </c>
      <c r="G29" s="632">
        <f>Nøgletal!O60</f>
        <v>0</v>
      </c>
      <c r="H29" s="630">
        <f>Nøgletal!P60</f>
        <v>0</v>
      </c>
      <c r="I29" s="632">
        <f>Nøgletal!Q60</f>
        <v>0</v>
      </c>
      <c r="J29" s="630">
        <f>Nøgletal!R60</f>
        <v>0</v>
      </c>
      <c r="K29" s="632">
        <f>Nøgletal!S60</f>
        <v>0</v>
      </c>
      <c r="L29" s="594">
        <f>J29*(1+M29)^(L$2-J$2)</f>
        <v>0</v>
      </c>
      <c r="M29" s="592">
        <f>M$27</f>
        <v>0</v>
      </c>
      <c r="N29" s="595">
        <f>J29*(1+O29)^(N$2-J$2)</f>
        <v>0</v>
      </c>
      <c r="O29" s="592">
        <f>O$27</f>
        <v>3.8455222818443158E-3</v>
      </c>
      <c r="P29" s="612"/>
      <c r="Q29" s="596"/>
    </row>
    <row r="30" spans="1:21" ht="15" customHeight="1" x14ac:dyDescent="0.25">
      <c r="A30" s="604" t="s">
        <v>290</v>
      </c>
      <c r="B30" s="630">
        <f>Nøgletal!D61</f>
        <v>114.7152286386</v>
      </c>
      <c r="C30" s="632">
        <f>Nøgletal!G61</f>
        <v>1.1324251990052587E-2</v>
      </c>
      <c r="D30" s="632">
        <f>Nøgletal!I61</f>
        <v>4.0371575932126647E-2</v>
      </c>
      <c r="E30" s="632">
        <f>Nøgletal!K61</f>
        <v>8.4429090550365016E-3</v>
      </c>
      <c r="F30" s="632">
        <f>Nøgletal!M61</f>
        <v>0.10690340171429806</v>
      </c>
      <c r="G30" s="632">
        <f>Nøgletal!O61</f>
        <v>2.4076197919741745E-2</v>
      </c>
      <c r="H30" s="630">
        <f>Nøgletal!P61</f>
        <v>85.6</v>
      </c>
      <c r="I30" s="632">
        <f>Nøgletal!Q61</f>
        <v>-0.22894236858771377</v>
      </c>
      <c r="J30" s="630">
        <f>Nøgletal!R61</f>
        <v>85.6</v>
      </c>
      <c r="K30" s="632">
        <f>Nøgletal!S61</f>
        <v>0</v>
      </c>
      <c r="L30" s="594">
        <f>J30*(1+M30)^(L$2-J$2)</f>
        <v>85.6</v>
      </c>
      <c r="M30" s="592">
        <f>M$27</f>
        <v>0</v>
      </c>
      <c r="N30" s="595">
        <f>J30*(1+O30)^(N$2-J$2)</f>
        <v>89.979439682468453</v>
      </c>
      <c r="O30" s="592">
        <f>O$27</f>
        <v>3.8455222818443158E-3</v>
      </c>
      <c r="P30" s="612"/>
      <c r="Q30" s="596"/>
    </row>
    <row r="31" spans="1:21" x14ac:dyDescent="0.25">
      <c r="A31" s="631" t="s">
        <v>345</v>
      </c>
      <c r="B31" s="630">
        <f>Nøgletal!D62</f>
        <v>0</v>
      </c>
      <c r="C31" s="632">
        <f>Nøgletal!G62</f>
        <v>0</v>
      </c>
      <c r="D31" s="632">
        <f>Nøgletal!I62</f>
        <v>0</v>
      </c>
      <c r="E31" s="632">
        <f>Nøgletal!K62</f>
        <v>0</v>
      </c>
      <c r="F31" s="632">
        <f>Nøgletal!M62</f>
        <v>0</v>
      </c>
      <c r="G31" s="632">
        <f>Nøgletal!O62</f>
        <v>0</v>
      </c>
      <c r="H31" s="630">
        <f>Nøgletal!P62</f>
        <v>0</v>
      </c>
      <c r="I31" s="632">
        <f>Nøgletal!Q62</f>
        <v>0</v>
      </c>
      <c r="J31" s="630">
        <f>Nøgletal!R62</f>
        <v>0</v>
      </c>
      <c r="K31" s="632">
        <f>Nøgletal!S62</f>
        <v>0</v>
      </c>
      <c r="L31" s="594">
        <f>J31*(1+M31)^(L$2-J$2)</f>
        <v>0</v>
      </c>
      <c r="M31" s="592">
        <v>0</v>
      </c>
      <c r="N31" s="595">
        <f>J31*(1+O31)^(N$2-J$2)</f>
        <v>0</v>
      </c>
      <c r="O31" s="592">
        <v>-2.0081405291969112E-2</v>
      </c>
      <c r="P31" s="609">
        <f>'BF - overblik beregning'!C2</f>
        <v>-2.0081405291969112E-2</v>
      </c>
      <c r="Q31" s="596"/>
    </row>
    <row r="32" spans="1:21" x14ac:dyDescent="0.25">
      <c r="A32" s="631" t="s">
        <v>526</v>
      </c>
      <c r="B32" s="630">
        <f>Nøgletal!D63</f>
        <v>0</v>
      </c>
      <c r="C32" s="632">
        <f>Nøgletal!G63</f>
        <v>0</v>
      </c>
      <c r="D32" s="632">
        <f>Nøgletal!I63</f>
        <v>0</v>
      </c>
      <c r="E32" s="632">
        <f>Nøgletal!K63</f>
        <v>0</v>
      </c>
      <c r="F32" s="632">
        <f>Nøgletal!M63</f>
        <v>0</v>
      </c>
      <c r="G32" s="632">
        <f>Nøgletal!O63</f>
        <v>0</v>
      </c>
      <c r="H32" s="630">
        <f>Nøgletal!P63</f>
        <v>0</v>
      </c>
      <c r="I32" s="632">
        <f>Nøgletal!Q63</f>
        <v>0</v>
      </c>
      <c r="J32" s="630">
        <f>Nøgletal!R63</f>
        <v>0</v>
      </c>
      <c r="K32" s="632">
        <f>Nøgletal!S63</f>
        <v>0</v>
      </c>
      <c r="L32" s="594">
        <f>J32*(1+M32)^(L$2-J$2)</f>
        <v>0</v>
      </c>
      <c r="M32" s="592">
        <v>0</v>
      </c>
      <c r="N32" s="595">
        <f>J32*(1+O32)^(N$2-J$2)</f>
        <v>0</v>
      </c>
      <c r="O32" s="592">
        <v>1.0614824662905642E-2</v>
      </c>
      <c r="P32" s="609">
        <f>'BF - overblik beregning'!I2</f>
        <v>1.0614824662905642E-2</v>
      </c>
      <c r="Q32" s="596"/>
    </row>
    <row r="33" spans="1:17" ht="14.25" customHeight="1" x14ac:dyDescent="0.25">
      <c r="A33" s="631" t="s">
        <v>28</v>
      </c>
      <c r="B33" s="630">
        <f>Nøgletal!D64</f>
        <v>154.3940428181628</v>
      </c>
      <c r="C33" s="632">
        <f>Nøgletal!G64</f>
        <v>4.5178616669564735E-2</v>
      </c>
      <c r="D33" s="632">
        <f>Nøgletal!I64</f>
        <v>7.4522405720143847E-2</v>
      </c>
      <c r="E33" s="632">
        <f>Nøgletal!K64</f>
        <v>-4.8225819429306607E-2</v>
      </c>
      <c r="F33" s="632">
        <f>Nøgletal!M64</f>
        <v>-1.184295936397347E-2</v>
      </c>
      <c r="G33" s="632">
        <f>Nøgletal!O64</f>
        <v>-1.6560520341410298E-2</v>
      </c>
      <c r="H33" s="630">
        <f>Nøgletal!P64</f>
        <v>157.63281093252002</v>
      </c>
      <c r="I33" s="632">
        <f>Nøgletal!Q64</f>
        <v>1.0844515544154462E-2</v>
      </c>
      <c r="J33" s="630">
        <f>Nøgletal!R64</f>
        <v>157.63281093252002</v>
      </c>
      <c r="K33" s="632">
        <f>Nøgletal!S64</f>
        <v>0</v>
      </c>
      <c r="L33" s="606">
        <f>Fjernvarmeprognose!R8</f>
        <v>157.63281093252002</v>
      </c>
      <c r="M33" s="619">
        <f>Fjernvarmeprognose!S8</f>
        <v>0</v>
      </c>
      <c r="N33" s="618">
        <f>Fjernvarmeprognose!T8</f>
        <v>162.83024413895004</v>
      </c>
      <c r="O33" s="620">
        <f>Fjernvarmeprognose!U8</f>
        <v>2.498490204587922E-3</v>
      </c>
      <c r="P33" s="610"/>
      <c r="Q33" s="596"/>
    </row>
    <row r="34" spans="1:17" x14ac:dyDescent="0.25">
      <c r="A34" s="633" t="s">
        <v>490</v>
      </c>
      <c r="B34" s="632"/>
      <c r="C34" s="632"/>
      <c r="D34" s="632"/>
      <c r="E34" s="632"/>
      <c r="F34" s="632"/>
      <c r="G34" s="632"/>
      <c r="H34" s="764" t="s">
        <v>527</v>
      </c>
      <c r="I34" s="764"/>
      <c r="J34" s="764" t="s">
        <v>527</v>
      </c>
      <c r="K34" s="764"/>
      <c r="L34" s="597"/>
      <c r="M34" s="597"/>
      <c r="N34" s="597"/>
      <c r="O34" s="598"/>
      <c r="P34" s="610"/>
      <c r="Q34" s="596"/>
    </row>
    <row r="35" spans="1:17" hidden="1" x14ac:dyDescent="0.25">
      <c r="A35" s="604" t="s">
        <v>344</v>
      </c>
      <c r="B35" s="632">
        <f>Nøgletal!D69</f>
        <v>0</v>
      </c>
      <c r="C35" s="632">
        <f>Nøgletal!F69</f>
        <v>0</v>
      </c>
      <c r="D35" s="632">
        <f>Nøgletal!H69</f>
        <v>0</v>
      </c>
      <c r="E35" s="632">
        <f>Nøgletal!J69</f>
        <v>0</v>
      </c>
      <c r="F35" s="632">
        <f>Nøgletal!L69</f>
        <v>0</v>
      </c>
      <c r="G35" s="632">
        <f>Nøgletal!N69</f>
        <v>0</v>
      </c>
      <c r="H35" s="764">
        <f>Nøgletal!P69</f>
        <v>0</v>
      </c>
      <c r="I35" s="764"/>
      <c r="J35" s="764">
        <f>Nøgletal!R69</f>
        <v>0</v>
      </c>
      <c r="K35" s="764"/>
      <c r="L35" s="770">
        <v>0</v>
      </c>
      <c r="M35" s="770"/>
      <c r="N35" s="770">
        <v>0</v>
      </c>
      <c r="O35" s="770"/>
      <c r="P35" s="612"/>
      <c r="Q35" s="596"/>
    </row>
    <row r="36" spans="1:17" hidden="1" x14ac:dyDescent="0.25">
      <c r="A36" s="604" t="s">
        <v>346</v>
      </c>
      <c r="B36" s="632">
        <f>Nøgletal!D70</f>
        <v>0</v>
      </c>
      <c r="C36" s="632">
        <f>Nøgletal!F70</f>
        <v>0</v>
      </c>
      <c r="D36" s="632">
        <f>Nøgletal!H70</f>
        <v>0</v>
      </c>
      <c r="E36" s="632">
        <f>Nøgletal!J70</f>
        <v>0</v>
      </c>
      <c r="F36" s="632">
        <f>Nøgletal!L70</f>
        <v>0</v>
      </c>
      <c r="G36" s="632">
        <f>Nøgletal!N70</f>
        <v>0</v>
      </c>
      <c r="H36" s="764">
        <f>Nøgletal!P70</f>
        <v>0</v>
      </c>
      <c r="I36" s="764"/>
      <c r="J36" s="764">
        <f>Nøgletal!R70</f>
        <v>0</v>
      </c>
      <c r="K36" s="764"/>
      <c r="L36" s="770">
        <v>0</v>
      </c>
      <c r="M36" s="770"/>
      <c r="N36" s="775">
        <v>0.13804173354735153</v>
      </c>
      <c r="O36" s="776"/>
      <c r="P36" s="611">
        <f>'BF - overblik beregning'!B13</f>
        <v>0.13804173354735153</v>
      </c>
      <c r="Q36" s="602"/>
    </row>
    <row r="37" spans="1:17" hidden="1" x14ac:dyDescent="0.25">
      <c r="A37" s="604" t="s">
        <v>347</v>
      </c>
      <c r="B37" s="632">
        <f>Nøgletal!D71</f>
        <v>0</v>
      </c>
      <c r="C37" s="632">
        <f>Nøgletal!F71</f>
        <v>0</v>
      </c>
      <c r="D37" s="632">
        <f>Nøgletal!H71</f>
        <v>0</v>
      </c>
      <c r="E37" s="632">
        <f>Nøgletal!J71</f>
        <v>0</v>
      </c>
      <c r="F37" s="632">
        <f>Nøgletal!L71</f>
        <v>0</v>
      </c>
      <c r="G37" s="632">
        <f>Nøgletal!N71</f>
        <v>0</v>
      </c>
      <c r="H37" s="764">
        <f>Nøgletal!P71</f>
        <v>0</v>
      </c>
      <c r="I37" s="764"/>
      <c r="J37" s="764">
        <f>Nøgletal!R71</f>
        <v>0</v>
      </c>
      <c r="K37" s="764"/>
      <c r="L37" s="770">
        <v>0</v>
      </c>
      <c r="M37" s="770"/>
      <c r="N37" s="775">
        <v>0.36757624398073835</v>
      </c>
      <c r="O37" s="776"/>
      <c r="P37" s="611">
        <f>'BF - overblik beregning'!B12</f>
        <v>0.36757624398073835</v>
      </c>
      <c r="Q37" s="602"/>
    </row>
    <row r="38" spans="1:17" hidden="1" x14ac:dyDescent="0.25">
      <c r="A38" s="604" t="s">
        <v>348</v>
      </c>
      <c r="B38" s="632">
        <f>Nøgletal!D72</f>
        <v>0</v>
      </c>
      <c r="C38" s="632">
        <f>Nøgletal!F72</f>
        <v>0</v>
      </c>
      <c r="D38" s="632">
        <f>Nøgletal!H72</f>
        <v>0</v>
      </c>
      <c r="E38" s="632">
        <f>Nøgletal!J72</f>
        <v>0</v>
      </c>
      <c r="F38" s="632">
        <f>Nøgletal!L72</f>
        <v>0</v>
      </c>
      <c r="G38" s="632">
        <f>Nøgletal!N72</f>
        <v>0</v>
      </c>
      <c r="H38" s="764">
        <f>Nøgletal!P72</f>
        <v>0</v>
      </c>
      <c r="I38" s="764"/>
      <c r="J38" s="764">
        <f>Nøgletal!R72</f>
        <v>0</v>
      </c>
      <c r="K38" s="764"/>
      <c r="L38" s="770">
        <v>0</v>
      </c>
      <c r="M38" s="770"/>
      <c r="N38" s="775">
        <v>0.3499197431781701</v>
      </c>
      <c r="O38" s="776"/>
      <c r="P38" s="611">
        <f>'BF - overblik beregning'!B14</f>
        <v>0.3499197431781701</v>
      </c>
      <c r="Q38" s="602"/>
    </row>
    <row r="39" spans="1:17" hidden="1" x14ac:dyDescent="0.25">
      <c r="A39" s="604" t="s">
        <v>349</v>
      </c>
      <c r="B39" s="632">
        <f>Nøgletal!D73</f>
        <v>0</v>
      </c>
      <c r="C39" s="632">
        <f>Nøgletal!F73</f>
        <v>0</v>
      </c>
      <c r="D39" s="632">
        <f>Nøgletal!H73</f>
        <v>0</v>
      </c>
      <c r="E39" s="632">
        <f>Nøgletal!J73</f>
        <v>0</v>
      </c>
      <c r="F39" s="632">
        <f>Nøgletal!L73</f>
        <v>0</v>
      </c>
      <c r="G39" s="632">
        <f>Nøgletal!N73</f>
        <v>0</v>
      </c>
      <c r="H39" s="764">
        <f>Nøgletal!P73</f>
        <v>0</v>
      </c>
      <c r="I39" s="764"/>
      <c r="J39" s="764">
        <f>Nøgletal!R73</f>
        <v>0</v>
      </c>
      <c r="K39" s="764"/>
      <c r="L39" s="771">
        <f>IF(L32&gt;0,1-L35-L36-L37-L38-L40-L41-L42-L43,0)</f>
        <v>0</v>
      </c>
      <c r="M39" s="771"/>
      <c r="N39" s="777">
        <f>IF(N32&gt;0,1-N35-N36-N37-N38-N40-N41-N42-N43,0)</f>
        <v>0</v>
      </c>
      <c r="O39" s="771"/>
      <c r="P39" s="611">
        <f>'BF - overblik beregning'!B15</f>
        <v>0.14446227929374</v>
      </c>
      <c r="Q39" s="596"/>
    </row>
    <row r="40" spans="1:17" hidden="1" x14ac:dyDescent="0.25">
      <c r="A40" s="604" t="s">
        <v>350</v>
      </c>
      <c r="B40" s="632">
        <f>Nøgletal!D74</f>
        <v>0</v>
      </c>
      <c r="C40" s="632">
        <f>Nøgletal!F74</f>
        <v>0</v>
      </c>
      <c r="D40" s="632">
        <f>Nøgletal!H74</f>
        <v>0</v>
      </c>
      <c r="E40" s="632">
        <f>Nøgletal!J74</f>
        <v>0</v>
      </c>
      <c r="F40" s="632">
        <f>Nøgletal!L74</f>
        <v>0</v>
      </c>
      <c r="G40" s="632">
        <f>Nøgletal!N74</f>
        <v>0</v>
      </c>
      <c r="H40" s="764">
        <f>Nøgletal!P74</f>
        <v>0</v>
      </c>
      <c r="I40" s="764"/>
      <c r="J40" s="764">
        <f>Nøgletal!R74</f>
        <v>0</v>
      </c>
      <c r="K40" s="764"/>
      <c r="L40" s="770">
        <v>0</v>
      </c>
      <c r="M40" s="770"/>
      <c r="N40" s="776">
        <v>0</v>
      </c>
      <c r="O40" s="770"/>
      <c r="P40" s="612"/>
      <c r="Q40" s="596"/>
    </row>
    <row r="41" spans="1:17" hidden="1" x14ac:dyDescent="0.25">
      <c r="A41" s="604" t="s">
        <v>331</v>
      </c>
      <c r="B41" s="632">
        <f>Nøgletal!D75</f>
        <v>0</v>
      </c>
      <c r="C41" s="632">
        <f>Nøgletal!F75</f>
        <v>0</v>
      </c>
      <c r="D41" s="632">
        <f>Nøgletal!H75</f>
        <v>0</v>
      </c>
      <c r="E41" s="632">
        <f>Nøgletal!J75</f>
        <v>0</v>
      </c>
      <c r="F41" s="632">
        <f>Nøgletal!L75</f>
        <v>0</v>
      </c>
      <c r="G41" s="632">
        <f>Nøgletal!N75</f>
        <v>0</v>
      </c>
      <c r="H41" s="764">
        <f>Nøgletal!P75</f>
        <v>0</v>
      </c>
      <c r="I41" s="764"/>
      <c r="J41" s="764">
        <f>Nøgletal!R75</f>
        <v>0</v>
      </c>
      <c r="K41" s="764"/>
      <c r="L41" s="770">
        <v>0</v>
      </c>
      <c r="M41" s="770"/>
      <c r="N41" s="776">
        <v>0</v>
      </c>
      <c r="O41" s="770"/>
      <c r="P41" s="612"/>
      <c r="Q41" s="596"/>
    </row>
    <row r="42" spans="1:17" hidden="1" x14ac:dyDescent="0.25">
      <c r="A42" s="604" t="s">
        <v>501</v>
      </c>
      <c r="B42" s="632">
        <f>Nøgletal!D76</f>
        <v>0</v>
      </c>
      <c r="C42" s="632">
        <f>Nøgletal!F76</f>
        <v>0</v>
      </c>
      <c r="D42" s="632">
        <f>Nøgletal!H76</f>
        <v>0</v>
      </c>
      <c r="E42" s="632">
        <f>Nøgletal!J76</f>
        <v>0</v>
      </c>
      <c r="F42" s="632">
        <f>Nøgletal!L76</f>
        <v>0</v>
      </c>
      <c r="G42" s="632">
        <f>Nøgletal!N76</f>
        <v>0</v>
      </c>
      <c r="H42" s="764">
        <f>Nøgletal!P76</f>
        <v>0</v>
      </c>
      <c r="I42" s="764"/>
      <c r="J42" s="764">
        <f>Nøgletal!R76</f>
        <v>0</v>
      </c>
      <c r="K42" s="764"/>
      <c r="L42" s="770">
        <v>0</v>
      </c>
      <c r="M42" s="770"/>
      <c r="N42" s="776">
        <v>0</v>
      </c>
      <c r="O42" s="770"/>
      <c r="P42" s="612"/>
      <c r="Q42" s="596"/>
    </row>
    <row r="43" spans="1:17" hidden="1" x14ac:dyDescent="0.25">
      <c r="A43" s="604" t="s">
        <v>314</v>
      </c>
      <c r="B43" s="632">
        <f>Nøgletal!D77</f>
        <v>0</v>
      </c>
      <c r="C43" s="632">
        <f>Nøgletal!F77</f>
        <v>0</v>
      </c>
      <c r="D43" s="632">
        <f>Nøgletal!H77</f>
        <v>0</v>
      </c>
      <c r="E43" s="632">
        <f>Nøgletal!J77</f>
        <v>0</v>
      </c>
      <c r="F43" s="632">
        <f>Nøgletal!L77</f>
        <v>0</v>
      </c>
      <c r="G43" s="632">
        <f>Nøgletal!N77</f>
        <v>0</v>
      </c>
      <c r="H43" s="764">
        <f>Nøgletal!P77</f>
        <v>0</v>
      </c>
      <c r="I43" s="764"/>
      <c r="J43" s="764">
        <f>Nøgletal!R77</f>
        <v>0</v>
      </c>
      <c r="K43" s="764"/>
      <c r="L43" s="770">
        <v>0</v>
      </c>
      <c r="M43" s="770"/>
      <c r="N43" s="776">
        <v>0</v>
      </c>
      <c r="O43" s="770"/>
      <c r="P43" s="612"/>
      <c r="Q43" s="596"/>
    </row>
    <row r="44" spans="1:17" x14ac:dyDescent="0.25">
      <c r="A44" s="629" t="s">
        <v>262</v>
      </c>
      <c r="B44" s="630"/>
      <c r="C44" s="632"/>
      <c r="D44" s="632"/>
      <c r="E44" s="632"/>
      <c r="F44" s="632"/>
      <c r="G44" s="632"/>
      <c r="H44" s="630" t="s">
        <v>0</v>
      </c>
      <c r="I44" s="627" t="s">
        <v>491</v>
      </c>
      <c r="J44" s="630" t="s">
        <v>0</v>
      </c>
      <c r="K44" s="627" t="s">
        <v>491</v>
      </c>
      <c r="L44" s="588"/>
      <c r="M44" s="597"/>
      <c r="N44" s="590"/>
      <c r="O44" s="598"/>
      <c r="P44" s="610"/>
      <c r="Q44" s="596"/>
    </row>
    <row r="45" spans="1:17" x14ac:dyDescent="0.25">
      <c r="A45" s="631" t="s">
        <v>485</v>
      </c>
      <c r="B45" s="630">
        <f>Nøgletal!D86</f>
        <v>91.800847132200005</v>
      </c>
      <c r="C45" s="632">
        <f>Nøgletal!G86</f>
        <v>4.594429701532235E-2</v>
      </c>
      <c r="D45" s="632">
        <f>Nøgletal!I86</f>
        <v>6.9173524815354992E-2</v>
      </c>
      <c r="E45" s="632">
        <f>Nøgletal!K86</f>
        <v>9.9363910820907293E-3</v>
      </c>
      <c r="F45" s="632">
        <f>Nøgletal!M86</f>
        <v>-1.3507027685779523E-2</v>
      </c>
      <c r="G45" s="632">
        <f>Nøgletal!O86</f>
        <v>-0.12011199363298938</v>
      </c>
      <c r="H45" s="630">
        <f>Nøgletal!P86</f>
        <v>61</v>
      </c>
      <c r="I45" s="632">
        <f>Nøgletal!Q86</f>
        <v>-0.12252475247524751</v>
      </c>
      <c r="J45" s="630">
        <f>Nøgletal!R86</f>
        <v>61</v>
      </c>
      <c r="K45" s="632">
        <f>Nøgletal!S86</f>
        <v>0</v>
      </c>
      <c r="L45" s="606">
        <f>SUM(L46:L48)</f>
        <v>61</v>
      </c>
      <c r="M45" s="592">
        <v>0</v>
      </c>
      <c r="N45" s="621">
        <f>SUM(N46:N48)</f>
        <v>77.982135143341793</v>
      </c>
      <c r="O45" s="592">
        <v>1.9072358978824866E-2</v>
      </c>
      <c r="P45" s="609">
        <f>'BF - overblik beregning'!G3</f>
        <v>1.9072358978824866E-2</v>
      </c>
      <c r="Q45" s="596"/>
    </row>
    <row r="46" spans="1:17" ht="15" customHeight="1" x14ac:dyDescent="0.25">
      <c r="A46" s="604" t="s">
        <v>305</v>
      </c>
      <c r="B46" s="630">
        <f>Nøgletal!D87</f>
        <v>12.14939745</v>
      </c>
      <c r="C46" s="632">
        <f>Nøgletal!G87</f>
        <v>4.5944297015322377E-2</v>
      </c>
      <c r="D46" s="632">
        <f>Nøgletal!I87</f>
        <v>6.9173524815354936E-2</v>
      </c>
      <c r="E46" s="632">
        <f>Nøgletal!K87</f>
        <v>9.9363910820907467E-3</v>
      </c>
      <c r="F46" s="632">
        <f>Nøgletal!M87</f>
        <v>-1.3507027685779563E-2</v>
      </c>
      <c r="G46" s="632">
        <f>Nøgletal!O87</f>
        <v>-0.11988067568851837</v>
      </c>
      <c r="H46" s="630">
        <f>Nøgletal!P87</f>
        <v>8.1</v>
      </c>
      <c r="I46" s="632">
        <f>Nøgletal!Q87</f>
        <v>-0.12149532710280372</v>
      </c>
      <c r="J46" s="630">
        <f>Nøgletal!R87</f>
        <v>8.1</v>
      </c>
      <c r="K46" s="632">
        <f>Nøgletal!S87</f>
        <v>0</v>
      </c>
      <c r="L46" s="594">
        <f>J46*(1+M46)^(L$2-J$2)</f>
        <v>8.1</v>
      </c>
      <c r="M46" s="592">
        <f>M$45</f>
        <v>0</v>
      </c>
      <c r="N46" s="595">
        <f>J46*(1+O46)^(N$2-J$2)</f>
        <v>10.355004830509319</v>
      </c>
      <c r="O46" s="592">
        <f>O$45</f>
        <v>1.9072358978824866E-2</v>
      </c>
      <c r="P46" s="612"/>
      <c r="Q46" s="596"/>
    </row>
    <row r="47" spans="1:17" ht="15" customHeight="1" x14ac:dyDescent="0.25">
      <c r="A47" s="604" t="s">
        <v>309</v>
      </c>
      <c r="B47" s="630">
        <f>Nøgletal!D88</f>
        <v>40.821975432000009</v>
      </c>
      <c r="C47" s="632">
        <f>Nøgletal!G88</f>
        <v>4.5944297015322301E-2</v>
      </c>
      <c r="D47" s="632">
        <f>Nøgletal!I88</f>
        <v>6.9173524815354812E-2</v>
      </c>
      <c r="E47" s="632">
        <f>Nøgletal!K88</f>
        <v>9.9363910820907866E-3</v>
      </c>
      <c r="F47" s="632">
        <f>Nøgletal!M88</f>
        <v>-1.3507027685779511E-2</v>
      </c>
      <c r="G47" s="632">
        <f>Nøgletal!O88</f>
        <v>-0.12043046999381983</v>
      </c>
      <c r="H47" s="630">
        <f>Nøgletal!P88</f>
        <v>27.1</v>
      </c>
      <c r="I47" s="632">
        <f>Nøgletal!Q88</f>
        <v>-0.12256267409470749</v>
      </c>
      <c r="J47" s="630">
        <f>Nøgletal!R88</f>
        <v>27.1</v>
      </c>
      <c r="K47" s="632">
        <f>Nøgletal!S88</f>
        <v>0</v>
      </c>
      <c r="L47" s="594">
        <f>J47*(1+M47)^(L$2-J$2)</f>
        <v>27.1</v>
      </c>
      <c r="M47" s="592">
        <f>M$45</f>
        <v>0</v>
      </c>
      <c r="N47" s="595">
        <f>J47*(1+O47)^(N$2-J$2)</f>
        <v>34.644522334173161</v>
      </c>
      <c r="O47" s="592">
        <f>O$45</f>
        <v>1.9072358978824866E-2</v>
      </c>
      <c r="P47" s="612"/>
      <c r="Q47" s="596"/>
    </row>
    <row r="48" spans="1:17" ht="15" customHeight="1" x14ac:dyDescent="0.25">
      <c r="A48" s="604" t="s">
        <v>290</v>
      </c>
      <c r="B48" s="630">
        <f>Nøgletal!D89</f>
        <v>38.829474250200001</v>
      </c>
      <c r="C48" s="632">
        <f>Nøgletal!G89</f>
        <v>4.5944297015322336E-2</v>
      </c>
      <c r="D48" s="632">
        <f>Nøgletal!I89</f>
        <v>6.9173524815354936E-2</v>
      </c>
      <c r="E48" s="632">
        <f>Nøgletal!K89</f>
        <v>9.936391082090764E-3</v>
      </c>
      <c r="F48" s="632">
        <f>Nøgletal!M89</f>
        <v>-1.3507027685779544E-2</v>
      </c>
      <c r="G48" s="632">
        <f>Nøgletal!O89</f>
        <v>-0.11984955226004837</v>
      </c>
      <c r="H48" s="630">
        <f>Nøgletal!P89</f>
        <v>25.8</v>
      </c>
      <c r="I48" s="632">
        <f>Nøgletal!Q89</f>
        <v>-0.12280701754385967</v>
      </c>
      <c r="J48" s="630">
        <f>Nøgletal!R89</f>
        <v>25.8</v>
      </c>
      <c r="K48" s="632">
        <f>Nøgletal!S89</f>
        <v>0</v>
      </c>
      <c r="L48" s="594">
        <f>J48*(1+M48)^(L$2-J$2)</f>
        <v>25.8</v>
      </c>
      <c r="M48" s="592">
        <f>M$45</f>
        <v>0</v>
      </c>
      <c r="N48" s="595">
        <f>J48*(1+O48)^(N$2-J$2)</f>
        <v>32.982607978659317</v>
      </c>
      <c r="O48" s="592">
        <f>O$45</f>
        <v>1.9072358978824866E-2</v>
      </c>
      <c r="P48" s="612"/>
      <c r="Q48" s="596"/>
    </row>
    <row r="49" spans="1:17" x14ac:dyDescent="0.25">
      <c r="A49" s="631" t="s">
        <v>345</v>
      </c>
      <c r="B49" s="630">
        <f>Nøgletal!D90</f>
        <v>0</v>
      </c>
      <c r="C49" s="632">
        <f>Nøgletal!G90</f>
        <v>0</v>
      </c>
      <c r="D49" s="632">
        <f>Nøgletal!I90</f>
        <v>0</v>
      </c>
      <c r="E49" s="632">
        <f>Nøgletal!K90</f>
        <v>0</v>
      </c>
      <c r="F49" s="632">
        <f>Nøgletal!M90</f>
        <v>0</v>
      </c>
      <c r="G49" s="632">
        <f>Nøgletal!O90</f>
        <v>0</v>
      </c>
      <c r="H49" s="630">
        <f>Nøgletal!P90</f>
        <v>0</v>
      </c>
      <c r="I49" s="632">
        <f>Nøgletal!Q90</f>
        <v>0</v>
      </c>
      <c r="J49" s="630">
        <f>Nøgletal!R90</f>
        <v>0</v>
      </c>
      <c r="K49" s="632">
        <f>Nøgletal!S90</f>
        <v>0</v>
      </c>
      <c r="L49" s="594">
        <f>J49*(1+M49)^(L$2-J$2)</f>
        <v>0</v>
      </c>
      <c r="M49" s="592">
        <v>0</v>
      </c>
      <c r="N49" s="595">
        <f>J49*(1+O49)^(N$2-J$2)</f>
        <v>0</v>
      </c>
      <c r="O49" s="592">
        <v>-2.4418179377386218E-2</v>
      </c>
      <c r="P49" s="609">
        <f>'BF - overblik beregning'!C3</f>
        <v>-2.4418179377386218E-2</v>
      </c>
      <c r="Q49" s="596"/>
    </row>
    <row r="50" spans="1:17" x14ac:dyDescent="0.25">
      <c r="A50" s="631" t="s">
        <v>526</v>
      </c>
      <c r="B50" s="630">
        <f>Nøgletal!D91</f>
        <v>0</v>
      </c>
      <c r="C50" s="632">
        <f>Nøgletal!G91</f>
        <v>0</v>
      </c>
      <c r="D50" s="632">
        <f>Nøgletal!I91</f>
        <v>0</v>
      </c>
      <c r="E50" s="632">
        <f>Nøgletal!K91</f>
        <v>0</v>
      </c>
      <c r="F50" s="632">
        <f>Nøgletal!M91</f>
        <v>0</v>
      </c>
      <c r="G50" s="632">
        <f>Nøgletal!O91</f>
        <v>0</v>
      </c>
      <c r="H50" s="630">
        <f>Nøgletal!P91</f>
        <v>0</v>
      </c>
      <c r="I50" s="632">
        <f>Nøgletal!Q91</f>
        <v>0</v>
      </c>
      <c r="J50" s="630">
        <f>Nøgletal!R91</f>
        <v>0</v>
      </c>
      <c r="K50" s="632">
        <f>Nøgletal!S91</f>
        <v>0</v>
      </c>
      <c r="L50" s="594">
        <f>J50*(1+M50)^(L$2-J$2)</f>
        <v>0</v>
      </c>
      <c r="M50" s="592">
        <v>0</v>
      </c>
      <c r="N50" s="595">
        <f>J50*(1+O50)^(N$2-J$2)</f>
        <v>0</v>
      </c>
      <c r="O50" s="592">
        <v>2.8566976600855387E-2</v>
      </c>
      <c r="P50" s="609">
        <f>'BF - overblik beregning'!I3</f>
        <v>2.8566976600855387E-2</v>
      </c>
      <c r="Q50" s="596"/>
    </row>
    <row r="51" spans="1:17" x14ac:dyDescent="0.25">
      <c r="A51" s="631" t="s">
        <v>28</v>
      </c>
      <c r="B51" s="630">
        <f>Nøgletal!D92</f>
        <v>192.67487030702824</v>
      </c>
      <c r="C51" s="632">
        <f>Nøgletal!G92</f>
        <v>0.10596988172010549</v>
      </c>
      <c r="D51" s="632">
        <f>Nøgletal!I92</f>
        <v>0.11146250864682249</v>
      </c>
      <c r="E51" s="632">
        <f>Nøgletal!K92</f>
        <v>-4.9697876061990519E-2</v>
      </c>
      <c r="F51" s="632">
        <f>Nøgletal!M92</f>
        <v>-4.3715112316348677E-2</v>
      </c>
      <c r="G51" s="632">
        <f>Nøgletal!O92</f>
        <v>-1.6560520341410298E-2</v>
      </c>
      <c r="H51" s="630">
        <f>Nøgletal!P92</f>
        <v>211.76933185884002</v>
      </c>
      <c r="I51" s="632">
        <f>Nøgletal!Q92</f>
        <v>1.34048435193545E-2</v>
      </c>
      <c r="J51" s="630">
        <f>Nøgletal!R92</f>
        <v>211.76933185884002</v>
      </c>
      <c r="K51" s="632">
        <f>Nøgletal!S92</f>
        <v>0</v>
      </c>
      <c r="L51" s="616">
        <f>Fjernvarmeprognose!R10</f>
        <v>211.76933185884002</v>
      </c>
      <c r="M51" s="617">
        <f>Fjernvarmeprognose!S10</f>
        <v>0</v>
      </c>
      <c r="N51" s="621">
        <f>Fjernvarmeprognose!T10</f>
        <v>226.03094201250474</v>
      </c>
      <c r="O51" s="619">
        <f>Fjernvarmeprognose!U10</f>
        <v>5.025994025584124E-3</v>
      </c>
      <c r="P51" s="610"/>
      <c r="Q51" s="596"/>
    </row>
    <row r="52" spans="1:17" ht="15" customHeight="1" x14ac:dyDescent="0.25">
      <c r="A52" s="633" t="s">
        <v>490</v>
      </c>
      <c r="B52" s="632"/>
      <c r="C52" s="632"/>
      <c r="D52" s="632"/>
      <c r="E52" s="632"/>
      <c r="F52" s="632"/>
      <c r="G52" s="632"/>
      <c r="H52" s="764" t="s">
        <v>527</v>
      </c>
      <c r="I52" s="764"/>
      <c r="J52" s="764" t="s">
        <v>527</v>
      </c>
      <c r="K52" s="764"/>
      <c r="L52" s="597"/>
      <c r="M52" s="597"/>
      <c r="N52" s="598"/>
      <c r="O52" s="598"/>
      <c r="P52" s="610"/>
      <c r="Q52" s="596"/>
    </row>
    <row r="53" spans="1:17" ht="15" hidden="1" customHeight="1" x14ac:dyDescent="0.25">
      <c r="A53" s="604" t="s">
        <v>344</v>
      </c>
      <c r="B53" s="632">
        <f>Nøgletal!D97</f>
        <v>0</v>
      </c>
      <c r="C53" s="632">
        <f>Nøgletal!F97</f>
        <v>0</v>
      </c>
      <c r="D53" s="632">
        <f>Nøgletal!H97</f>
        <v>0</v>
      </c>
      <c r="E53" s="632">
        <f>Nøgletal!J97</f>
        <v>0</v>
      </c>
      <c r="F53" s="632">
        <f>Nøgletal!L97</f>
        <v>0</v>
      </c>
      <c r="G53" s="632">
        <f>Nøgletal!N97</f>
        <v>0</v>
      </c>
      <c r="H53" s="764">
        <f>Nøgletal!P97</f>
        <v>0</v>
      </c>
      <c r="I53" s="764"/>
      <c r="J53" s="764">
        <f>Nøgletal!R97</f>
        <v>0</v>
      </c>
      <c r="K53" s="764"/>
      <c r="L53" s="770">
        <v>0</v>
      </c>
      <c r="M53" s="770"/>
      <c r="N53" s="776">
        <v>0</v>
      </c>
      <c r="O53" s="770"/>
      <c r="P53" s="612"/>
      <c r="Q53" s="596"/>
    </row>
    <row r="54" spans="1:17" ht="15" hidden="1" customHeight="1" x14ac:dyDescent="0.25">
      <c r="A54" s="604" t="s">
        <v>346</v>
      </c>
      <c r="B54" s="632">
        <f>Nøgletal!D98</f>
        <v>0</v>
      </c>
      <c r="C54" s="632">
        <f>Nøgletal!F98</f>
        <v>0</v>
      </c>
      <c r="D54" s="632">
        <f>Nøgletal!H98</f>
        <v>0</v>
      </c>
      <c r="E54" s="632">
        <f>Nøgletal!J98</f>
        <v>0</v>
      </c>
      <c r="F54" s="632">
        <f>Nøgletal!L98</f>
        <v>0</v>
      </c>
      <c r="G54" s="632">
        <f>Nøgletal!N98</f>
        <v>0</v>
      </c>
      <c r="H54" s="764">
        <f>Nøgletal!P98</f>
        <v>0</v>
      </c>
      <c r="I54" s="764"/>
      <c r="J54" s="764">
        <f>Nøgletal!R98</f>
        <v>0</v>
      </c>
      <c r="K54" s="764"/>
      <c r="L54" s="770">
        <v>0</v>
      </c>
      <c r="M54" s="770"/>
      <c r="N54" s="776">
        <v>7.35551663747811E-2</v>
      </c>
      <c r="O54" s="770"/>
      <c r="P54" s="611">
        <f>'BF - overblik beregning'!B18</f>
        <v>7.35551663747811E-2</v>
      </c>
      <c r="Q54" s="602"/>
    </row>
    <row r="55" spans="1:17" ht="15" hidden="1" customHeight="1" x14ac:dyDescent="0.25">
      <c r="A55" s="604" t="s">
        <v>347</v>
      </c>
      <c r="B55" s="632">
        <f>Nøgletal!D99</f>
        <v>0</v>
      </c>
      <c r="C55" s="632">
        <f>Nøgletal!F99</f>
        <v>0</v>
      </c>
      <c r="D55" s="632">
        <f>Nøgletal!H99</f>
        <v>0</v>
      </c>
      <c r="E55" s="632">
        <f>Nøgletal!J99</f>
        <v>0</v>
      </c>
      <c r="F55" s="632">
        <f>Nøgletal!L99</f>
        <v>0</v>
      </c>
      <c r="G55" s="632">
        <f>Nøgletal!N99</f>
        <v>0</v>
      </c>
      <c r="H55" s="764">
        <f>Nøgletal!P99</f>
        <v>0</v>
      </c>
      <c r="I55" s="764"/>
      <c r="J55" s="764">
        <f>Nøgletal!R99</f>
        <v>0</v>
      </c>
      <c r="K55" s="764"/>
      <c r="L55" s="770">
        <v>0</v>
      </c>
      <c r="M55" s="770"/>
      <c r="N55" s="776">
        <v>0.41243432574430827</v>
      </c>
      <c r="O55" s="770"/>
      <c r="P55" s="611">
        <f>'BF - overblik beregning'!B17</f>
        <v>0.41243432574430827</v>
      </c>
      <c r="Q55" s="602"/>
    </row>
    <row r="56" spans="1:17" ht="15" hidden="1" customHeight="1" x14ac:dyDescent="0.25">
      <c r="A56" s="604" t="s">
        <v>348</v>
      </c>
      <c r="B56" s="632">
        <f>Nøgletal!D100</f>
        <v>0</v>
      </c>
      <c r="C56" s="632">
        <f>Nøgletal!F100</f>
        <v>0</v>
      </c>
      <c r="D56" s="632">
        <f>Nøgletal!H100</f>
        <v>0</v>
      </c>
      <c r="E56" s="632">
        <f>Nøgletal!J100</f>
        <v>0</v>
      </c>
      <c r="F56" s="632">
        <f>Nøgletal!L100</f>
        <v>0</v>
      </c>
      <c r="G56" s="632">
        <f>Nøgletal!N100</f>
        <v>0</v>
      </c>
      <c r="H56" s="764">
        <f>Nøgletal!P100</f>
        <v>0</v>
      </c>
      <c r="I56" s="764"/>
      <c r="J56" s="764">
        <f>Nøgletal!R100</f>
        <v>0</v>
      </c>
      <c r="K56" s="764"/>
      <c r="L56" s="770">
        <v>0</v>
      </c>
      <c r="M56" s="770"/>
      <c r="N56" s="776">
        <v>0.21803852889667255</v>
      </c>
      <c r="O56" s="770"/>
      <c r="P56" s="611">
        <f>'BF - overblik beregning'!B19</f>
        <v>0.21803852889667255</v>
      </c>
      <c r="Q56" s="602"/>
    </row>
    <row r="57" spans="1:17" ht="15" hidden="1" customHeight="1" x14ac:dyDescent="0.25">
      <c r="A57" s="604" t="s">
        <v>349</v>
      </c>
      <c r="B57" s="632">
        <f>Nøgletal!D101</f>
        <v>0</v>
      </c>
      <c r="C57" s="632">
        <f>Nøgletal!F101</f>
        <v>0</v>
      </c>
      <c r="D57" s="632">
        <f>Nøgletal!H101</f>
        <v>0</v>
      </c>
      <c r="E57" s="632">
        <f>Nøgletal!J101</f>
        <v>0</v>
      </c>
      <c r="F57" s="632">
        <f>Nøgletal!L101</f>
        <v>0</v>
      </c>
      <c r="G57" s="632">
        <f>Nøgletal!N101</f>
        <v>0</v>
      </c>
      <c r="H57" s="764">
        <f>Nøgletal!P101</f>
        <v>0</v>
      </c>
      <c r="I57" s="764"/>
      <c r="J57" s="764">
        <f>Nøgletal!R101</f>
        <v>0</v>
      </c>
      <c r="K57" s="764"/>
      <c r="L57" s="771">
        <f>IF(L50&gt;0,1-L53-L54-L55-L56-L58-L59-L60-L61,0)</f>
        <v>0</v>
      </c>
      <c r="M57" s="771"/>
      <c r="N57" s="777">
        <f>IF(N50&gt;0,1-N53-N54-N55-N56-N58-N59-N60-N61,0)</f>
        <v>0</v>
      </c>
      <c r="O57" s="771"/>
      <c r="P57" s="611">
        <f>'BF - overblik beregning'!B20</f>
        <v>0.2959719789842381</v>
      </c>
      <c r="Q57" s="596"/>
    </row>
    <row r="58" spans="1:17" ht="15" hidden="1" customHeight="1" x14ac:dyDescent="0.25">
      <c r="A58" s="604" t="s">
        <v>350</v>
      </c>
      <c r="B58" s="632">
        <f>Nøgletal!D102</f>
        <v>0</v>
      </c>
      <c r="C58" s="632">
        <f>Nøgletal!F102</f>
        <v>0</v>
      </c>
      <c r="D58" s="632">
        <f>Nøgletal!H102</f>
        <v>0</v>
      </c>
      <c r="E58" s="632">
        <f>Nøgletal!J102</f>
        <v>0</v>
      </c>
      <c r="F58" s="632">
        <f>Nøgletal!L102</f>
        <v>0</v>
      </c>
      <c r="G58" s="632">
        <f>Nøgletal!N102</f>
        <v>0</v>
      </c>
      <c r="H58" s="764">
        <f>Nøgletal!P102</f>
        <v>0</v>
      </c>
      <c r="I58" s="764"/>
      <c r="J58" s="764">
        <f>Nøgletal!R102</f>
        <v>0</v>
      </c>
      <c r="K58" s="764"/>
      <c r="L58" s="770">
        <v>0</v>
      </c>
      <c r="M58" s="770"/>
      <c r="N58" s="776">
        <v>0</v>
      </c>
      <c r="O58" s="770"/>
      <c r="P58" s="612"/>
      <c r="Q58" s="596"/>
    </row>
    <row r="59" spans="1:17" ht="15" hidden="1" customHeight="1" x14ac:dyDescent="0.25">
      <c r="A59" s="604" t="s">
        <v>331</v>
      </c>
      <c r="B59" s="632">
        <f>Nøgletal!D103</f>
        <v>0</v>
      </c>
      <c r="C59" s="632">
        <f>Nøgletal!F103</f>
        <v>0</v>
      </c>
      <c r="D59" s="632">
        <f>Nøgletal!H103</f>
        <v>0</v>
      </c>
      <c r="E59" s="632">
        <f>Nøgletal!J103</f>
        <v>0</v>
      </c>
      <c r="F59" s="632">
        <f>Nøgletal!L103</f>
        <v>0</v>
      </c>
      <c r="G59" s="632">
        <f>Nøgletal!N103</f>
        <v>0</v>
      </c>
      <c r="H59" s="764">
        <f>Nøgletal!P103</f>
        <v>0</v>
      </c>
      <c r="I59" s="764"/>
      <c r="J59" s="764">
        <f>Nøgletal!R103</f>
        <v>0</v>
      </c>
      <c r="K59" s="764"/>
      <c r="L59" s="770">
        <v>0</v>
      </c>
      <c r="M59" s="770"/>
      <c r="N59" s="776">
        <v>0</v>
      </c>
      <c r="O59" s="770"/>
      <c r="P59" s="612"/>
      <c r="Q59" s="596"/>
    </row>
    <row r="60" spans="1:17" ht="15" hidden="1" customHeight="1" x14ac:dyDescent="0.25">
      <c r="A60" s="604" t="s">
        <v>501</v>
      </c>
      <c r="B60" s="632">
        <f>Nøgletal!D104</f>
        <v>0</v>
      </c>
      <c r="C60" s="632">
        <f>Nøgletal!F104</f>
        <v>0</v>
      </c>
      <c r="D60" s="632">
        <f>Nøgletal!H104</f>
        <v>0</v>
      </c>
      <c r="E60" s="632">
        <f>Nøgletal!J104</f>
        <v>0</v>
      </c>
      <c r="F60" s="632">
        <f>Nøgletal!L104</f>
        <v>0</v>
      </c>
      <c r="G60" s="632">
        <f>Nøgletal!N104</f>
        <v>0</v>
      </c>
      <c r="H60" s="764">
        <f>Nøgletal!P104</f>
        <v>0</v>
      </c>
      <c r="I60" s="764"/>
      <c r="J60" s="764">
        <f>Nøgletal!R104</f>
        <v>0</v>
      </c>
      <c r="K60" s="764"/>
      <c r="L60" s="770">
        <v>0</v>
      </c>
      <c r="M60" s="770"/>
      <c r="N60" s="776">
        <v>0</v>
      </c>
      <c r="O60" s="770"/>
      <c r="P60" s="612"/>
      <c r="Q60" s="596"/>
    </row>
    <row r="61" spans="1:17" ht="15" hidden="1" customHeight="1" x14ac:dyDescent="0.25">
      <c r="A61" s="604" t="s">
        <v>314</v>
      </c>
      <c r="B61" s="632">
        <f>Nøgletal!D105</f>
        <v>0</v>
      </c>
      <c r="C61" s="632">
        <f>Nøgletal!F105</f>
        <v>0</v>
      </c>
      <c r="D61" s="632">
        <f>Nøgletal!H105</f>
        <v>0</v>
      </c>
      <c r="E61" s="632">
        <f>Nøgletal!J105</f>
        <v>0</v>
      </c>
      <c r="F61" s="632">
        <f>Nøgletal!L105</f>
        <v>0</v>
      </c>
      <c r="G61" s="632">
        <f>Nøgletal!N105</f>
        <v>0</v>
      </c>
      <c r="H61" s="764">
        <f>Nøgletal!P105</f>
        <v>0</v>
      </c>
      <c r="I61" s="764"/>
      <c r="J61" s="764">
        <f>Nøgletal!R105</f>
        <v>0</v>
      </c>
      <c r="K61" s="764"/>
      <c r="L61" s="770">
        <v>0</v>
      </c>
      <c r="M61" s="770"/>
      <c r="N61" s="776">
        <v>0</v>
      </c>
      <c r="O61" s="770"/>
      <c r="P61" s="612"/>
      <c r="Q61" s="596"/>
    </row>
    <row r="62" spans="1:17" x14ac:dyDescent="0.25">
      <c r="A62" s="629" t="s">
        <v>264</v>
      </c>
      <c r="B62" s="630"/>
      <c r="C62" s="632"/>
      <c r="D62" s="632"/>
      <c r="E62" s="632"/>
      <c r="F62" s="632"/>
      <c r="G62" s="632"/>
      <c r="H62" s="630" t="s">
        <v>0</v>
      </c>
      <c r="I62" s="627" t="s">
        <v>491</v>
      </c>
      <c r="J62" s="630" t="s">
        <v>0</v>
      </c>
      <c r="K62" s="627" t="s">
        <v>491</v>
      </c>
      <c r="L62" s="588"/>
      <c r="M62" s="597"/>
      <c r="N62" s="590"/>
      <c r="O62" s="598"/>
      <c r="P62" s="610"/>
      <c r="Q62" s="596"/>
    </row>
    <row r="63" spans="1:17" x14ac:dyDescent="0.25">
      <c r="A63" s="631" t="s">
        <v>485</v>
      </c>
      <c r="B63" s="630">
        <f>Nøgletal!D114</f>
        <v>100.4547879576</v>
      </c>
      <c r="C63" s="632">
        <f>Nøgletal!G114</f>
        <v>-9.2992476117145038E-3</v>
      </c>
      <c r="D63" s="632">
        <f>Nøgletal!I114</f>
        <v>1.3202034964229996E-2</v>
      </c>
      <c r="E63" s="632">
        <f>Nøgletal!K114</f>
        <v>-2.2597412144329504E-2</v>
      </c>
      <c r="F63" s="632">
        <f>Nøgletal!M114</f>
        <v>-1.1730880606645041E-2</v>
      </c>
      <c r="G63" s="632">
        <f>Nøgletal!O114</f>
        <v>-9.8973406123863336E-2</v>
      </c>
      <c r="H63" s="630">
        <f>Nøgletal!P114</f>
        <v>67.8</v>
      </c>
      <c r="I63" s="632">
        <f>Nøgletal!Q114</f>
        <v>-4.6184738955823326E-2</v>
      </c>
      <c r="J63" s="630">
        <f>Nøgletal!R114</f>
        <v>67.8</v>
      </c>
      <c r="K63" s="632">
        <f>Nøgletal!S114</f>
        <v>0</v>
      </c>
      <c r="L63" s="606">
        <f>SUM(L64:L66)</f>
        <v>67.8</v>
      </c>
      <c r="M63" s="592">
        <v>0</v>
      </c>
      <c r="N63" s="621">
        <f>SUM(N64:N66)</f>
        <v>86.675225618337279</v>
      </c>
      <c r="O63" s="592">
        <v>1.9072358978824866E-2</v>
      </c>
      <c r="P63" s="609">
        <f>'BF - overblik beregning'!G3</f>
        <v>1.9072358978824866E-2</v>
      </c>
      <c r="Q63" s="596"/>
    </row>
    <row r="64" spans="1:17" ht="15" customHeight="1" x14ac:dyDescent="0.25">
      <c r="A64" s="604" t="s">
        <v>305</v>
      </c>
      <c r="B64" s="630">
        <f>Nøgletal!D115</f>
        <v>13.294704599999999</v>
      </c>
      <c r="C64" s="632">
        <f>Nøgletal!G115</f>
        <v>-9.2992476117144673E-3</v>
      </c>
      <c r="D64" s="632">
        <f>Nøgletal!I115</f>
        <v>1.3202034964229946E-2</v>
      </c>
      <c r="E64" s="632">
        <f>Nøgletal!K115</f>
        <v>-2.2597412144329469E-2</v>
      </c>
      <c r="F64" s="632">
        <f>Nøgletal!M115</f>
        <v>-1.173088060664498E-2</v>
      </c>
      <c r="G64" s="632">
        <f>Nøgletal!O115</f>
        <v>-9.8412935221578665E-2</v>
      </c>
      <c r="H64" s="630">
        <f>Nøgletal!P115</f>
        <v>9</v>
      </c>
      <c r="I64" s="632">
        <f>Nøgletal!Q115</f>
        <v>-4.545454545454547E-2</v>
      </c>
      <c r="J64" s="630">
        <f>Nøgletal!R115</f>
        <v>9</v>
      </c>
      <c r="K64" s="632">
        <f>Nøgletal!S115</f>
        <v>0</v>
      </c>
      <c r="L64" s="594">
        <f>J64*(1+M64)^(L$2-J$2)</f>
        <v>9</v>
      </c>
      <c r="M64" s="592">
        <f>M$63</f>
        <v>0</v>
      </c>
      <c r="N64" s="595">
        <f>J64*(1+O64)^(N$2-J$2)</f>
        <v>11.505560922788133</v>
      </c>
      <c r="O64" s="592">
        <f>O$63</f>
        <v>1.9072358978824866E-2</v>
      </c>
      <c r="P64" s="612"/>
      <c r="Q64" s="596"/>
    </row>
    <row r="65" spans="1:20" ht="15" customHeight="1" x14ac:dyDescent="0.25">
      <c r="A65" s="604" t="s">
        <v>309</v>
      </c>
      <c r="B65" s="630">
        <f>Nøgletal!D116</f>
        <v>44.670207456</v>
      </c>
      <c r="C65" s="632">
        <f>Nøgletal!G116</f>
        <v>-9.2992476117144101E-3</v>
      </c>
      <c r="D65" s="632">
        <f>Nøgletal!I116</f>
        <v>1.320203496422971E-2</v>
      </c>
      <c r="E65" s="632">
        <f>Nøgletal!K116</f>
        <v>-2.2597412144329431E-2</v>
      </c>
      <c r="F65" s="632">
        <f>Nøgletal!M116</f>
        <v>-1.1730880606644945E-2</v>
      </c>
      <c r="G65" s="632">
        <f>Nøgletal!O116</f>
        <v>-9.918558950686665E-2</v>
      </c>
      <c r="H65" s="630">
        <f>Nøgletal!P116</f>
        <v>30.1</v>
      </c>
      <c r="I65" s="632">
        <f>Nøgletal!Q116</f>
        <v>-4.6686746987951826E-2</v>
      </c>
      <c r="J65" s="630">
        <f>Nøgletal!R116</f>
        <v>30.1</v>
      </c>
      <c r="K65" s="632">
        <f>Nøgletal!S116</f>
        <v>0</v>
      </c>
      <c r="L65" s="594">
        <f>J65*(1+M65)^(L$2-J$2)</f>
        <v>30.1</v>
      </c>
      <c r="M65" s="592">
        <f t="shared" ref="M65:M66" si="2">M$63</f>
        <v>0</v>
      </c>
      <c r="N65" s="595">
        <f>J65*(1+O65)^(N$2-J$2)</f>
        <v>38.479709308435872</v>
      </c>
      <c r="O65" s="592">
        <f t="shared" ref="O65:O66" si="3">O$63</f>
        <v>1.9072358978824866E-2</v>
      </c>
      <c r="P65" s="612"/>
      <c r="Q65" s="596"/>
      <c r="T65" s="601"/>
    </row>
    <row r="66" spans="1:20" ht="15" customHeight="1" x14ac:dyDescent="0.25">
      <c r="A66" s="604" t="s">
        <v>290</v>
      </c>
      <c r="B66" s="630">
        <f>Nøgletal!D117</f>
        <v>42.489875901600001</v>
      </c>
      <c r="C66" s="632">
        <f>Nøgletal!G117</f>
        <v>-9.2992476117145905E-3</v>
      </c>
      <c r="D66" s="632">
        <f>Nøgletal!I117</f>
        <v>1.32020349642301E-2</v>
      </c>
      <c r="E66" s="632">
        <f>Nøgletal!K117</f>
        <v>-2.2597412144329452E-2</v>
      </c>
      <c r="F66" s="632">
        <f>Nøgletal!M117</f>
        <v>-1.1730880606645072E-2</v>
      </c>
      <c r="G66" s="632">
        <f>Nøgletal!O117</f>
        <v>-9.8925701097390795E-2</v>
      </c>
      <c r="H66" s="630">
        <f>Nøgletal!P117</f>
        <v>28.7</v>
      </c>
      <c r="I66" s="632">
        <f>Nøgletal!Q117</f>
        <v>-4.5886075949367118E-2</v>
      </c>
      <c r="J66" s="630">
        <f>Nøgletal!R117</f>
        <v>28.7</v>
      </c>
      <c r="K66" s="632">
        <f>Nøgletal!S117</f>
        <v>0</v>
      </c>
      <c r="L66" s="594">
        <f>J66*(1+M66)^(L$2-J$2)</f>
        <v>28.7</v>
      </c>
      <c r="M66" s="592">
        <f t="shared" si="2"/>
        <v>0</v>
      </c>
      <c r="N66" s="595">
        <f>J66*(1+O66)^(N$2-J$2)</f>
        <v>36.689955387113272</v>
      </c>
      <c r="O66" s="592">
        <f t="shared" si="3"/>
        <v>1.9072358978824866E-2</v>
      </c>
      <c r="P66" s="612"/>
      <c r="Q66" s="596"/>
    </row>
    <row r="67" spans="1:20" x14ac:dyDescent="0.25">
      <c r="A67" s="631" t="s">
        <v>345</v>
      </c>
      <c r="B67" s="630">
        <f>Nøgletal!D118</f>
        <v>0</v>
      </c>
      <c r="C67" s="632">
        <f>Nøgletal!G118</f>
        <v>0</v>
      </c>
      <c r="D67" s="632">
        <f>Nøgletal!I118</f>
        <v>0</v>
      </c>
      <c r="E67" s="632">
        <f>Nøgletal!K118</f>
        <v>0</v>
      </c>
      <c r="F67" s="632">
        <f>Nøgletal!M118</f>
        <v>0</v>
      </c>
      <c r="G67" s="632">
        <f>Nøgletal!O118</f>
        <v>0</v>
      </c>
      <c r="H67" s="630">
        <f>Nøgletal!P118</f>
        <v>0</v>
      </c>
      <c r="I67" s="632">
        <f>Nøgletal!Q118</f>
        <v>0</v>
      </c>
      <c r="J67" s="630">
        <f>Nøgletal!R118</f>
        <v>0</v>
      </c>
      <c r="K67" s="632">
        <f>Nøgletal!S118</f>
        <v>0</v>
      </c>
      <c r="L67" s="594">
        <f>J67*(1+M67)^(L$2-J$2)</f>
        <v>0</v>
      </c>
      <c r="M67" s="592">
        <v>0</v>
      </c>
      <c r="N67" s="595">
        <f>J67*(1+O67)^(N$2-J$2)</f>
        <v>0</v>
      </c>
      <c r="O67" s="592">
        <v>-2.4418179377386218E-2</v>
      </c>
      <c r="P67" s="609">
        <f>'BF - overblik beregning'!C3</f>
        <v>-2.4418179377386218E-2</v>
      </c>
      <c r="Q67" s="596"/>
    </row>
    <row r="68" spans="1:20" x14ac:dyDescent="0.25">
      <c r="A68" s="631" t="s">
        <v>526</v>
      </c>
      <c r="B68" s="630">
        <f>Nøgletal!D119</f>
        <v>0</v>
      </c>
      <c r="C68" s="632">
        <f>Nøgletal!G119</f>
        <v>0</v>
      </c>
      <c r="D68" s="632">
        <f>Nøgletal!I119</f>
        <v>0</v>
      </c>
      <c r="E68" s="632">
        <f>Nøgletal!K119</f>
        <v>0</v>
      </c>
      <c r="F68" s="632">
        <f>Nøgletal!M119</f>
        <v>0</v>
      </c>
      <c r="G68" s="632">
        <f>Nøgletal!O119</f>
        <v>0</v>
      </c>
      <c r="H68" s="630">
        <f>Nøgletal!P119</f>
        <v>0</v>
      </c>
      <c r="I68" s="632">
        <f>Nøgletal!Q119</f>
        <v>0</v>
      </c>
      <c r="J68" s="630">
        <f>Nøgletal!R119</f>
        <v>0</v>
      </c>
      <c r="K68" s="632">
        <f>Nøgletal!S119</f>
        <v>0</v>
      </c>
      <c r="L68" s="594">
        <f>J68*(1+M68)^(L$2-J$2)</f>
        <v>0</v>
      </c>
      <c r="M68" s="592">
        <v>0</v>
      </c>
      <c r="N68" s="595">
        <f>J68*(1+O68)^(N$2-J$2)</f>
        <v>0</v>
      </c>
      <c r="O68" s="592">
        <v>2.8566976600855387E-2</v>
      </c>
      <c r="P68" s="609">
        <f>'BF - overblik beregning'!I3</f>
        <v>2.8566976600855387E-2</v>
      </c>
      <c r="Q68" s="596"/>
    </row>
    <row r="69" spans="1:20" x14ac:dyDescent="0.25">
      <c r="A69" s="631" t="s">
        <v>28</v>
      </c>
      <c r="B69" s="630">
        <f>Nøgletal!D120</f>
        <v>113.25406638822022</v>
      </c>
      <c r="C69" s="632">
        <f>Nøgletal!G120</f>
        <v>6.7402112738843833E-2</v>
      </c>
      <c r="D69" s="632">
        <f>Nøgletal!I120</f>
        <v>7.0903377409390789E-2</v>
      </c>
      <c r="E69" s="632">
        <f>Nøgletal!K120</f>
        <v>-4.6699086407408837E-2</v>
      </c>
      <c r="F69" s="632">
        <f>Nøgletal!M120</f>
        <v>-4.9798256717248794E-2</v>
      </c>
      <c r="G69" s="632">
        <f>Nøgletal!O120</f>
        <v>-1.6560520341410343E-2</v>
      </c>
      <c r="H69" s="630">
        <f>Nøgletal!P120</f>
        <v>111.45754308360003</v>
      </c>
      <c r="I69" s="632">
        <f>Nøgletal!Q120</f>
        <v>1.3013230366403139E-2</v>
      </c>
      <c r="J69" s="630">
        <f>Nøgletal!R120</f>
        <v>111.45754308360003</v>
      </c>
      <c r="K69" s="632">
        <f>Nøgletal!S120</f>
        <v>0</v>
      </c>
      <c r="L69" s="616">
        <f>Fjernvarmeprognose!R12</f>
        <v>111.45754308360003</v>
      </c>
      <c r="M69" s="617">
        <f>Fjernvarmeprognose!S12</f>
        <v>0</v>
      </c>
      <c r="N69" s="621">
        <f>Fjernvarmeprognose!T12</f>
        <v>118.96365369079199</v>
      </c>
      <c r="O69" s="619">
        <f>Fjernvarmeprognose!U12</f>
        <v>5.025994025584124E-3</v>
      </c>
      <c r="P69" s="610"/>
      <c r="Q69" s="596"/>
    </row>
    <row r="70" spans="1:20" ht="15" customHeight="1" x14ac:dyDescent="0.25">
      <c r="A70" s="633" t="s">
        <v>490</v>
      </c>
      <c r="B70" s="632"/>
      <c r="C70" s="632"/>
      <c r="D70" s="632"/>
      <c r="E70" s="632"/>
      <c r="F70" s="632"/>
      <c r="G70" s="632"/>
      <c r="H70" s="764" t="s">
        <v>527</v>
      </c>
      <c r="I70" s="764"/>
      <c r="J70" s="764" t="s">
        <v>527</v>
      </c>
      <c r="K70" s="764"/>
      <c r="L70" s="597"/>
      <c r="M70" s="597"/>
      <c r="N70" s="598"/>
      <c r="O70" s="598"/>
      <c r="P70" s="610"/>
      <c r="Q70" s="596"/>
    </row>
    <row r="71" spans="1:20" ht="15" hidden="1" customHeight="1" x14ac:dyDescent="0.25">
      <c r="A71" s="604" t="s">
        <v>344</v>
      </c>
      <c r="B71" s="632">
        <f>Nøgletal!D125</f>
        <v>0</v>
      </c>
      <c r="C71" s="632">
        <f>Nøgletal!F125</f>
        <v>0</v>
      </c>
      <c r="D71" s="632">
        <f>Nøgletal!H125</f>
        <v>0</v>
      </c>
      <c r="E71" s="632">
        <f>Nøgletal!J125</f>
        <v>0</v>
      </c>
      <c r="F71" s="632">
        <f>Nøgletal!L125</f>
        <v>0</v>
      </c>
      <c r="G71" s="632">
        <f>Nøgletal!N125</f>
        <v>0</v>
      </c>
      <c r="H71" s="764">
        <f>Nøgletal!P125</f>
        <v>0</v>
      </c>
      <c r="I71" s="764"/>
      <c r="J71" s="764">
        <f>Nøgletal!R125</f>
        <v>0</v>
      </c>
      <c r="K71" s="764"/>
      <c r="L71" s="770">
        <v>0</v>
      </c>
      <c r="M71" s="770"/>
      <c r="N71" s="776">
        <v>0</v>
      </c>
      <c r="O71" s="770"/>
      <c r="P71" s="612"/>
      <c r="Q71" s="596"/>
    </row>
    <row r="72" spans="1:20" ht="15" hidden="1" customHeight="1" x14ac:dyDescent="0.25">
      <c r="A72" s="604" t="s">
        <v>346</v>
      </c>
      <c r="B72" s="632">
        <f>Nøgletal!D126</f>
        <v>0</v>
      </c>
      <c r="C72" s="632">
        <f>Nøgletal!F126</f>
        <v>0</v>
      </c>
      <c r="D72" s="632">
        <f>Nøgletal!H126</f>
        <v>0</v>
      </c>
      <c r="E72" s="632">
        <f>Nøgletal!J126</f>
        <v>0</v>
      </c>
      <c r="F72" s="632">
        <f>Nøgletal!L126</f>
        <v>0</v>
      </c>
      <c r="G72" s="632">
        <f>Nøgletal!N126</f>
        <v>0</v>
      </c>
      <c r="H72" s="764">
        <f>Nøgletal!P126</f>
        <v>0</v>
      </c>
      <c r="I72" s="764"/>
      <c r="J72" s="764">
        <f>Nøgletal!R126</f>
        <v>0</v>
      </c>
      <c r="K72" s="764"/>
      <c r="L72" s="770">
        <v>0</v>
      </c>
      <c r="M72" s="770"/>
      <c r="N72" s="776">
        <v>7.35551663747811E-2</v>
      </c>
      <c r="O72" s="770"/>
      <c r="P72" s="611">
        <f>'BF - overblik beregning'!B18</f>
        <v>7.35551663747811E-2</v>
      </c>
      <c r="Q72" s="602"/>
    </row>
    <row r="73" spans="1:20" ht="15" hidden="1" customHeight="1" x14ac:dyDescent="0.25">
      <c r="A73" s="604" t="s">
        <v>347</v>
      </c>
      <c r="B73" s="632">
        <f>Nøgletal!D127</f>
        <v>0</v>
      </c>
      <c r="C73" s="632">
        <f>Nøgletal!F127</f>
        <v>0</v>
      </c>
      <c r="D73" s="632">
        <f>Nøgletal!H127</f>
        <v>0</v>
      </c>
      <c r="E73" s="632">
        <f>Nøgletal!J127</f>
        <v>0</v>
      </c>
      <c r="F73" s="632">
        <f>Nøgletal!L127</f>
        <v>0</v>
      </c>
      <c r="G73" s="632">
        <f>Nøgletal!N127</f>
        <v>0</v>
      </c>
      <c r="H73" s="764">
        <f>Nøgletal!P127</f>
        <v>0</v>
      </c>
      <c r="I73" s="764"/>
      <c r="J73" s="764">
        <f>Nøgletal!R127</f>
        <v>0</v>
      </c>
      <c r="K73" s="764"/>
      <c r="L73" s="770">
        <v>0</v>
      </c>
      <c r="M73" s="770"/>
      <c r="N73" s="776">
        <v>0.41243432574430827</v>
      </c>
      <c r="O73" s="770"/>
      <c r="P73" s="611">
        <f>'BF - overblik beregning'!B17</f>
        <v>0.41243432574430827</v>
      </c>
      <c r="Q73" s="602"/>
    </row>
    <row r="74" spans="1:20" ht="15" hidden="1" customHeight="1" x14ac:dyDescent="0.25">
      <c r="A74" s="604" t="s">
        <v>348</v>
      </c>
      <c r="B74" s="632">
        <f>Nøgletal!D128</f>
        <v>0</v>
      </c>
      <c r="C74" s="632">
        <f>Nøgletal!F128</f>
        <v>0</v>
      </c>
      <c r="D74" s="632">
        <f>Nøgletal!H128</f>
        <v>0</v>
      </c>
      <c r="E74" s="632">
        <f>Nøgletal!J128</f>
        <v>0</v>
      </c>
      <c r="F74" s="632">
        <f>Nøgletal!L128</f>
        <v>0</v>
      </c>
      <c r="G74" s="632">
        <f>Nøgletal!N128</f>
        <v>0</v>
      </c>
      <c r="H74" s="764">
        <f>Nøgletal!P128</f>
        <v>0</v>
      </c>
      <c r="I74" s="764"/>
      <c r="J74" s="764">
        <f>Nøgletal!R128</f>
        <v>0</v>
      </c>
      <c r="K74" s="764"/>
      <c r="L74" s="770">
        <v>0</v>
      </c>
      <c r="M74" s="770"/>
      <c r="N74" s="776">
        <v>0.21803852889667255</v>
      </c>
      <c r="O74" s="770"/>
      <c r="P74" s="611">
        <f>'BF - overblik beregning'!B19</f>
        <v>0.21803852889667255</v>
      </c>
      <c r="Q74" s="602"/>
    </row>
    <row r="75" spans="1:20" ht="15" hidden="1" customHeight="1" x14ac:dyDescent="0.25">
      <c r="A75" s="604" t="s">
        <v>349</v>
      </c>
      <c r="B75" s="632">
        <f>Nøgletal!D129</f>
        <v>0</v>
      </c>
      <c r="C75" s="632">
        <f>Nøgletal!F129</f>
        <v>0</v>
      </c>
      <c r="D75" s="632">
        <f>Nøgletal!H129</f>
        <v>0</v>
      </c>
      <c r="E75" s="632">
        <f>Nøgletal!J129</f>
        <v>0</v>
      </c>
      <c r="F75" s="632">
        <f>Nøgletal!L129</f>
        <v>0</v>
      </c>
      <c r="G75" s="632">
        <f>Nøgletal!N129</f>
        <v>0</v>
      </c>
      <c r="H75" s="764">
        <f>Nøgletal!P129</f>
        <v>0</v>
      </c>
      <c r="I75" s="764"/>
      <c r="J75" s="764">
        <f>Nøgletal!R129</f>
        <v>0</v>
      </c>
      <c r="K75" s="764"/>
      <c r="L75" s="771">
        <f>IF(L68&gt;0,1-L71-L72-L73-L74-L76-L77-L78-L79,0)</f>
        <v>0</v>
      </c>
      <c r="M75" s="771"/>
      <c r="N75" s="777">
        <f>IF(N68&gt;0,1-N71-N72-N73-N74-N76-N77-N78-N79,0)</f>
        <v>0</v>
      </c>
      <c r="O75" s="771"/>
      <c r="P75" s="611">
        <f>'BF - overblik beregning'!B20</f>
        <v>0.2959719789842381</v>
      </c>
      <c r="Q75" s="596"/>
    </row>
    <row r="76" spans="1:20" ht="15" hidden="1" customHeight="1" x14ac:dyDescent="0.25">
      <c r="A76" s="604" t="s">
        <v>350</v>
      </c>
      <c r="B76" s="632">
        <f>Nøgletal!D130</f>
        <v>0</v>
      </c>
      <c r="C76" s="632">
        <f>Nøgletal!F130</f>
        <v>0</v>
      </c>
      <c r="D76" s="632">
        <f>Nøgletal!H130</f>
        <v>0</v>
      </c>
      <c r="E76" s="632">
        <f>Nøgletal!J130</f>
        <v>0</v>
      </c>
      <c r="F76" s="632">
        <f>Nøgletal!L130</f>
        <v>0</v>
      </c>
      <c r="G76" s="632">
        <f>Nøgletal!N130</f>
        <v>0</v>
      </c>
      <c r="H76" s="764">
        <f>Nøgletal!P130</f>
        <v>0</v>
      </c>
      <c r="I76" s="764"/>
      <c r="J76" s="764">
        <f>Nøgletal!R130</f>
        <v>0</v>
      </c>
      <c r="K76" s="764"/>
      <c r="L76" s="770">
        <v>0</v>
      </c>
      <c r="M76" s="770"/>
      <c r="N76" s="776">
        <v>0</v>
      </c>
      <c r="O76" s="770"/>
      <c r="P76" s="612"/>
      <c r="Q76" s="596"/>
    </row>
    <row r="77" spans="1:20" ht="15" hidden="1" customHeight="1" x14ac:dyDescent="0.25">
      <c r="A77" s="604" t="s">
        <v>331</v>
      </c>
      <c r="B77" s="632">
        <f>Nøgletal!D131</f>
        <v>0</v>
      </c>
      <c r="C77" s="632">
        <f>Nøgletal!F131</f>
        <v>0</v>
      </c>
      <c r="D77" s="632">
        <f>Nøgletal!H131</f>
        <v>0</v>
      </c>
      <c r="E77" s="632">
        <f>Nøgletal!J131</f>
        <v>0</v>
      </c>
      <c r="F77" s="632">
        <f>Nøgletal!L131</f>
        <v>0</v>
      </c>
      <c r="G77" s="632">
        <f>Nøgletal!N131</f>
        <v>0</v>
      </c>
      <c r="H77" s="764">
        <f>Nøgletal!P131</f>
        <v>0</v>
      </c>
      <c r="I77" s="764"/>
      <c r="J77" s="764">
        <f>Nøgletal!R131</f>
        <v>0</v>
      </c>
      <c r="K77" s="764"/>
      <c r="L77" s="770">
        <v>0</v>
      </c>
      <c r="M77" s="770"/>
      <c r="N77" s="776">
        <v>0</v>
      </c>
      <c r="O77" s="770"/>
      <c r="P77" s="612"/>
      <c r="Q77" s="596"/>
    </row>
    <row r="78" spans="1:20" ht="15" hidden="1" customHeight="1" x14ac:dyDescent="0.25">
      <c r="A78" s="604" t="s">
        <v>501</v>
      </c>
      <c r="B78" s="632">
        <f>Nøgletal!D132</f>
        <v>0</v>
      </c>
      <c r="C78" s="632">
        <f>Nøgletal!F132</f>
        <v>0</v>
      </c>
      <c r="D78" s="632">
        <f>Nøgletal!H132</f>
        <v>0</v>
      </c>
      <c r="E78" s="632">
        <f>Nøgletal!J132</f>
        <v>0</v>
      </c>
      <c r="F78" s="632">
        <f>Nøgletal!L132</f>
        <v>0</v>
      </c>
      <c r="G78" s="632">
        <f>Nøgletal!N132</f>
        <v>0</v>
      </c>
      <c r="H78" s="764">
        <f>Nøgletal!P132</f>
        <v>0</v>
      </c>
      <c r="I78" s="764"/>
      <c r="J78" s="764">
        <f>Nøgletal!R132</f>
        <v>0</v>
      </c>
      <c r="K78" s="764"/>
      <c r="L78" s="770">
        <v>0</v>
      </c>
      <c r="M78" s="770"/>
      <c r="N78" s="776">
        <v>0</v>
      </c>
      <c r="O78" s="770"/>
      <c r="P78" s="612"/>
      <c r="Q78" s="596"/>
    </row>
    <row r="79" spans="1:20" ht="15" hidden="1" customHeight="1" x14ac:dyDescent="0.25">
      <c r="A79" s="604" t="s">
        <v>314</v>
      </c>
      <c r="B79" s="632">
        <f>Nøgletal!D133</f>
        <v>0</v>
      </c>
      <c r="C79" s="632">
        <f>Nøgletal!F133</f>
        <v>0</v>
      </c>
      <c r="D79" s="632">
        <f>Nøgletal!H133</f>
        <v>0</v>
      </c>
      <c r="E79" s="632">
        <f>Nøgletal!J133</f>
        <v>0</v>
      </c>
      <c r="F79" s="632">
        <f>Nøgletal!L133</f>
        <v>0</v>
      </c>
      <c r="G79" s="632">
        <f>Nøgletal!N133</f>
        <v>0</v>
      </c>
      <c r="H79" s="764">
        <f>Nøgletal!P133</f>
        <v>0</v>
      </c>
      <c r="I79" s="764"/>
      <c r="J79" s="764">
        <f>Nøgletal!R133</f>
        <v>0</v>
      </c>
      <c r="K79" s="764"/>
      <c r="L79" s="770">
        <v>0</v>
      </c>
      <c r="M79" s="770"/>
      <c r="N79" s="776">
        <v>0</v>
      </c>
      <c r="O79" s="770"/>
      <c r="P79" s="612"/>
      <c r="Q79" s="596"/>
    </row>
    <row r="80" spans="1:20" x14ac:dyDescent="0.25">
      <c r="A80" s="629" t="s">
        <v>266</v>
      </c>
      <c r="B80" s="630"/>
      <c r="C80" s="632"/>
      <c r="D80" s="632"/>
      <c r="E80" s="632"/>
      <c r="F80" s="632"/>
      <c r="G80" s="632"/>
      <c r="H80" s="630" t="s">
        <v>0</v>
      </c>
      <c r="I80" s="627" t="s">
        <v>491</v>
      </c>
      <c r="J80" s="630" t="s">
        <v>0</v>
      </c>
      <c r="K80" s="627" t="s">
        <v>491</v>
      </c>
      <c r="L80" s="588"/>
      <c r="M80" s="597"/>
      <c r="N80" s="590"/>
      <c r="O80" s="598"/>
      <c r="P80" s="610"/>
      <c r="Q80" s="596"/>
    </row>
    <row r="81" spans="1:17" x14ac:dyDescent="0.25">
      <c r="A81" s="631" t="s">
        <v>485</v>
      </c>
      <c r="B81" s="630">
        <f>Nøgletal!D142</f>
        <v>12.122708360400001</v>
      </c>
      <c r="C81" s="632">
        <f>Nøgletal!G142</f>
        <v>-1.8472012304733158E-2</v>
      </c>
      <c r="D81" s="632">
        <f>Nøgletal!I142</f>
        <v>-0.13933273006490798</v>
      </c>
      <c r="E81" s="632">
        <f>Nøgletal!K142</f>
        <v>-4.8928624185530671E-2</v>
      </c>
      <c r="F81" s="632">
        <f>Nøgletal!M142</f>
        <v>-1.8770063482166675E-2</v>
      </c>
      <c r="G81" s="632">
        <f>Nøgletal!O142</f>
        <v>-7.6744184396678156E-2</v>
      </c>
      <c r="H81" s="630">
        <f>Nøgletal!P142</f>
        <v>4.5</v>
      </c>
      <c r="I81" s="632">
        <f>Nøgletal!Q142</f>
        <v>-0.19534716970140989</v>
      </c>
      <c r="J81" s="630">
        <f>Nøgletal!R142</f>
        <v>4.5</v>
      </c>
      <c r="K81" s="632">
        <f>Nøgletal!S142</f>
        <v>0</v>
      </c>
      <c r="L81" s="606">
        <f>SUM(L82:L84)</f>
        <v>4.5</v>
      </c>
      <c r="M81" s="592">
        <v>0</v>
      </c>
      <c r="N81" s="621">
        <f>SUM(N82:N84)</f>
        <v>4.6865359340236132</v>
      </c>
      <c r="O81" s="592">
        <v>3.1292170374361827E-3</v>
      </c>
      <c r="P81" s="609">
        <f>'BF - overblik beregning'!G7</f>
        <v>3.1292170374361827E-3</v>
      </c>
      <c r="Q81" s="596"/>
    </row>
    <row r="82" spans="1:17" ht="15" customHeight="1" x14ac:dyDescent="0.25">
      <c r="A82" s="604" t="s">
        <v>305</v>
      </c>
      <c r="B82" s="630">
        <f>Nøgletal!D143</f>
        <v>0.41280505200000001</v>
      </c>
      <c r="C82" s="632">
        <f>Nøgletal!G143</f>
        <v>-1.8472012304733217E-2</v>
      </c>
      <c r="D82" s="632">
        <f>Nøgletal!I143</f>
        <v>-0.13933273006490779</v>
      </c>
      <c r="E82" s="632">
        <f>Nøgletal!K143</f>
        <v>-4.8928624185530657E-2</v>
      </c>
      <c r="F82" s="632">
        <f>Nøgletal!M143</f>
        <v>-1.8770063482166699E-2</v>
      </c>
      <c r="G82" s="632">
        <f>Nøgletal!O143</f>
        <v>0</v>
      </c>
      <c r="H82" s="630">
        <f>Nøgletal!P143</f>
        <v>0.2</v>
      </c>
      <c r="I82" s="632">
        <f>Nøgletal!Q143</f>
        <v>-0.16340296774403784</v>
      </c>
      <c r="J82" s="630">
        <f>Nøgletal!R143</f>
        <v>0.2</v>
      </c>
      <c r="K82" s="632">
        <f>Nøgletal!S143</f>
        <v>0</v>
      </c>
      <c r="L82" s="594">
        <f>J82*(1+M82)^(L$2-J$2)</f>
        <v>0.2</v>
      </c>
      <c r="M82" s="592">
        <f>M$81</f>
        <v>0</v>
      </c>
      <c r="N82" s="595">
        <f>J82*(1+O82)^(N$2-J$2)</f>
        <v>0.20829048595660504</v>
      </c>
      <c r="O82" s="592">
        <f>O$81</f>
        <v>3.1292170374361827E-3</v>
      </c>
      <c r="P82" s="612"/>
      <c r="Q82" s="596"/>
    </row>
    <row r="83" spans="1:17" ht="15" customHeight="1" x14ac:dyDescent="0.25">
      <c r="A83" s="604" t="s">
        <v>309</v>
      </c>
      <c r="B83" s="630">
        <f>Nøgletal!D144</f>
        <v>1.6512202080000002</v>
      </c>
      <c r="C83" s="632">
        <f>Nøgletal!G144</f>
        <v>-1.8472012304733148E-2</v>
      </c>
      <c r="D83" s="632">
        <f>Nøgletal!I144</f>
        <v>-0.1393327300649079</v>
      </c>
      <c r="E83" s="632">
        <f>Nøgletal!K144</f>
        <v>-4.892862418553065E-2</v>
      </c>
      <c r="F83" s="632">
        <f>Nøgletal!M144</f>
        <v>-1.8770063482166695E-2</v>
      </c>
      <c r="G83" s="632">
        <f>Nøgletal!O144</f>
        <v>0</v>
      </c>
      <c r="H83" s="630">
        <f>Nøgletal!P144</f>
        <v>0.6</v>
      </c>
      <c r="I83" s="632">
        <f>Nøgletal!Q144</f>
        <v>-0.24755222580802846</v>
      </c>
      <c r="J83" s="630">
        <f>Nøgletal!R144</f>
        <v>0.6</v>
      </c>
      <c r="K83" s="632">
        <f>Nøgletal!S144</f>
        <v>0</v>
      </c>
      <c r="L83" s="594">
        <f>J83*(1+M83)^(L$2-J$2)</f>
        <v>0.6</v>
      </c>
      <c r="M83" s="592">
        <f t="shared" ref="M83:M84" si="4">M$81</f>
        <v>0</v>
      </c>
      <c r="N83" s="595">
        <f>J83*(1+O83)^(N$2-J$2)</f>
        <v>0.62487145786981513</v>
      </c>
      <c r="O83" s="592">
        <f t="shared" ref="O83:O84" si="5">O$81</f>
        <v>3.1292170374361827E-3</v>
      </c>
      <c r="P83" s="612"/>
      <c r="Q83" s="596"/>
    </row>
    <row r="84" spans="1:17" ht="15" customHeight="1" x14ac:dyDescent="0.25">
      <c r="A84" s="604" t="s">
        <v>290</v>
      </c>
      <c r="B84" s="630">
        <f>Nøgletal!D145</f>
        <v>10.0586831004</v>
      </c>
      <c r="C84" s="632">
        <f>Nøgletal!G145</f>
        <v>-1.8472012304733137E-2</v>
      </c>
      <c r="D84" s="632">
        <f>Nøgletal!I145</f>
        <v>-0.13933273006490787</v>
      </c>
      <c r="E84" s="632">
        <f>Nøgletal!K145</f>
        <v>-4.8928624185530706E-2</v>
      </c>
      <c r="F84" s="632">
        <f>Nøgletal!M145</f>
        <v>-1.8770063482166713E-2</v>
      </c>
      <c r="G84" s="632">
        <f>Nøgletal!O145</f>
        <v>-9.249196505263127E-2</v>
      </c>
      <c r="H84" s="630">
        <f>Nøgletal!P145</f>
        <v>3.7</v>
      </c>
      <c r="I84" s="632">
        <f>Nøgletal!Q145</f>
        <v>-0.1864406779661017</v>
      </c>
      <c r="J84" s="630">
        <f>Nøgletal!R145</f>
        <v>3.7</v>
      </c>
      <c r="K84" s="632">
        <f>Nøgletal!S145</f>
        <v>0</v>
      </c>
      <c r="L84" s="594">
        <f>J84*(1+M84)^(L$2-J$2)</f>
        <v>3.7</v>
      </c>
      <c r="M84" s="592">
        <f t="shared" si="4"/>
        <v>0</v>
      </c>
      <c r="N84" s="595">
        <f>J84*(1+O84)^(N$2-J$2)</f>
        <v>3.8533739901971935</v>
      </c>
      <c r="O84" s="592">
        <f t="shared" si="5"/>
        <v>3.1292170374361827E-3</v>
      </c>
      <c r="P84" s="612"/>
      <c r="Q84" s="596"/>
    </row>
    <row r="85" spans="1:17" x14ac:dyDescent="0.25">
      <c r="A85" s="631" t="s">
        <v>345</v>
      </c>
      <c r="B85" s="630">
        <f>Nøgletal!D146</f>
        <v>0</v>
      </c>
      <c r="C85" s="632">
        <f>Nøgletal!G146</f>
        <v>0</v>
      </c>
      <c r="D85" s="632">
        <f>Nøgletal!I146</f>
        <v>0</v>
      </c>
      <c r="E85" s="632">
        <f>Nøgletal!K146</f>
        <v>0</v>
      </c>
      <c r="F85" s="632">
        <f>Nøgletal!M146</f>
        <v>0</v>
      </c>
      <c r="G85" s="632">
        <f>Nøgletal!O146</f>
        <v>0</v>
      </c>
      <c r="H85" s="630">
        <f>Nøgletal!P146</f>
        <v>0</v>
      </c>
      <c r="I85" s="632">
        <f>Nøgletal!Q146</f>
        <v>0</v>
      </c>
      <c r="J85" s="630">
        <f>Nøgletal!R146</f>
        <v>0</v>
      </c>
      <c r="K85" s="632">
        <f>Nøgletal!S146</f>
        <v>0</v>
      </c>
      <c r="L85" s="594">
        <f>J85*(1+M85)^(L$2-J$2)</f>
        <v>0</v>
      </c>
      <c r="M85" s="592">
        <v>0</v>
      </c>
      <c r="N85" s="595">
        <f>J85*(1+O85)^(N$2-J$2)</f>
        <v>0</v>
      </c>
      <c r="O85" s="592">
        <v>0</v>
      </c>
      <c r="P85" s="609">
        <f>'BF - overblik beregning'!C7</f>
        <v>0</v>
      </c>
      <c r="Q85" s="596"/>
    </row>
    <row r="86" spans="1:17" x14ac:dyDescent="0.25">
      <c r="A86" s="631" t="s">
        <v>526</v>
      </c>
      <c r="B86" s="630">
        <f>Nøgletal!D147</f>
        <v>0</v>
      </c>
      <c r="C86" s="632">
        <f>Nøgletal!G147</f>
        <v>0</v>
      </c>
      <c r="D86" s="632">
        <f>Nøgletal!I147</f>
        <v>0</v>
      </c>
      <c r="E86" s="632">
        <f>Nøgletal!K147</f>
        <v>0</v>
      </c>
      <c r="F86" s="632">
        <f>Nøgletal!M147</f>
        <v>0</v>
      </c>
      <c r="G86" s="632">
        <f>Nøgletal!O147</f>
        <v>0</v>
      </c>
      <c r="H86" s="630">
        <f>Nøgletal!P147</f>
        <v>0</v>
      </c>
      <c r="I86" s="632">
        <f>Nøgletal!Q147</f>
        <v>0</v>
      </c>
      <c r="J86" s="630">
        <f>Nøgletal!R147</f>
        <v>0</v>
      </c>
      <c r="K86" s="632">
        <f>Nøgletal!S147</f>
        <v>0</v>
      </c>
      <c r="L86" s="594">
        <f>J86*(1+M86)^(L$2-J$2)</f>
        <v>0</v>
      </c>
      <c r="M86" s="592">
        <v>0</v>
      </c>
      <c r="N86" s="595">
        <f>J86*(1+O86)^(N$2-J$2)</f>
        <v>0</v>
      </c>
      <c r="O86" s="592">
        <v>5.2185414599590363E-3</v>
      </c>
      <c r="P86" s="609">
        <f>'BF - overblik beregning'!I7</f>
        <v>5.2185414599590363E-3</v>
      </c>
      <c r="Q86" s="596"/>
    </row>
    <row r="87" spans="1:17" x14ac:dyDescent="0.25">
      <c r="A87" s="631" t="s">
        <v>28</v>
      </c>
      <c r="B87" s="630">
        <f>Nøgletal!D148</f>
        <v>0</v>
      </c>
      <c r="C87" s="632">
        <f>Nøgletal!G148</f>
        <v>0</v>
      </c>
      <c r="D87" s="632">
        <f>Nøgletal!I148</f>
        <v>0</v>
      </c>
      <c r="E87" s="632">
        <f>Nøgletal!K148</f>
        <v>0</v>
      </c>
      <c r="F87" s="632">
        <f>Nøgletal!M148</f>
        <v>0</v>
      </c>
      <c r="G87" s="632">
        <f>Nøgletal!O148</f>
        <v>0</v>
      </c>
      <c r="H87" s="630">
        <f>Nøgletal!P148</f>
        <v>0</v>
      </c>
      <c r="I87" s="632">
        <f>Nøgletal!Q148</f>
        <v>0</v>
      </c>
      <c r="J87" s="630">
        <f>Nøgletal!R148</f>
        <v>0</v>
      </c>
      <c r="K87" s="632">
        <f>Nøgletal!S148</f>
        <v>0</v>
      </c>
      <c r="L87" s="606">
        <f>Fjernvarmeprognose!R14</f>
        <v>0</v>
      </c>
      <c r="M87" s="619">
        <f>Fjernvarmeprognose!S14</f>
        <v>0</v>
      </c>
      <c r="N87" s="621">
        <f>Fjernvarmeprognose!T14</f>
        <v>0</v>
      </c>
      <c r="O87" s="619">
        <f>Fjernvarmeprognose!U14</f>
        <v>0</v>
      </c>
      <c r="P87" s="610"/>
      <c r="Q87" s="596"/>
    </row>
    <row r="88" spans="1:17" x14ac:dyDescent="0.25">
      <c r="A88" s="633" t="s">
        <v>490</v>
      </c>
      <c r="B88" s="632"/>
      <c r="C88" s="632"/>
      <c r="D88" s="632"/>
      <c r="E88" s="632"/>
      <c r="F88" s="632"/>
      <c r="G88" s="632"/>
      <c r="H88" s="764" t="s">
        <v>527</v>
      </c>
      <c r="I88" s="764"/>
      <c r="J88" s="764" t="s">
        <v>527</v>
      </c>
      <c r="K88" s="764"/>
      <c r="L88" s="597"/>
      <c r="M88" s="597"/>
      <c r="N88" s="598"/>
      <c r="O88" s="598"/>
      <c r="P88" s="610"/>
      <c r="Q88" s="596"/>
    </row>
    <row r="89" spans="1:17" hidden="1" x14ac:dyDescent="0.25">
      <c r="A89" s="604" t="s">
        <v>344</v>
      </c>
      <c r="B89" s="632">
        <f>Nøgletal!B153</f>
        <v>0</v>
      </c>
      <c r="C89" s="632">
        <f>Nøgletal!F153</f>
        <v>0</v>
      </c>
      <c r="D89" s="632">
        <f>Nøgletal!H153</f>
        <v>0</v>
      </c>
      <c r="E89" s="632">
        <f>Nøgletal!J153</f>
        <v>0</v>
      </c>
      <c r="F89" s="632">
        <f>Nøgletal!L153</f>
        <v>0</v>
      </c>
      <c r="G89" s="632">
        <f>Nøgletal!N153</f>
        <v>0</v>
      </c>
      <c r="H89" s="764">
        <f>Nøgletal!P153</f>
        <v>0</v>
      </c>
      <c r="I89" s="764"/>
      <c r="J89" s="764">
        <f>Nøgletal!R153</f>
        <v>0</v>
      </c>
      <c r="K89" s="764"/>
      <c r="L89" s="770">
        <v>0</v>
      </c>
      <c r="M89" s="770"/>
      <c r="N89" s="776">
        <v>0</v>
      </c>
      <c r="O89" s="770"/>
      <c r="P89" s="613"/>
    </row>
    <row r="90" spans="1:17" hidden="1" x14ac:dyDescent="0.25">
      <c r="A90" s="604" t="s">
        <v>346</v>
      </c>
      <c r="B90" s="632">
        <f>Nøgletal!B154</f>
        <v>0</v>
      </c>
      <c r="C90" s="632">
        <f>Nøgletal!F154</f>
        <v>0</v>
      </c>
      <c r="D90" s="632">
        <f>Nøgletal!H154</f>
        <v>0</v>
      </c>
      <c r="E90" s="632">
        <f>Nøgletal!J154</f>
        <v>0</v>
      </c>
      <c r="F90" s="632">
        <f>Nøgletal!L154</f>
        <v>0</v>
      </c>
      <c r="G90" s="632">
        <f>Nøgletal!N154</f>
        <v>0</v>
      </c>
      <c r="H90" s="764">
        <f>Nøgletal!P154</f>
        <v>0</v>
      </c>
      <c r="I90" s="764"/>
      <c r="J90" s="764">
        <f>Nøgletal!R154</f>
        <v>0</v>
      </c>
      <c r="K90" s="764"/>
      <c r="L90" s="770">
        <v>0</v>
      </c>
      <c r="M90" s="770"/>
      <c r="N90" s="776">
        <v>0.93699515347334417</v>
      </c>
      <c r="O90" s="770"/>
      <c r="P90" s="614">
        <f>'BF - overblik beregning'!B23</f>
        <v>0.93699515347334417</v>
      </c>
      <c r="Q90" s="598"/>
    </row>
    <row r="91" spans="1:17" hidden="1" x14ac:dyDescent="0.25">
      <c r="A91" s="604" t="s">
        <v>347</v>
      </c>
      <c r="B91" s="632">
        <f>Nøgletal!B155</f>
        <v>0</v>
      </c>
      <c r="C91" s="632">
        <f>Nøgletal!F155</f>
        <v>0</v>
      </c>
      <c r="D91" s="632">
        <f>Nøgletal!H155</f>
        <v>0</v>
      </c>
      <c r="E91" s="632">
        <f>Nøgletal!J155</f>
        <v>0</v>
      </c>
      <c r="F91" s="632">
        <f>Nøgletal!L155</f>
        <v>0</v>
      </c>
      <c r="G91" s="632">
        <f>Nøgletal!N155</f>
        <v>0</v>
      </c>
      <c r="H91" s="764">
        <f>Nøgletal!P155</f>
        <v>0</v>
      </c>
      <c r="I91" s="764"/>
      <c r="J91" s="764">
        <f>Nøgletal!R155</f>
        <v>0</v>
      </c>
      <c r="K91" s="764"/>
      <c r="L91" s="770">
        <v>0</v>
      </c>
      <c r="M91" s="770"/>
      <c r="N91" s="776">
        <v>4.6849757673667204E-2</v>
      </c>
      <c r="O91" s="770"/>
      <c r="P91" s="614">
        <f>'BF - overblik beregning'!B22</f>
        <v>4.6849757673667204E-2</v>
      </c>
      <c r="Q91" s="598"/>
    </row>
    <row r="92" spans="1:17" hidden="1" x14ac:dyDescent="0.25">
      <c r="A92" s="604" t="s">
        <v>348</v>
      </c>
      <c r="B92" s="632">
        <f>Nøgletal!B156</f>
        <v>0</v>
      </c>
      <c r="C92" s="632">
        <f>Nøgletal!F156</f>
        <v>0</v>
      </c>
      <c r="D92" s="632">
        <f>Nøgletal!H156</f>
        <v>0</v>
      </c>
      <c r="E92" s="632">
        <f>Nøgletal!J156</f>
        <v>0</v>
      </c>
      <c r="F92" s="632">
        <f>Nøgletal!L156</f>
        <v>0</v>
      </c>
      <c r="G92" s="632">
        <f>Nøgletal!N156</f>
        <v>0</v>
      </c>
      <c r="H92" s="764">
        <f>Nøgletal!P156</f>
        <v>0</v>
      </c>
      <c r="I92" s="764"/>
      <c r="J92" s="764">
        <f>Nøgletal!R156</f>
        <v>0</v>
      </c>
      <c r="K92" s="764"/>
      <c r="L92" s="770">
        <v>0</v>
      </c>
      <c r="M92" s="770"/>
      <c r="N92" s="776">
        <v>1.4539579967689823E-2</v>
      </c>
      <c r="O92" s="770"/>
      <c r="P92" s="614">
        <f>'BF - overblik beregning'!B24</f>
        <v>1.4539579967689823E-2</v>
      </c>
      <c r="Q92" s="598"/>
    </row>
    <row r="93" spans="1:17" hidden="1" x14ac:dyDescent="0.25">
      <c r="A93" s="604" t="s">
        <v>349</v>
      </c>
      <c r="B93" s="632">
        <f>Nøgletal!B157</f>
        <v>0</v>
      </c>
      <c r="C93" s="632">
        <f>Nøgletal!F157</f>
        <v>0</v>
      </c>
      <c r="D93" s="632">
        <f>Nøgletal!H157</f>
        <v>0</v>
      </c>
      <c r="E93" s="632">
        <f>Nøgletal!J157</f>
        <v>0</v>
      </c>
      <c r="F93" s="632">
        <f>Nøgletal!L157</f>
        <v>0</v>
      </c>
      <c r="G93" s="632">
        <f>Nøgletal!N157</f>
        <v>0</v>
      </c>
      <c r="H93" s="764">
        <f>Nøgletal!P157</f>
        <v>0</v>
      </c>
      <c r="I93" s="764"/>
      <c r="J93" s="764">
        <f>Nøgletal!R157</f>
        <v>0</v>
      </c>
      <c r="K93" s="764"/>
      <c r="L93" s="771">
        <f>IF(L86&gt;0,1-L89-L90-L91-L92-L94-L95-L96-L97,0)</f>
        <v>0</v>
      </c>
      <c r="M93" s="771"/>
      <c r="N93" s="777">
        <f>IF(N86&gt;0,1-N89-N90-N91-N92-N94-N95-N96-N97,0)</f>
        <v>0</v>
      </c>
      <c r="O93" s="771"/>
      <c r="P93" s="615">
        <f>'BF - overblik beregning'!B25</f>
        <v>1.6155088852988411E-3</v>
      </c>
    </row>
    <row r="94" spans="1:17" hidden="1" x14ac:dyDescent="0.25">
      <c r="A94" s="604" t="s">
        <v>350</v>
      </c>
      <c r="B94" s="632">
        <f>Nøgletal!B158</f>
        <v>0</v>
      </c>
      <c r="C94" s="632">
        <f>Nøgletal!F158</f>
        <v>0</v>
      </c>
      <c r="D94" s="632">
        <f>Nøgletal!H158</f>
        <v>0</v>
      </c>
      <c r="E94" s="632">
        <f>Nøgletal!J158</f>
        <v>0</v>
      </c>
      <c r="F94" s="632">
        <f>Nøgletal!L158</f>
        <v>0</v>
      </c>
      <c r="G94" s="632">
        <f>Nøgletal!N158</f>
        <v>0</v>
      </c>
      <c r="H94" s="764">
        <f>Nøgletal!P158</f>
        <v>0</v>
      </c>
      <c r="I94" s="764"/>
      <c r="J94" s="764">
        <f>Nøgletal!R158</f>
        <v>0</v>
      </c>
      <c r="K94" s="764"/>
      <c r="L94" s="770">
        <v>0</v>
      </c>
      <c r="M94" s="770"/>
      <c r="N94" s="776">
        <v>0</v>
      </c>
      <c r="O94" s="770"/>
      <c r="P94" s="613"/>
    </row>
    <row r="95" spans="1:17" hidden="1" x14ac:dyDescent="0.25">
      <c r="A95" s="604" t="s">
        <v>331</v>
      </c>
      <c r="B95" s="632">
        <f>Nøgletal!B159</f>
        <v>0</v>
      </c>
      <c r="C95" s="632">
        <f>Nøgletal!F159</f>
        <v>0</v>
      </c>
      <c r="D95" s="632">
        <f>Nøgletal!H159</f>
        <v>0</v>
      </c>
      <c r="E95" s="632">
        <f>Nøgletal!J159</f>
        <v>0</v>
      </c>
      <c r="F95" s="632">
        <f>Nøgletal!L159</f>
        <v>0</v>
      </c>
      <c r="G95" s="632">
        <f>Nøgletal!N159</f>
        <v>0</v>
      </c>
      <c r="H95" s="764">
        <f>Nøgletal!P159</f>
        <v>0</v>
      </c>
      <c r="I95" s="764"/>
      <c r="J95" s="764">
        <f>Nøgletal!R159</f>
        <v>0</v>
      </c>
      <c r="K95" s="764"/>
      <c r="L95" s="770">
        <v>0</v>
      </c>
      <c r="M95" s="770"/>
      <c r="N95" s="776">
        <v>0</v>
      </c>
      <c r="O95" s="770"/>
      <c r="P95" s="613"/>
    </row>
    <row r="96" spans="1:17" hidden="1" x14ac:dyDescent="0.25">
      <c r="A96" s="604" t="s">
        <v>501</v>
      </c>
      <c r="B96" s="632">
        <f>Nøgletal!B160</f>
        <v>0</v>
      </c>
      <c r="C96" s="632">
        <f>Nøgletal!F160</f>
        <v>0</v>
      </c>
      <c r="D96" s="632">
        <f>Nøgletal!H160</f>
        <v>0</v>
      </c>
      <c r="E96" s="632">
        <f>Nøgletal!J160</f>
        <v>0</v>
      </c>
      <c r="F96" s="632">
        <f>Nøgletal!L160</f>
        <v>0</v>
      </c>
      <c r="G96" s="632">
        <f>Nøgletal!N160</f>
        <v>0</v>
      </c>
      <c r="H96" s="764">
        <f>Nøgletal!P160</f>
        <v>0</v>
      </c>
      <c r="I96" s="764"/>
      <c r="J96" s="764">
        <f>Nøgletal!R160</f>
        <v>0</v>
      </c>
      <c r="K96" s="764"/>
      <c r="L96" s="770">
        <v>0</v>
      </c>
      <c r="M96" s="770"/>
      <c r="N96" s="776">
        <v>0</v>
      </c>
      <c r="O96" s="770"/>
      <c r="P96" s="613"/>
    </row>
    <row r="97" spans="1:16" hidden="1" x14ac:dyDescent="0.25">
      <c r="A97" s="604" t="s">
        <v>314</v>
      </c>
      <c r="B97" s="632">
        <f>Nøgletal!B161</f>
        <v>0</v>
      </c>
      <c r="C97" s="632">
        <f>Nøgletal!F161</f>
        <v>0</v>
      </c>
      <c r="D97" s="632">
        <f>Nøgletal!H161</f>
        <v>0</v>
      </c>
      <c r="E97" s="632">
        <f>Nøgletal!J161</f>
        <v>0</v>
      </c>
      <c r="F97" s="632">
        <f>Nøgletal!L161</f>
        <v>0</v>
      </c>
      <c r="G97" s="632">
        <f>Nøgletal!N161</f>
        <v>0</v>
      </c>
      <c r="H97" s="764">
        <f>Nøgletal!P161</f>
        <v>0</v>
      </c>
      <c r="I97" s="764"/>
      <c r="J97" s="764">
        <f>Nøgletal!R161</f>
        <v>0</v>
      </c>
      <c r="K97" s="764"/>
      <c r="L97" s="770">
        <v>0</v>
      </c>
      <c r="M97" s="770"/>
      <c r="N97" s="776">
        <v>0</v>
      </c>
      <c r="O97" s="770"/>
      <c r="P97" s="613"/>
    </row>
    <row r="98" spans="1:16" x14ac:dyDescent="0.25">
      <c r="A98" s="593"/>
      <c r="B98" s="593"/>
      <c r="C98" s="593"/>
      <c r="D98" s="593"/>
      <c r="E98" s="593"/>
      <c r="F98" s="583"/>
      <c r="G98" s="583"/>
      <c r="H98" s="583"/>
      <c r="I98" s="583"/>
      <c r="J98" s="583"/>
      <c r="K98" s="583"/>
    </row>
    <row r="99" spans="1:16" x14ac:dyDescent="0.25">
      <c r="A99" s="593"/>
      <c r="B99" s="593"/>
      <c r="C99" s="593"/>
      <c r="D99" s="593"/>
      <c r="E99" s="593"/>
      <c r="F99" s="583"/>
      <c r="G99" s="583"/>
      <c r="H99" s="583"/>
      <c r="I99" s="583"/>
      <c r="J99" s="583"/>
      <c r="K99" s="583"/>
    </row>
    <row r="100" spans="1:16" x14ac:dyDescent="0.25">
      <c r="A100" s="593"/>
      <c r="B100" s="593"/>
      <c r="C100" s="593"/>
      <c r="D100" s="593"/>
      <c r="E100" s="593"/>
    </row>
    <row r="101" spans="1:16" x14ac:dyDescent="0.25">
      <c r="A101" s="593"/>
      <c r="B101" s="593"/>
      <c r="C101" s="593"/>
      <c r="D101" s="593"/>
      <c r="E101" s="593"/>
    </row>
    <row r="102" spans="1:16" x14ac:dyDescent="0.25">
      <c r="A102" s="593"/>
      <c r="B102" s="593"/>
      <c r="C102" s="593"/>
      <c r="D102" s="593"/>
      <c r="E102" s="593"/>
    </row>
    <row r="103" spans="1:16" x14ac:dyDescent="0.25">
      <c r="A103" s="593"/>
      <c r="B103" s="593"/>
      <c r="C103" s="593"/>
      <c r="D103" s="593"/>
      <c r="E103" s="593"/>
    </row>
    <row r="104" spans="1:16" x14ac:dyDescent="0.25">
      <c r="A104" s="593"/>
      <c r="B104" s="593"/>
      <c r="C104" s="593"/>
      <c r="D104" s="593"/>
      <c r="E104" s="593"/>
    </row>
    <row r="105" spans="1:16" x14ac:dyDescent="0.25">
      <c r="A105" s="593"/>
      <c r="B105" s="593"/>
      <c r="C105" s="593"/>
      <c r="D105" s="593"/>
      <c r="E105" s="593"/>
    </row>
    <row r="106" spans="1:16" x14ac:dyDescent="0.25">
      <c r="A106" s="593"/>
      <c r="B106" s="593"/>
      <c r="C106" s="593"/>
      <c r="D106" s="593"/>
      <c r="E106" s="593"/>
    </row>
    <row r="107" spans="1:16" x14ac:dyDescent="0.25">
      <c r="A107" s="593"/>
      <c r="B107" s="593"/>
      <c r="C107" s="593"/>
      <c r="D107" s="593"/>
      <c r="E107" s="593"/>
    </row>
    <row r="108" spans="1:16" x14ac:dyDescent="0.25">
      <c r="A108" s="593"/>
      <c r="B108" s="593"/>
      <c r="C108" s="593"/>
      <c r="D108" s="593"/>
      <c r="E108" s="593"/>
    </row>
    <row r="109" spans="1:16" x14ac:dyDescent="0.25">
      <c r="A109" s="593"/>
      <c r="B109" s="593"/>
      <c r="C109" s="593"/>
      <c r="D109" s="593"/>
      <c r="E109" s="593"/>
    </row>
    <row r="110" spans="1:16" x14ac:dyDescent="0.25">
      <c r="A110" s="593"/>
      <c r="B110" s="593"/>
      <c r="C110" s="593"/>
      <c r="D110" s="593"/>
      <c r="E110" s="593"/>
    </row>
    <row r="111" spans="1:16" x14ac:dyDescent="0.25">
      <c r="A111" s="593"/>
      <c r="B111" s="593"/>
      <c r="C111" s="593"/>
      <c r="D111" s="593"/>
      <c r="E111" s="593"/>
    </row>
    <row r="112" spans="1:16" x14ac:dyDescent="0.25">
      <c r="A112" s="593"/>
      <c r="B112" s="593"/>
      <c r="C112" s="593"/>
      <c r="D112" s="593"/>
      <c r="E112" s="593"/>
    </row>
    <row r="113" spans="1:5" x14ac:dyDescent="0.25">
      <c r="A113" s="593"/>
      <c r="B113" s="593"/>
      <c r="C113" s="593"/>
      <c r="D113" s="593"/>
      <c r="E113" s="593"/>
    </row>
    <row r="114" spans="1:5" x14ac:dyDescent="0.25">
      <c r="A114" s="593"/>
      <c r="B114" s="593"/>
      <c r="C114" s="593"/>
      <c r="D114" s="593"/>
      <c r="E114" s="593"/>
    </row>
    <row r="115" spans="1:5" x14ac:dyDescent="0.25">
      <c r="A115" s="593"/>
      <c r="B115" s="593"/>
      <c r="C115" s="593"/>
      <c r="D115" s="593"/>
      <c r="E115" s="593"/>
    </row>
    <row r="116" spans="1:5" x14ac:dyDescent="0.25">
      <c r="A116" s="593"/>
      <c r="B116" s="593"/>
      <c r="C116" s="593"/>
      <c r="D116" s="593"/>
      <c r="E116" s="593"/>
    </row>
    <row r="117" spans="1:5" x14ac:dyDescent="0.25">
      <c r="A117" s="593"/>
      <c r="B117" s="593"/>
      <c r="C117" s="593"/>
      <c r="D117" s="593"/>
      <c r="E117" s="593"/>
    </row>
    <row r="118" spans="1:5" x14ac:dyDescent="0.25">
      <c r="A118" s="593"/>
      <c r="B118" s="593"/>
      <c r="C118" s="593"/>
      <c r="D118" s="593"/>
      <c r="E118" s="593"/>
    </row>
  </sheetData>
  <sheetProtection algorithmName="SHA-512" hashValue="3MFDWmkwquMKa0UjeRRNSB+fR3MCGGSHeM8rLctZQPnbzUMka9Y2WZ4poMgH57mfr9B3vtCLKt8VcLbD7rgoAg==" saltValue="n5ainW2ZJRrYHk/6GCD3AA==" spinCount="100000" sheet="1" objects="1" scenarios="1"/>
  <protectedRanges>
    <protectedRange algorithmName="SHA-512" hashValue="752cMmGEG2RQRBsXlMFojjhsPgNNnGUAHTOCY+tea4QckxtFpt7+TkrujvkgP6LdLKaQkzbLvb9K+jHzgWK9jg==" saltValue="vgUlmgtVTk16sQDmIqiq2g==" spinCount="100000" sqref="A1:K1048576" name="Område31"/>
    <protectedRange algorithmName="SHA-512" hashValue="ILMlw8f5tfAPkxGhP4JuQMRxzTyfMsKpnn937ZdbkqIBrYObY2T6MSYObuZuo5Y2JyeAUj+oYLjycaZCubw5vQ==" saltValue="SarPLGf4XSbiVJd0mOR+gA==" spinCount="100000" sqref="P89:P97" name="Område29"/>
    <protectedRange algorithmName="SHA-512" hashValue="kfZPkPvyll135PhQXHNgHxa9TlWPAVWc8RM+dcxLjwryDbBMoDt0rBqSBR97tvIwj9oHISqB3M8DM+cPAkQemA==" saltValue="c8MyB8IYCp3gnP29dzFx7A==" spinCount="100000" sqref="N81" name="Område27"/>
    <protectedRange algorithmName="SHA-512" hashValue="kKfUHSvkcXmos9kfpARGcoyr4fds3vMigGlm4UgOB9+RPo39Ir9NXbBx84iXv0KE0rEAwHaFVfO3nW+aw4yXCw==" saltValue="VqR3S72xccUf+vkVW9+RpQ==" spinCount="100000" sqref="P71:P79" name="Område25"/>
    <protectedRange algorithmName="SHA-512" hashValue="IQAjacJWS3dtUnOnizPlNZIKouE6dvXZ25RrTGdOuSj4xD5jBqRFIZ2a4M822LXpO4li4mjuNr4baG/JQ6ar9w==" saltValue="5AAyZFAshUOU+G5+zQgfhg==" spinCount="100000" sqref="P63:P68" name="Område23"/>
    <protectedRange algorithmName="SHA-512" hashValue="LLYsk7ZIX3HMPKadhl+ZRUVEhU/rlCpGm0bhBLM6DqE9RwlpxUaC01hx4QVvNJaTZ1hpktPFkzaXyz8jRm5QoQ==" saltValue="+ikY7guQyRuCG3lzG35yGg==" spinCount="100000" sqref="N63" name="Område21"/>
    <protectedRange algorithmName="SHA-512" hashValue="HBMzoFgHpKst+FxHeiweN+AMJCvIyyVvLOnVjuVSwUgXQ8prmsySefUYs9MDNSQQwEaAxL3O2JUSX4xkurKWeA==" saltValue="Gax0zNfoRMED7ZGWbh7PGA==" spinCount="100000" sqref="P53:P61" name="Område19"/>
    <protectedRange algorithmName="SHA-512" hashValue="8694AJ/CD7crzibJn9t2pp6aSnIhjw43KNEPeUq5tJcGxBSYdYDXdCRbkVk/3tBwqgwqsPDfMNFEatviu6QlZw==" saltValue="t1sdnr+UDM8BvlSHBy2+2A==" spinCount="100000" sqref="P45:P50" name="Område17"/>
    <protectedRange algorithmName="SHA-512" hashValue="gXIpH4nXnDjTpA2oXwi0UmMCerVzx1Pd7jAyZP9v8UlTD6mEZXvGgVwqcvv64cS5q2sSaAdEGjbX7/A/Ht2zFw==" saltValue="+Tqtfegm+89l7tlk1fE53A==" spinCount="100000" sqref="N45" name="Område15"/>
    <protectedRange algorithmName="SHA-512" hashValue="V4QCWUVINfIwyHDI6MSkwNhJfT4Z9TDqFkwDOcOjq3wX8ovd1gAN/EetRdSVG5XRadEag6zYrD0KHQ0jROpVKw==" saltValue="ijsHCmAsSHgV/IKcjsffRg==" spinCount="100000" sqref="P35:P43" name="Område13"/>
    <protectedRange algorithmName="SHA-512" hashValue="Okk45SXPf+YuxNkdLt6awMq/X0fItZK+jjDs3DnEQtPmOl4/1lC1K2o/+1VoNZUdPbKRqleO0Uc7UbuTT4+YDA==" saltValue="44E8YwxFJF/xNQ0iogCu7A==" spinCount="100000" sqref="L33:O33" name="Område11"/>
    <protectedRange algorithmName="SHA-512" hashValue="ucZobwzP9PE48xBfHvkfzQcaUQvnsozvpEgUrAKWowKNjSZiMV6mDrmxekJKgRuCnfca43bPVeyLQFtjOX0CsA==" saltValue="3oyN1KCRFaKi9EwBmJ6taQ==" spinCount="100000" sqref="N27" name="Område9"/>
    <protectedRange algorithmName="SHA-512" hashValue="8vh4BQg9x4wrsLnS+ueKrGYoYuH4A93YcSwdcnED2hutYpmsAVu+Y5qv4J18dBDdnfZmkaKRh2GZIb4DNUjG2w==" saltValue="xuYLRxSxWXigreRNJdBqVA==" spinCount="100000" sqref="P17:P25" name="Område7"/>
    <protectedRange algorithmName="SHA-512" hashValue="XwC/xvvE4s94WX0N4FNyqWyFRUTRXU39aD+jrqOAP1dEO0R+nIZtuHoPihVgEIYFC7fUWV7ntx4GC7PT0/303w==" saltValue="wJ9dP22iy8R53vuW3TdYaA==" spinCount="100000" sqref="P9:P14" name="Område5"/>
    <protectedRange algorithmName="SHA-512" hashValue="3anJp3ymrdHa0fPAbi+rHUVxcsCklAvnSRkSwYwnkWlVFl5SSZa/v/1JWPW1HsR0FWorLu13IRHvhkQHmR70CQ==" saltValue="237K0+Z/zRva7FNzWpXJuw==" spinCount="100000" sqref="N8" name="Område3"/>
    <protectedRange algorithmName="SHA-512" hashValue="pnFvm6V6yjD7EvSfTqoady0ZQynHqio2pMB8DMYUqxEzgYYP6BCCIocSacIeYBL9VjHGWEGt7ecLTFmqRJSipQ==" saltValue="fnC6SI+oQbaBHE55boHVmg==" spinCount="100000" sqref="L1:O6" name="Område1"/>
    <protectedRange algorithmName="SHA-512" hashValue="+2k03dsIxGpwS4IRC2bm9W6m7pdqWy4qM2y9cQc/YDVzirfaUgMj6eLwIHOmCf2S6hLRNodiO/tpW1CQ+YPTBQ==" saltValue="aMApKPZdTEs8Aq8gzQ6j5w==" spinCount="100000" sqref="L8" name="Område2"/>
    <protectedRange algorithmName="SHA-512" hashValue="XieJtDYBq3WhCRJA5H7/KdqqS5wTkBgEh5ox6RZS2A2aWii0P1sjQNU3MfRHVuyppdzj33/k/OSpSJOLa1+yhQ==" saltValue="JOcSPqiypzNS843DCgGBvQ==" spinCount="100000" sqref="L15:O15" name="Område4"/>
    <protectedRange algorithmName="SHA-512" hashValue="gbf/MuJ6mAoNj5DoPcfWhg8SmmyBHQ1wvEIA5KwJbMXdxdLYpNFd5kff5n6c9SX3h7ZkrvE+lyakuY+rN7mppg==" saltValue="IfXPPeqLkzS0R63NcfWX9Q==" spinCount="100000" sqref="L21:O21" name="Område6"/>
    <protectedRange algorithmName="SHA-512" hashValue="kNuSoT/x2UaCLVIQQmsq8tab4lzms6DQhe08z9EmQkDmrBw7Kp3cJsvwJPD/fcOIe5XBbe4t4nYr4k78+8wJ8w==" saltValue="xGODOFsYKh3NaCHhdqcMYg==" spinCount="100000" sqref="L27" name="Område8"/>
    <protectedRange algorithmName="SHA-512" hashValue="fPUTcXKNSm12tuto0/DGVXlWdvRV2dz/HeoO+n+c+SfONHLWiRhNfoMSiAzUmkduTJZ4C4Z2NvObLt1ujxFuOg==" saltValue="L42xs0sOoNjbdMKg9iELJg==" spinCount="100000" sqref="P27:P32" name="Område10"/>
    <protectedRange algorithmName="SHA-512" hashValue="3lhdOD2uLWxHkKT2nTqEMotaCC3H8T777UuNJV5h6nNKzx3jKBQUkYI2kWt8MwuCPGpeahTEDEqJmgH3/jLgJw==" saltValue="2nSN3YrxH7hCN6g5W+ytGA==" spinCount="100000" sqref="L39:O39" name="Område12"/>
    <protectedRange algorithmName="SHA-512" hashValue="FGDPpflL5iB7nGg5sPWwR7IplSDpFaGMpyFdzxWfbrijK44Qlo+XfXGuZSlrxF3lTXV6f9yhca4YsEK2xDK2Jg==" saltValue="VMb99ELqx2RYmLIC9t+crA==" spinCount="100000" sqref="L45" name="Område14"/>
    <protectedRange algorithmName="SHA-512" hashValue="tA3a+gHxh7+YOvG4aXl4LydhZQaFq4q6G2muYNLgm86522Q5Zg1k3Oj5kqMiAbFf/Ohu5JAY1dYknuo5DVYJ8A==" saltValue="kq1l3uYP+Q7TWgCyjS8u5w==" spinCount="100000" sqref="L51:O51" name="Område16"/>
    <protectedRange algorithmName="SHA-512" hashValue="rg3ouFucVuiU4IGeJIeo12vODooIeAFPzL4DPklX9+LFfB++Y9ZcIrpSsruim18MZa2WBdIgFmDjSSm4gOSMSw==" saltValue="57f//nLSUmyUwOr4tfnnBg==" spinCount="100000" sqref="L57:O57" name="Område18"/>
    <protectedRange algorithmName="SHA-512" hashValue="HShSF90df9u0+D96ZkO3qp7TrU7/X035j3Q8RZpuikypqa5oOuJ0MOOJWrrTe7GCr7nCZ5XkaBovAhx9H9NxzQ==" saltValue="74UEGxde7NKgrngN3XWzAA==" spinCount="100000" sqref="L63" name="Område20"/>
    <protectedRange algorithmName="SHA-512" hashValue="LbsBqX1m1ufce/WtB97wksFWIV68QdjoCWNwwQLdWlqzkvPkNkY9ZIWet2DrJEYyoOe4njb0b4a1T+o3CpMAdQ==" saltValue="wGiQ5G0LNLaKUYABWS8foA==" spinCount="100000" sqref="L69:O69" name="Område22"/>
    <protectedRange algorithmName="SHA-512" hashValue="LYBdHF+AL80tk0EZFTIkAyUxSuwZDwG70S0QTltIRIpdFH60i21V74k4q3GO1ihuZpn95+WPWLYj+UmZ9YHaWA==" saltValue="GBWtW7aeRZRJzNPIrfrKbw==" spinCount="100000" sqref="L75:O75" name="Område24"/>
    <protectedRange algorithmName="SHA-512" hashValue="jeJSfeqZtCh+gxzqGz5dIz6mbPw0j/zg6u33LJf0PwOOvZv1fRNsn1Lj+V6MckaqL9GSFUpu36/p4ZfKJwb2IQ==" saltValue="xbZliTXaJtYI9zlH82WlGg==" spinCount="100000" sqref="L81" name="Område26"/>
    <protectedRange algorithmName="SHA-512" hashValue="gy3IavUnjf1nnTafKRRaXmJ5290WvrPw8cLRaPVeTJDmjB8hOVSvmhFASoocQXI/UQgDNT6Tv8CaKfD/2KXtmw==" saltValue="ioPng/oJFwt+sR2bm3cAxA==" spinCount="100000" sqref="L87:O87" name="Område28"/>
    <protectedRange algorithmName="SHA-512" hashValue="MynnF+GO3kLOwEM4n4dl5SpUxCRpwbmBnxIXXJU/+xHYwl2WyAL/oMpaEqg02vf093vLesGmin+n8qMNalqgtw==" saltValue="UNvsfmt79GPzqcUeCCYnpw==" spinCount="100000" sqref="R1" name="Område30"/>
  </protectedRanges>
  <mergeCells count="212">
    <mergeCell ref="N93:O93"/>
    <mergeCell ref="N94:O94"/>
    <mergeCell ref="N95:O95"/>
    <mergeCell ref="N96:O96"/>
    <mergeCell ref="N97:O97"/>
    <mergeCell ref="N75:O75"/>
    <mergeCell ref="N76:O76"/>
    <mergeCell ref="N77:O77"/>
    <mergeCell ref="N78:O78"/>
    <mergeCell ref="N79:O79"/>
    <mergeCell ref="N89:O89"/>
    <mergeCell ref="N90:O90"/>
    <mergeCell ref="N91:O91"/>
    <mergeCell ref="N92:O92"/>
    <mergeCell ref="N57:O57"/>
    <mergeCell ref="N58:O58"/>
    <mergeCell ref="N59:O59"/>
    <mergeCell ref="N60:O60"/>
    <mergeCell ref="N61:O61"/>
    <mergeCell ref="N71:O71"/>
    <mergeCell ref="N72:O72"/>
    <mergeCell ref="N73:O73"/>
    <mergeCell ref="N74:O74"/>
    <mergeCell ref="N39:O39"/>
    <mergeCell ref="N40:O40"/>
    <mergeCell ref="N41:O41"/>
    <mergeCell ref="N42:O42"/>
    <mergeCell ref="N43:O43"/>
    <mergeCell ref="N53:O53"/>
    <mergeCell ref="N54:O54"/>
    <mergeCell ref="N55:O55"/>
    <mergeCell ref="N56:O56"/>
    <mergeCell ref="N21:O21"/>
    <mergeCell ref="N22:O22"/>
    <mergeCell ref="N23:O23"/>
    <mergeCell ref="N24:O24"/>
    <mergeCell ref="N25:O25"/>
    <mergeCell ref="N35:O35"/>
    <mergeCell ref="N36:O36"/>
    <mergeCell ref="N37:O37"/>
    <mergeCell ref="N38:O38"/>
    <mergeCell ref="N2:O2"/>
    <mergeCell ref="N3:O3"/>
    <mergeCell ref="N4:O4"/>
    <mergeCell ref="N5:O5"/>
    <mergeCell ref="N6:O6"/>
    <mergeCell ref="N17:O17"/>
    <mergeCell ref="N18:O18"/>
    <mergeCell ref="N19:O19"/>
    <mergeCell ref="N20:O20"/>
    <mergeCell ref="L97:M97"/>
    <mergeCell ref="L5:M5"/>
    <mergeCell ref="L6:M6"/>
    <mergeCell ref="H16:I16"/>
    <mergeCell ref="H34:I34"/>
    <mergeCell ref="H52:I52"/>
    <mergeCell ref="H70:I70"/>
    <mergeCell ref="H88:I88"/>
    <mergeCell ref="L92:M92"/>
    <mergeCell ref="L93:M93"/>
    <mergeCell ref="L94:M94"/>
    <mergeCell ref="L95:M95"/>
    <mergeCell ref="L96:M96"/>
    <mergeCell ref="L78:M78"/>
    <mergeCell ref="L79:M79"/>
    <mergeCell ref="L89:M89"/>
    <mergeCell ref="L90:M90"/>
    <mergeCell ref="L91:M91"/>
    <mergeCell ref="L73:M73"/>
    <mergeCell ref="L74:M74"/>
    <mergeCell ref="L75:M75"/>
    <mergeCell ref="L76:M76"/>
    <mergeCell ref="L77:M77"/>
    <mergeCell ref="L59:M59"/>
    <mergeCell ref="L60:M60"/>
    <mergeCell ref="L61:M61"/>
    <mergeCell ref="L71:M71"/>
    <mergeCell ref="L72:M72"/>
    <mergeCell ref="L54:M54"/>
    <mergeCell ref="L55:M55"/>
    <mergeCell ref="L56:M56"/>
    <mergeCell ref="L57:M57"/>
    <mergeCell ref="L58:M58"/>
    <mergeCell ref="L40:M40"/>
    <mergeCell ref="L41:M41"/>
    <mergeCell ref="L42:M42"/>
    <mergeCell ref="L43:M43"/>
    <mergeCell ref="L53:M53"/>
    <mergeCell ref="H96:I96"/>
    <mergeCell ref="H97:I97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35:M35"/>
    <mergeCell ref="L36:M36"/>
    <mergeCell ref="L37:M37"/>
    <mergeCell ref="L38:M38"/>
    <mergeCell ref="L39:M39"/>
    <mergeCell ref="H91:I91"/>
    <mergeCell ref="H92:I92"/>
    <mergeCell ref="H93:I93"/>
    <mergeCell ref="H94:I94"/>
    <mergeCell ref="H95:I95"/>
    <mergeCell ref="H77:I77"/>
    <mergeCell ref="H78:I78"/>
    <mergeCell ref="H79:I79"/>
    <mergeCell ref="H89:I89"/>
    <mergeCell ref="H90:I90"/>
    <mergeCell ref="H72:I72"/>
    <mergeCell ref="H73:I73"/>
    <mergeCell ref="H74:I74"/>
    <mergeCell ref="H75:I75"/>
    <mergeCell ref="H76:I76"/>
    <mergeCell ref="H59:I59"/>
    <mergeCell ref="H60:I60"/>
    <mergeCell ref="H61:I61"/>
    <mergeCell ref="H71:I71"/>
    <mergeCell ref="H53:I53"/>
    <mergeCell ref="H54:I54"/>
    <mergeCell ref="H55:I55"/>
    <mergeCell ref="H56:I56"/>
    <mergeCell ref="H57:I57"/>
    <mergeCell ref="H41:I41"/>
    <mergeCell ref="H42:I42"/>
    <mergeCell ref="H43:I43"/>
    <mergeCell ref="H25:I25"/>
    <mergeCell ref="H35:I35"/>
    <mergeCell ref="H36:I36"/>
    <mergeCell ref="H37:I37"/>
    <mergeCell ref="H38:I38"/>
    <mergeCell ref="H58:I58"/>
    <mergeCell ref="H23:I23"/>
    <mergeCell ref="H24:I24"/>
    <mergeCell ref="H5:I5"/>
    <mergeCell ref="H6:I6"/>
    <mergeCell ref="H17:I17"/>
    <mergeCell ref="H18:I18"/>
    <mergeCell ref="H19:I19"/>
    <mergeCell ref="H39:I39"/>
    <mergeCell ref="H40:I40"/>
    <mergeCell ref="L4:M4"/>
    <mergeCell ref="H2:I2"/>
    <mergeCell ref="L2:M2"/>
    <mergeCell ref="L3:M3"/>
    <mergeCell ref="H3:I3"/>
    <mergeCell ref="H4:I4"/>
    <mergeCell ref="H20:I20"/>
    <mergeCell ref="H21:I21"/>
    <mergeCell ref="H22:I22"/>
    <mergeCell ref="J2:K2"/>
    <mergeCell ref="J3:K3"/>
    <mergeCell ref="J4:K4"/>
    <mergeCell ref="J5:K5"/>
    <mergeCell ref="J6:K6"/>
    <mergeCell ref="J16:K16"/>
    <mergeCell ref="J17:K17"/>
    <mergeCell ref="J18:K18"/>
    <mergeCell ref="J19:K19"/>
    <mergeCell ref="J20:K20"/>
    <mergeCell ref="J21:K21"/>
    <mergeCell ref="J22:K22"/>
    <mergeCell ref="J55:K55"/>
    <mergeCell ref="J56:K56"/>
    <mergeCell ref="J23:K23"/>
    <mergeCell ref="J24:K24"/>
    <mergeCell ref="J25:K25"/>
    <mergeCell ref="J34:K34"/>
    <mergeCell ref="J35:K35"/>
    <mergeCell ref="J36:K36"/>
    <mergeCell ref="J37:K37"/>
    <mergeCell ref="J38:K38"/>
    <mergeCell ref="J39:K39"/>
    <mergeCell ref="J97:K97"/>
    <mergeCell ref="J74:K74"/>
    <mergeCell ref="J75:K75"/>
    <mergeCell ref="J76:K76"/>
    <mergeCell ref="J77:K77"/>
    <mergeCell ref="J78:K78"/>
    <mergeCell ref="J79:K79"/>
    <mergeCell ref="J88:K88"/>
    <mergeCell ref="J89:K89"/>
    <mergeCell ref="J90:K90"/>
    <mergeCell ref="L1:M1"/>
    <mergeCell ref="N1:O1"/>
    <mergeCell ref="J91:K91"/>
    <mergeCell ref="J92:K92"/>
    <mergeCell ref="J93:K93"/>
    <mergeCell ref="J94:K94"/>
    <mergeCell ref="J95:K95"/>
    <mergeCell ref="J96:K96"/>
    <mergeCell ref="J57:K57"/>
    <mergeCell ref="J58:K58"/>
    <mergeCell ref="J59:K59"/>
    <mergeCell ref="J60:K60"/>
    <mergeCell ref="J61:K61"/>
    <mergeCell ref="J70:K70"/>
    <mergeCell ref="J71:K71"/>
    <mergeCell ref="J72:K72"/>
    <mergeCell ref="J73:K73"/>
    <mergeCell ref="J40:K40"/>
    <mergeCell ref="J41:K41"/>
    <mergeCell ref="J42:K42"/>
    <mergeCell ref="J43:K43"/>
    <mergeCell ref="J52:K52"/>
    <mergeCell ref="J53:K53"/>
    <mergeCell ref="J54:K54"/>
  </mergeCells>
  <pageMargins left="0.7" right="0.7" top="0.75" bottom="0.75" header="0.3" footer="0.3"/>
  <pageSetup paperSize="9" orientation="portrait" horizontalDpi="4294967293" verticalDpi="4294967293" r:id="rId1"/>
  <ignoredErrors>
    <ignoredError sqref="N29:N30 N46:N48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82"/>
  <sheetViews>
    <sheetView workbookViewId="0">
      <pane ySplit="1" topLeftCell="A10" activePane="bottomLeft" state="frozen"/>
      <selection pane="bottomLeft" activeCell="K33" sqref="K33"/>
    </sheetView>
  </sheetViews>
  <sheetFormatPr defaultRowHeight="15" x14ac:dyDescent="0.25"/>
  <cols>
    <col min="1" max="1" width="46" style="582" customWidth="1"/>
    <col min="2" max="2" width="9.140625" style="582" hidden="1" customWidth="1"/>
    <col min="3" max="3" width="12.140625" style="582" hidden="1" customWidth="1"/>
    <col min="4" max="4" width="9.140625" style="582" hidden="1" customWidth="1"/>
    <col min="5" max="5" width="12.7109375" style="582" hidden="1" customWidth="1"/>
    <col min="6" max="6" width="9.140625" style="582" hidden="1" customWidth="1"/>
    <col min="7" max="7" width="13" style="582" hidden="1" customWidth="1"/>
    <col min="8" max="8" width="9.140625" style="582" hidden="1" customWidth="1"/>
    <col min="9" max="9" width="12.5703125" style="582" hidden="1" customWidth="1"/>
    <col min="10" max="10" width="9.140625" style="582" customWidth="1"/>
    <col min="11" max="11" width="13" style="582" customWidth="1"/>
    <col min="12" max="12" width="9.140625" style="582"/>
    <col min="13" max="13" width="13" style="582" customWidth="1"/>
    <col min="14" max="14" width="9.140625" style="582" customWidth="1"/>
    <col min="15" max="15" width="13.85546875" style="582" customWidth="1"/>
    <col min="16" max="16" width="9.140625" style="582" hidden="1" customWidth="1"/>
    <col min="17" max="17" width="13.85546875" style="582" hidden="1" customWidth="1"/>
    <col min="18" max="18" width="9.140625" style="582"/>
    <col min="19" max="19" width="12.85546875" style="582" customWidth="1"/>
    <col min="20" max="20" width="9.140625" style="582"/>
    <col min="21" max="21" width="12.85546875" style="582" customWidth="1"/>
    <col min="22" max="22" width="9.140625" style="582"/>
    <col min="23" max="23" width="11.85546875" style="582" customWidth="1"/>
    <col min="24" max="16384" width="9.140625" style="582"/>
  </cols>
  <sheetData>
    <row r="1" spans="1:25" x14ac:dyDescent="0.25">
      <c r="A1" s="604" t="s">
        <v>792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778">
        <f>Nøgletal!$T2</f>
        <v>379.27115877733439</v>
      </c>
      <c r="S1" s="779"/>
      <c r="T1" s="778">
        <f>Nøgletal!$V2</f>
        <v>255.10348315360176</v>
      </c>
      <c r="U1" s="779"/>
      <c r="V1" s="603"/>
      <c r="W1" s="604" t="s">
        <v>796</v>
      </c>
      <c r="X1" s="641">
        <f>Nøgletal!R2*0.4</f>
        <v>152.00699862265944</v>
      </c>
      <c r="Y1" s="582" t="s">
        <v>798</v>
      </c>
    </row>
    <row r="2" spans="1:25" x14ac:dyDescent="0.25">
      <c r="A2" s="604"/>
      <c r="B2" s="784">
        <v>2006</v>
      </c>
      <c r="C2" s="784"/>
      <c r="D2" s="784">
        <v>2008</v>
      </c>
      <c r="E2" s="784"/>
      <c r="F2" s="784">
        <v>2009</v>
      </c>
      <c r="G2" s="784"/>
      <c r="H2" s="784">
        <v>2011</v>
      </c>
      <c r="I2" s="784"/>
      <c r="J2" s="784">
        <v>2013</v>
      </c>
      <c r="K2" s="784"/>
      <c r="L2" s="766">
        <v>2015</v>
      </c>
      <c r="M2" s="766"/>
      <c r="N2" s="766">
        <v>2017</v>
      </c>
      <c r="O2" s="766"/>
      <c r="P2" s="766">
        <v>2017</v>
      </c>
      <c r="Q2" s="766"/>
      <c r="R2" s="779">
        <v>2025</v>
      </c>
      <c r="S2" s="779"/>
      <c r="T2" s="779">
        <v>2030</v>
      </c>
      <c r="U2" s="779"/>
      <c r="V2" s="604"/>
      <c r="W2" s="604"/>
      <c r="X2" s="604"/>
    </row>
    <row r="3" spans="1:25" ht="18" x14ac:dyDescent="0.35">
      <c r="A3" s="604" t="s">
        <v>799</v>
      </c>
      <c r="B3" s="782">
        <f>Nøgletal!D8</f>
        <v>25.257517960000005</v>
      </c>
      <c r="C3" s="782"/>
      <c r="D3" s="782">
        <f>Nøgletal!F8</f>
        <v>22.56719648</v>
      </c>
      <c r="E3" s="782"/>
      <c r="F3" s="782">
        <f>Nøgletal!H8</f>
        <v>21.071449940000001</v>
      </c>
      <c r="G3" s="782"/>
      <c r="H3" s="782">
        <f>Nøgletal!J8</f>
        <v>21.67824405</v>
      </c>
      <c r="I3" s="782"/>
      <c r="J3" s="782">
        <f>Nøgletal!L8</f>
        <v>26.941191881118371</v>
      </c>
      <c r="K3" s="782"/>
      <c r="L3" s="768">
        <f>Nøgletal!N8</f>
        <v>26.781873999999998</v>
      </c>
      <c r="M3" s="768"/>
      <c r="N3" s="768">
        <f>Nøgletal!P8</f>
        <v>48.372844999999998</v>
      </c>
      <c r="O3" s="768"/>
      <c r="P3" s="768">
        <f>Nøgletal!R8</f>
        <v>48.372844999999998</v>
      </c>
      <c r="Q3" s="768"/>
      <c r="R3" s="780">
        <f>Nøgletal!T8</f>
        <v>48.372844999999998</v>
      </c>
      <c r="S3" s="780"/>
      <c r="T3" s="780">
        <f>Nøgletal!V8</f>
        <v>21.305050181524141</v>
      </c>
      <c r="U3" s="780"/>
      <c r="V3" s="604"/>
      <c r="W3" s="604"/>
      <c r="X3" s="604"/>
    </row>
    <row r="4" spans="1:25" ht="18" x14ac:dyDescent="0.35">
      <c r="A4" s="604" t="s">
        <v>539</v>
      </c>
      <c r="B4" s="783">
        <f>Nøgletal!E8</f>
        <v>5.4988208273985033E-2</v>
      </c>
      <c r="C4" s="783"/>
      <c r="D4" s="783">
        <f>Nøgletal!G8</f>
        <v>4.3873920891721103E-2</v>
      </c>
      <c r="E4" s="783"/>
      <c r="F4" s="783">
        <f>Nøgletal!I8</f>
        <v>4.2564720914843417E-2</v>
      </c>
      <c r="G4" s="783"/>
      <c r="H4" s="783">
        <f>Nøgletal!K8</f>
        <v>5.040192191419355E-2</v>
      </c>
      <c r="I4" s="783"/>
      <c r="J4" s="783">
        <f>Nøgletal!M8</f>
        <v>6.3160280188023027E-2</v>
      </c>
      <c r="K4" s="783"/>
      <c r="L4" s="769">
        <f>Nøgletal!O8</f>
        <v>6.556739041754564E-2</v>
      </c>
      <c r="M4" s="769"/>
      <c r="N4" s="769">
        <f>Nøgletal!Q8</f>
        <v>0.12729109958964518</v>
      </c>
      <c r="O4" s="769"/>
      <c r="P4" s="769">
        <f>Nøgletal!S8</f>
        <v>0.12729109958964518</v>
      </c>
      <c r="Q4" s="769"/>
      <c r="R4" s="781">
        <f>Nøgletal!U8</f>
        <v>0.12754158569805493</v>
      </c>
      <c r="S4" s="781"/>
      <c r="T4" s="781">
        <f>Nøgletal!W8</f>
        <v>8.3515324519093451E-2</v>
      </c>
      <c r="U4" s="781"/>
      <c r="V4" s="604"/>
      <c r="W4" s="604"/>
      <c r="X4" s="604"/>
    </row>
    <row r="5" spans="1:25" ht="18" x14ac:dyDescent="0.35">
      <c r="A5" s="604" t="s">
        <v>800</v>
      </c>
      <c r="B5" s="782">
        <f>Nøgletal!D9</f>
        <v>106.64077395903861</v>
      </c>
      <c r="C5" s="782"/>
      <c r="D5" s="782">
        <f>Nøgletal!F9</f>
        <v>142.84794978869706</v>
      </c>
      <c r="E5" s="782"/>
      <c r="F5" s="782">
        <f>Nøgletal!H9</f>
        <v>129.39848379125345</v>
      </c>
      <c r="G5" s="782"/>
      <c r="H5" s="768">
        <f>Nøgletal!J9</f>
        <v>94.18467640641272</v>
      </c>
      <c r="I5" s="768"/>
      <c r="J5" s="768">
        <f>Nøgletal!L9</f>
        <v>110.29246207445844</v>
      </c>
      <c r="K5" s="768"/>
      <c r="L5" s="782">
        <f>Nøgletal!N9</f>
        <v>157.41732478168811</v>
      </c>
      <c r="M5" s="782"/>
      <c r="N5" s="782">
        <f>Nøgletal!P9</f>
        <v>130.98026910467922</v>
      </c>
      <c r="O5" s="782"/>
      <c r="P5" s="782">
        <f>Nøgletal!R9</f>
        <v>130.98026910467922</v>
      </c>
      <c r="Q5" s="782"/>
      <c r="R5" s="780">
        <f>Nøgletal!T9</f>
        <v>131.05434852837345</v>
      </c>
      <c r="S5" s="780"/>
      <c r="T5" s="780">
        <f>Nøgletal!V9</f>
        <v>43.975571850442982</v>
      </c>
      <c r="U5" s="780"/>
      <c r="V5" s="604"/>
      <c r="W5" s="604"/>
      <c r="X5" s="604"/>
    </row>
    <row r="6" spans="1:25" ht="18" x14ac:dyDescent="0.35">
      <c r="A6" s="604" t="s">
        <v>553</v>
      </c>
      <c r="B6" s="783">
        <f>Nøgletal!E9</f>
        <v>0.23216790732348641</v>
      </c>
      <c r="C6" s="783"/>
      <c r="D6" s="783">
        <f>Nøgletal!G9</f>
        <v>0.27771724565469125</v>
      </c>
      <c r="E6" s="783"/>
      <c r="F6" s="783">
        <f>Nøgletal!I9</f>
        <v>0.26138734472766867</v>
      </c>
      <c r="G6" s="783"/>
      <c r="H6" s="769">
        <f>Nøgletal!K9</f>
        <v>0.21897939218696089</v>
      </c>
      <c r="I6" s="769"/>
      <c r="J6" s="769">
        <f>Nøgletal!M9</f>
        <v>0.2585669868648931</v>
      </c>
      <c r="K6" s="769"/>
      <c r="L6" s="783">
        <f>Nøgletal!O9</f>
        <v>0.38538913268154895</v>
      </c>
      <c r="M6" s="783"/>
      <c r="N6" s="783">
        <f>Nøgletal!Q9</f>
        <v>0.34466904890300021</v>
      </c>
      <c r="O6" s="783"/>
      <c r="P6" s="783">
        <f>Nøgletal!S9</f>
        <v>0.34466904890300021</v>
      </c>
      <c r="Q6" s="783"/>
      <c r="R6" s="781">
        <f>Nøgletal!U9</f>
        <v>0.34554261639840089</v>
      </c>
      <c r="S6" s="781"/>
      <c r="T6" s="781">
        <f>Nøgletal!W9</f>
        <v>0.1723832670052749</v>
      </c>
      <c r="U6" s="781"/>
      <c r="V6" s="604"/>
      <c r="W6" s="604"/>
      <c r="X6" s="604"/>
    </row>
    <row r="7" spans="1:25" x14ac:dyDescent="0.25">
      <c r="A7" s="629" t="s">
        <v>268</v>
      </c>
      <c r="B7" s="649" t="s">
        <v>0</v>
      </c>
      <c r="C7" s="650"/>
      <c r="D7" s="649" t="s">
        <v>0</v>
      </c>
      <c r="E7" s="650" t="s">
        <v>491</v>
      </c>
      <c r="F7" s="649" t="s">
        <v>0</v>
      </c>
      <c r="G7" s="650" t="s">
        <v>491</v>
      </c>
      <c r="H7" s="649" t="s">
        <v>0</v>
      </c>
      <c r="I7" s="650" t="s">
        <v>491</v>
      </c>
      <c r="J7" s="649" t="s">
        <v>0</v>
      </c>
      <c r="K7" s="650" t="s">
        <v>491</v>
      </c>
      <c r="L7" s="649" t="s">
        <v>0</v>
      </c>
      <c r="M7" s="650" t="s">
        <v>491</v>
      </c>
      <c r="N7" s="649" t="s">
        <v>0</v>
      </c>
      <c r="O7" s="650" t="s">
        <v>491</v>
      </c>
      <c r="P7" s="649" t="s">
        <v>0</v>
      </c>
      <c r="Q7" s="650" t="s">
        <v>491</v>
      </c>
      <c r="R7" s="590" t="s">
        <v>0</v>
      </c>
      <c r="S7" s="598" t="s">
        <v>491</v>
      </c>
      <c r="T7" s="590" t="s">
        <v>0</v>
      </c>
      <c r="U7" s="598" t="s">
        <v>491</v>
      </c>
      <c r="V7" s="590" t="s">
        <v>807</v>
      </c>
    </row>
    <row r="8" spans="1:25" x14ac:dyDescent="0.25">
      <c r="A8" s="631" t="s">
        <v>485</v>
      </c>
      <c r="B8" s="649">
        <f>Nøgletal!D170</f>
        <v>360.6480689508</v>
      </c>
      <c r="C8" s="649"/>
      <c r="D8" s="649">
        <f>Nøgletal!F170</f>
        <v>361.29182128919996</v>
      </c>
      <c r="E8" s="650">
        <f>Nøgletal!G170</f>
        <v>8.9249381020224553E-4</v>
      </c>
      <c r="F8" s="649">
        <f>Nøgletal!H170</f>
        <v>364.20972817680001</v>
      </c>
      <c r="G8" s="650">
        <f>Nøgletal!I170</f>
        <v>8.076315918771889E-3</v>
      </c>
      <c r="H8" s="649">
        <f>Nøgletal!J170</f>
        <v>236.69199981164161</v>
      </c>
      <c r="I8" s="650">
        <f>Nøgletal!K170</f>
        <v>-0.1750608488733954</v>
      </c>
      <c r="J8" s="649">
        <f>Nøgletal!L170</f>
        <v>325.43687409790323</v>
      </c>
      <c r="K8" s="650">
        <f>Nøgletal!M170</f>
        <v>0.187469104061152</v>
      </c>
      <c r="L8" s="649">
        <f>Nøgletal!N170</f>
        <v>400.1</v>
      </c>
      <c r="M8" s="650">
        <f>Nøgletal!O170</f>
        <v>0.11471214826079514</v>
      </c>
      <c r="N8" s="649">
        <f>Nøgletal!P170</f>
        <v>546.29999999999995</v>
      </c>
      <c r="O8" s="650">
        <f>Nøgletal!Q170</f>
        <v>0.18270432391902014</v>
      </c>
      <c r="P8" s="649">
        <f>Nøgletal!R170</f>
        <v>546.29999999999995</v>
      </c>
      <c r="Q8" s="650">
        <f>Nøgletal!S170</f>
        <v>0</v>
      </c>
      <c r="R8" s="642">
        <f>SUM(R9:R11)</f>
        <v>546.29999999999995</v>
      </c>
      <c r="S8" s="592">
        <v>0</v>
      </c>
      <c r="T8" s="642">
        <f>SUM(T9:T11)</f>
        <v>591.63933737849322</v>
      </c>
      <c r="U8" s="592">
        <v>6.1518412046075444E-3</v>
      </c>
      <c r="V8" s="646">
        <f>'BF - overblik beregning'!G6</f>
        <v>6.1518412046075444E-3</v>
      </c>
    </row>
    <row r="9" spans="1:25" ht="15" customHeight="1" x14ac:dyDescent="0.25">
      <c r="A9" s="604" t="s">
        <v>305</v>
      </c>
      <c r="B9" s="649">
        <f>Nøgletal!D171</f>
        <v>12.280865003999999</v>
      </c>
      <c r="C9" s="649"/>
      <c r="D9" s="649">
        <f>Nøgletal!F171</f>
        <v>12.302786196</v>
      </c>
      <c r="E9" s="650">
        <f>Nøgletal!G171</f>
        <v>8.9249381020232272E-4</v>
      </c>
      <c r="F9" s="649">
        <f>Nøgletal!H171</f>
        <v>12.402147384000001</v>
      </c>
      <c r="G9" s="650">
        <f>Nøgletal!I171</f>
        <v>8.0763159187718508E-3</v>
      </c>
      <c r="H9" s="649">
        <f>Nøgletal!J171</f>
        <v>8.0598864862079989</v>
      </c>
      <c r="I9" s="650">
        <f>Nøgletal!K171</f>
        <v>-0.17506084887339546</v>
      </c>
      <c r="J9" s="649">
        <f>Nøgletal!L171</f>
        <v>11.081845883016003</v>
      </c>
      <c r="K9" s="650">
        <f>Nøgletal!M171</f>
        <v>0.18746910406115225</v>
      </c>
      <c r="L9" s="649">
        <f>Nøgletal!N171</f>
        <v>13.6</v>
      </c>
      <c r="M9" s="650">
        <f>Nøgletal!O171</f>
        <v>0.113616185587065</v>
      </c>
      <c r="N9" s="649">
        <f>Nøgletal!P171</f>
        <v>18.600000000000001</v>
      </c>
      <c r="O9" s="650">
        <f>Nøgletal!Q171</f>
        <v>0.18382352941176477</v>
      </c>
      <c r="P9" s="649">
        <f>Nøgletal!R171</f>
        <v>18.600000000000001</v>
      </c>
      <c r="Q9" s="650">
        <f>Nøgletal!S171</f>
        <v>0</v>
      </c>
      <c r="R9" s="594">
        <f>P9*(1+S9)^(R$2-P$2)</f>
        <v>18.600000000000001</v>
      </c>
      <c r="S9" s="592">
        <f>S$8</f>
        <v>0</v>
      </c>
      <c r="T9" s="594">
        <f>P9*(1+U9)^(T$2-P$2)</f>
        <v>20.143678702617564</v>
      </c>
      <c r="U9" s="592">
        <f>U$8</f>
        <v>6.1518412046075444E-3</v>
      </c>
      <c r="V9" s="647"/>
    </row>
    <row r="10" spans="1:25" ht="15" customHeight="1" x14ac:dyDescent="0.25">
      <c r="A10" s="604" t="s">
        <v>309</v>
      </c>
      <c r="B10" s="649">
        <f>Nøgletal!D172</f>
        <v>49.12346001600001</v>
      </c>
      <c r="C10" s="649"/>
      <c r="D10" s="649">
        <f>Nøgletal!F172</f>
        <v>49.211144784000005</v>
      </c>
      <c r="E10" s="650">
        <f>Nøgletal!G172</f>
        <v>8.9249381020225008E-4</v>
      </c>
      <c r="F10" s="649">
        <f>Nøgletal!H172</f>
        <v>49.608589536000004</v>
      </c>
      <c r="G10" s="650">
        <f>Nøgletal!I172</f>
        <v>8.0763159187717051E-3</v>
      </c>
      <c r="H10" s="649">
        <f>Nøgletal!J172</f>
        <v>32.239545944831995</v>
      </c>
      <c r="I10" s="650">
        <f>Nøgletal!K172</f>
        <v>-0.17506084887339546</v>
      </c>
      <c r="J10" s="649">
        <f>Nøgletal!L172</f>
        <v>44.327383532064012</v>
      </c>
      <c r="K10" s="650">
        <f>Nøgletal!M172</f>
        <v>0.18746910406115225</v>
      </c>
      <c r="L10" s="649">
        <f>Nøgletal!N172</f>
        <v>54.5</v>
      </c>
      <c r="M10" s="650">
        <f>Nøgletal!O172</f>
        <v>0.11474415651645301</v>
      </c>
      <c r="N10" s="649">
        <f>Nøgletal!P172</f>
        <v>74.400000000000006</v>
      </c>
      <c r="O10" s="650">
        <f>Nøgletal!Q172</f>
        <v>0.18256880733944961</v>
      </c>
      <c r="P10" s="649">
        <f>Nøgletal!R172</f>
        <v>74.400000000000006</v>
      </c>
      <c r="Q10" s="650">
        <f>Nøgletal!S172</f>
        <v>0</v>
      </c>
      <c r="R10" s="594">
        <f t="shared" ref="R10:R17" si="0">P10*(1+S10)^(R$2-P$2)</f>
        <v>74.400000000000006</v>
      </c>
      <c r="S10" s="592">
        <f t="shared" ref="S10:S11" si="1">S$8</f>
        <v>0</v>
      </c>
      <c r="T10" s="594">
        <f>P10*(1+U10)^(T$2-P$2)</f>
        <v>80.574714810470255</v>
      </c>
      <c r="U10" s="592">
        <f t="shared" ref="U10:U11" si="2">U$8</f>
        <v>6.1518412046075444E-3</v>
      </c>
      <c r="V10" s="647"/>
    </row>
    <row r="11" spans="1:25" ht="15" customHeight="1" x14ac:dyDescent="0.25">
      <c r="A11" s="604" t="s">
        <v>290</v>
      </c>
      <c r="B11" s="649">
        <f>Nøgletal!D173</f>
        <v>299.24374393080001</v>
      </c>
      <c r="C11" s="649"/>
      <c r="D11" s="649">
        <f>Nøgletal!F173</f>
        <v>299.77789030919996</v>
      </c>
      <c r="E11" s="650">
        <f>Nøgletal!G173</f>
        <v>8.9249381020221777E-4</v>
      </c>
      <c r="F11" s="649">
        <f>Nøgletal!H173</f>
        <v>302.19899125680001</v>
      </c>
      <c r="G11" s="650">
        <f>Nøgletal!I173</f>
        <v>8.076315918771915E-3</v>
      </c>
      <c r="H11" s="649">
        <f>Nøgletal!J173</f>
        <v>196.39256738060161</v>
      </c>
      <c r="I11" s="650">
        <f>Nøgletal!K173</f>
        <v>-0.1750608488733954</v>
      </c>
      <c r="J11" s="649">
        <f>Nøgletal!L173</f>
        <v>270.02764468282322</v>
      </c>
      <c r="K11" s="650">
        <f>Nøgletal!M173</f>
        <v>0.187469104061152</v>
      </c>
      <c r="L11" s="649">
        <f>Nøgletal!N173</f>
        <v>332</v>
      </c>
      <c r="M11" s="650">
        <f>Nøgletal!O173</f>
        <v>0.11475187177588805</v>
      </c>
      <c r="N11" s="649">
        <f>Nøgletal!P173</f>
        <v>453.3</v>
      </c>
      <c r="O11" s="650">
        <f>Nøgletal!Q173</f>
        <v>0.18268072289156628</v>
      </c>
      <c r="P11" s="649">
        <f>Nøgletal!R173</f>
        <v>453.3</v>
      </c>
      <c r="Q11" s="650">
        <f>Nøgletal!S173</f>
        <v>0</v>
      </c>
      <c r="R11" s="594">
        <f t="shared" si="0"/>
        <v>453.3</v>
      </c>
      <c r="S11" s="592">
        <f t="shared" si="1"/>
        <v>0</v>
      </c>
      <c r="T11" s="594">
        <f>P11*(1+U11)^(T$2-P$2)</f>
        <v>490.92094386540543</v>
      </c>
      <c r="U11" s="592">
        <f t="shared" si="2"/>
        <v>6.1518412046075444E-3</v>
      </c>
      <c r="V11" s="647"/>
    </row>
    <row r="12" spans="1:25" x14ac:dyDescent="0.25">
      <c r="A12" s="631" t="s">
        <v>29</v>
      </c>
      <c r="B12" s="649">
        <f>Nøgletal!D174</f>
        <v>344.75700000000001</v>
      </c>
      <c r="C12" s="649"/>
      <c r="D12" s="649">
        <f>Nøgletal!F174</f>
        <v>297.42960000000005</v>
      </c>
      <c r="E12" s="650">
        <f>Nøgletal!G174</f>
        <v>-6.8638780358339285E-2</v>
      </c>
      <c r="F12" s="649">
        <f>Nøgletal!H174</f>
        <v>275.17860000000002</v>
      </c>
      <c r="G12" s="650">
        <f>Nøgletal!I174</f>
        <v>-7.4810980480759237E-2</v>
      </c>
      <c r="H12" s="649">
        <f>Nøgletal!J174</f>
        <v>287.67149999999998</v>
      </c>
      <c r="I12" s="650">
        <f>Nøgletal!K174</f>
        <v>2.2699621264153466E-2</v>
      </c>
      <c r="J12" s="649">
        <f>Nøgletal!L174</f>
        <v>364.64415681385674</v>
      </c>
      <c r="K12" s="650">
        <f>Nøgletal!M174</f>
        <v>0.13378568404213967</v>
      </c>
      <c r="L12" s="649">
        <f>Nøgletal!N174</f>
        <v>366.5652</v>
      </c>
      <c r="M12" s="650">
        <f>Nøgletal!O174</f>
        <v>2.634134059529052E-3</v>
      </c>
      <c r="N12" s="649">
        <f>Nøgletal!P174</f>
        <v>707.41500000000008</v>
      </c>
      <c r="O12" s="650">
        <f>Nøgletal!Q174</f>
        <v>0.46492383892415329</v>
      </c>
      <c r="P12" s="649">
        <f>Nøgletal!R174</f>
        <v>707.41500000000008</v>
      </c>
      <c r="Q12" s="650">
        <f>Nøgletal!S174</f>
        <v>0</v>
      </c>
      <c r="R12" s="642">
        <f>SUM(R13:R17)</f>
        <v>707.41500000000008</v>
      </c>
      <c r="S12" s="598"/>
      <c r="T12" s="642">
        <f>SUM(T13:T17)</f>
        <v>744.91612330670637</v>
      </c>
      <c r="U12" s="598"/>
      <c r="V12" s="604"/>
    </row>
    <row r="13" spans="1:25" x14ac:dyDescent="0.25">
      <c r="A13" s="604" t="s">
        <v>345</v>
      </c>
      <c r="B13" s="649">
        <f>Nøgletal!D175</f>
        <v>7.2731999999999992</v>
      </c>
      <c r="C13" s="649"/>
      <c r="D13" s="649">
        <f>Nøgletal!F175</f>
        <v>5.8368000000000011</v>
      </c>
      <c r="E13" s="650">
        <f>Nøgletal!G175</f>
        <v>-9.8746081504702071E-2</v>
      </c>
      <c r="F13" s="649">
        <f>Nøgletal!H175</f>
        <v>5.0615999999999994</v>
      </c>
      <c r="G13" s="650">
        <f>Nøgletal!I175</f>
        <v>-0.13281250000000025</v>
      </c>
      <c r="H13" s="649">
        <f>Nøgletal!J175</f>
        <v>4.8563999999999998</v>
      </c>
      <c r="I13" s="650">
        <f>Nøgletal!K175</f>
        <v>-2.0270270270270233E-2</v>
      </c>
      <c r="J13" s="649">
        <f>Nøgletal!L175</f>
        <v>4.6478158003708261</v>
      </c>
      <c r="K13" s="650">
        <f>Nøgletal!M175</f>
        <v>-2.147518734342041E-2</v>
      </c>
      <c r="L13" s="649">
        <f>Nøgletal!N175</f>
        <v>4.7651999999999992</v>
      </c>
      <c r="M13" s="650">
        <f>Nøgletal!O175</f>
        <v>1.2627888525596005E-2</v>
      </c>
      <c r="N13" s="649">
        <f>Nøgletal!P175</f>
        <v>5.0729999999999995</v>
      </c>
      <c r="O13" s="650">
        <f>Nøgletal!Q175</f>
        <v>3.2296650717703386E-2</v>
      </c>
      <c r="P13" s="649">
        <f>Nøgletal!R175</f>
        <v>5.0729999999999995</v>
      </c>
      <c r="Q13" s="650">
        <f>Nøgletal!S175</f>
        <v>0</v>
      </c>
      <c r="R13" s="594">
        <f t="shared" si="0"/>
        <v>5.0729999999999995</v>
      </c>
      <c r="S13" s="592">
        <v>0</v>
      </c>
      <c r="T13" s="594">
        <f>P13*(1+U13)^(T$2-P$2)</f>
        <v>4.8340671977132192</v>
      </c>
      <c r="U13" s="592">
        <v>-3.7042128253242934E-3</v>
      </c>
      <c r="V13" s="646">
        <f>'BF - overblik beregning'!C6</f>
        <v>-3.7042128253242934E-3</v>
      </c>
    </row>
    <row r="14" spans="1:25" x14ac:dyDescent="0.25">
      <c r="A14" s="604" t="s">
        <v>292</v>
      </c>
      <c r="B14" s="649">
        <f>Nøgletal!D176</f>
        <v>24.3</v>
      </c>
      <c r="C14" s="649"/>
      <c r="D14" s="649">
        <f>Nøgletal!F176</f>
        <v>25.2</v>
      </c>
      <c r="E14" s="650">
        <f>Nøgletal!G176</f>
        <v>1.851851851851849E-2</v>
      </c>
      <c r="F14" s="649">
        <f>Nøgletal!H176</f>
        <v>26.1</v>
      </c>
      <c r="G14" s="650">
        <f>Nøgletal!I176</f>
        <v>3.5714285714285803E-2</v>
      </c>
      <c r="H14" s="649">
        <f>Nøgletal!J176</f>
        <v>19.8</v>
      </c>
      <c r="I14" s="650">
        <f>Nøgletal!K176</f>
        <v>-0.1206896551724138</v>
      </c>
      <c r="J14" s="649">
        <f>Nøgletal!L176</f>
        <v>19.049983783783784</v>
      </c>
      <c r="K14" s="650">
        <f>Nøgletal!M176</f>
        <v>-1.8939803439803459E-2</v>
      </c>
      <c r="L14" s="649">
        <f>Nøgletal!N176</f>
        <v>9</v>
      </c>
      <c r="M14" s="650">
        <f>Nøgletal!O176</f>
        <v>-0.26377932647740071</v>
      </c>
      <c r="N14" s="649">
        <f>Nøgletal!P176</f>
        <v>24.641999999999999</v>
      </c>
      <c r="O14" s="650">
        <f>Nøgletal!Q176</f>
        <v>0.86899999999999999</v>
      </c>
      <c r="P14" s="649">
        <f>Nøgletal!R176</f>
        <v>24.641999999999999</v>
      </c>
      <c r="Q14" s="650">
        <f>Nøgletal!S176</f>
        <v>0</v>
      </c>
      <c r="R14" s="594">
        <f t="shared" si="0"/>
        <v>24.641999999999999</v>
      </c>
      <c r="S14" s="592">
        <v>0</v>
      </c>
      <c r="T14" s="594">
        <f>P14*(1+U14)^(T$2-P$2)</f>
        <v>19.910626759762295</v>
      </c>
      <c r="U14" s="592">
        <v>-1.6266154307503333E-2</v>
      </c>
      <c r="V14" s="646">
        <f>'BF - overblik beregning'!D6</f>
        <v>-1.6266154307503333E-2</v>
      </c>
    </row>
    <row r="15" spans="1:25" x14ac:dyDescent="0.25">
      <c r="A15" s="604" t="s">
        <v>294</v>
      </c>
      <c r="B15" s="649">
        <f>Nøgletal!D177</f>
        <v>313.18380000000002</v>
      </c>
      <c r="C15" s="649"/>
      <c r="D15" s="649">
        <f>Nøgletal!F177</f>
        <v>266.39280000000002</v>
      </c>
      <c r="E15" s="650">
        <f>Nøgletal!G177</f>
        <v>-7.4702139765849954E-2</v>
      </c>
      <c r="F15" s="649">
        <f>Nøgletal!H177</f>
        <v>244.017</v>
      </c>
      <c r="G15" s="650">
        <f>Nøgletal!I177</f>
        <v>-8.3995513392253932E-2</v>
      </c>
      <c r="H15" s="649">
        <f>Nøgletal!J177</f>
        <v>263.01509999999996</v>
      </c>
      <c r="I15" s="650">
        <f>Nøgletal!K177</f>
        <v>3.8927820602662859E-2</v>
      </c>
      <c r="J15" s="649">
        <f>Nøgletal!L177</f>
        <v>340.94635722970213</v>
      </c>
      <c r="K15" s="650">
        <f>Nøgletal!M177</f>
        <v>0.14814977776884708</v>
      </c>
      <c r="L15" s="649">
        <f>Nøgletal!N177</f>
        <v>352.8</v>
      </c>
      <c r="M15" s="650">
        <f>Nøgletal!O177</f>
        <v>1.7383442466745367E-2</v>
      </c>
      <c r="N15" s="649">
        <f>Nøgletal!P177</f>
        <v>677.7</v>
      </c>
      <c r="O15" s="650">
        <f>Nøgletal!Q177</f>
        <v>0.46045918367346944</v>
      </c>
      <c r="P15" s="649">
        <f>Nøgletal!R177</f>
        <v>677.7</v>
      </c>
      <c r="Q15" s="650">
        <f>Nøgletal!S177</f>
        <v>0</v>
      </c>
      <c r="R15" s="594">
        <f t="shared" si="0"/>
        <v>677.7</v>
      </c>
      <c r="S15" s="592">
        <v>0</v>
      </c>
      <c r="T15" s="594">
        <f>P15*(1+U15)^(T$2-P$2)</f>
        <v>720.17142934923083</v>
      </c>
      <c r="U15" s="592">
        <v>4.6866842988202428E-3</v>
      </c>
      <c r="V15" s="646">
        <f>'BF - overblik beregning'!I6</f>
        <v>4.6866842988202428E-3</v>
      </c>
    </row>
    <row r="16" spans="1:25" x14ac:dyDescent="0.25">
      <c r="A16" s="604" t="s">
        <v>355</v>
      </c>
      <c r="B16" s="649">
        <f>Nøgletal!D178</f>
        <v>0</v>
      </c>
      <c r="C16" s="649"/>
      <c r="D16" s="649">
        <f>Nøgletal!F178</f>
        <v>0</v>
      </c>
      <c r="E16" s="650">
        <f>Nøgletal!G178</f>
        <v>0</v>
      </c>
      <c r="F16" s="649">
        <f>Nøgletal!H178</f>
        <v>0</v>
      </c>
      <c r="G16" s="650">
        <f>Nøgletal!I178</f>
        <v>0</v>
      </c>
      <c r="H16" s="649">
        <f>Nøgletal!J178</f>
        <v>0</v>
      </c>
      <c r="I16" s="650">
        <f>Nøgletal!K178</f>
        <v>0</v>
      </c>
      <c r="J16" s="649">
        <f>Nøgletal!L178</f>
        <v>0</v>
      </c>
      <c r="K16" s="650">
        <f>Nøgletal!M178</f>
        <v>0</v>
      </c>
      <c r="L16" s="649">
        <f>Nøgletal!N178</f>
        <v>0</v>
      </c>
      <c r="M16" s="650">
        <f>Nøgletal!O178</f>
        <v>0</v>
      </c>
      <c r="N16" s="649">
        <f>Nøgletal!P178</f>
        <v>0</v>
      </c>
      <c r="O16" s="650">
        <f>Nøgletal!Q178</f>
        <v>0</v>
      </c>
      <c r="P16" s="649">
        <f>Nøgletal!R178</f>
        <v>0</v>
      </c>
      <c r="Q16" s="650">
        <f>Nøgletal!S178</f>
        <v>0</v>
      </c>
      <c r="R16" s="594">
        <f t="shared" si="0"/>
        <v>0</v>
      </c>
      <c r="S16" s="592">
        <v>0</v>
      </c>
      <c r="T16" s="594">
        <f>P16*(1+U16)^(T$2-P$2)</f>
        <v>0</v>
      </c>
      <c r="U16" s="592">
        <v>4.6866842988202428E-3</v>
      </c>
      <c r="V16" s="646">
        <f>'BF - overblik beregning'!I6</f>
        <v>4.6866842988202428E-3</v>
      </c>
    </row>
    <row r="17" spans="1:22" x14ac:dyDescent="0.25">
      <c r="A17" s="631" t="s">
        <v>526</v>
      </c>
      <c r="B17" s="649">
        <f>Nøgletal!D179</f>
        <v>0</v>
      </c>
      <c r="C17" s="649"/>
      <c r="D17" s="649">
        <f>Nøgletal!F179</f>
        <v>0</v>
      </c>
      <c r="E17" s="650">
        <f>Nøgletal!G179</f>
        <v>0</v>
      </c>
      <c r="F17" s="649">
        <f>Nøgletal!H179</f>
        <v>0</v>
      </c>
      <c r="G17" s="650">
        <f>Nøgletal!I179</f>
        <v>0</v>
      </c>
      <c r="H17" s="649">
        <f>Nøgletal!J179</f>
        <v>0</v>
      </c>
      <c r="I17" s="650">
        <f>Nøgletal!K179</f>
        <v>0</v>
      </c>
      <c r="J17" s="649">
        <f>Nøgletal!L179</f>
        <v>0</v>
      </c>
      <c r="K17" s="650">
        <f>Nøgletal!M179</f>
        <v>0</v>
      </c>
      <c r="L17" s="649">
        <f>Nøgletal!N179</f>
        <v>0</v>
      </c>
      <c r="M17" s="650">
        <f>Nøgletal!O179</f>
        <v>0</v>
      </c>
      <c r="N17" s="649">
        <f>Nøgletal!P179</f>
        <v>0</v>
      </c>
      <c r="O17" s="650">
        <f>Nøgletal!Q179</f>
        <v>0</v>
      </c>
      <c r="P17" s="649">
        <f>Nøgletal!R179</f>
        <v>0</v>
      </c>
      <c r="Q17" s="650">
        <f>Nøgletal!S179</f>
        <v>0</v>
      </c>
      <c r="R17" s="594">
        <f t="shared" si="0"/>
        <v>0</v>
      </c>
      <c r="S17" s="592">
        <v>0</v>
      </c>
      <c r="T17" s="594">
        <f>P17*(1+U17)^(T$2-P$2)</f>
        <v>0</v>
      </c>
      <c r="U17" s="592">
        <v>4.6866842988202428E-3</v>
      </c>
      <c r="V17" s="646">
        <f>'BF - overblik beregning'!I6</f>
        <v>4.6866842988202428E-3</v>
      </c>
    </row>
    <row r="18" spans="1:22" x14ac:dyDescent="0.25">
      <c r="A18" s="631" t="s">
        <v>28</v>
      </c>
      <c r="B18" s="649">
        <f>Nøgletal!D180</f>
        <v>100.70557936904856</v>
      </c>
      <c r="C18" s="649"/>
      <c r="D18" s="649">
        <f>Nøgletal!F180</f>
        <v>94.128197755970589</v>
      </c>
      <c r="E18" s="650">
        <f>Nøgletal!G180</f>
        <v>-3.2656490605025533E-2</v>
      </c>
      <c r="F18" s="649">
        <f>Nøgletal!H180</f>
        <v>98.309842677600017</v>
      </c>
      <c r="G18" s="650">
        <f>Nøgletal!I180</f>
        <v>4.442499719871864E-2</v>
      </c>
      <c r="H18" s="649">
        <f>Nøgletal!J180</f>
        <v>86.115109491879991</v>
      </c>
      <c r="I18" s="650">
        <f>Nøgletal!K180</f>
        <v>-6.2021934190820374E-2</v>
      </c>
      <c r="J18" s="649">
        <f>Nøgletal!L180</f>
        <v>71.644421548832028</v>
      </c>
      <c r="K18" s="650">
        <f>Nøgletal!M180</f>
        <v>-8.4019448087750734E-2</v>
      </c>
      <c r="L18" s="649">
        <f>Nøgletal!N180</f>
        <v>69.27148374801601</v>
      </c>
      <c r="M18" s="650">
        <f>Nøgletal!O180</f>
        <v>-1.6560520341410326E-2</v>
      </c>
      <c r="N18" s="649">
        <f>Nøgletal!P180</f>
        <v>50.952019695360008</v>
      </c>
      <c r="O18" s="650">
        <f>Nøgletal!Q180</f>
        <v>-0.1322294764126565</v>
      </c>
      <c r="P18" s="649">
        <f>Nøgletal!R180</f>
        <v>50.952019695360008</v>
      </c>
      <c r="Q18" s="650">
        <f>Nøgletal!S180</f>
        <v>0</v>
      </c>
      <c r="R18" s="642">
        <f>Fjernvarmeprognose!R16</f>
        <v>50.952019695360008</v>
      </c>
      <c r="S18" s="643">
        <f>Fjernvarmeprognose!S16</f>
        <v>0</v>
      </c>
      <c r="T18" s="642">
        <f>Fjernvarmeprognose!T16</f>
        <v>47.614134579549741</v>
      </c>
      <c r="U18" s="643">
        <f>Fjernvarmeprognose!U16</f>
        <v>-5.1983444847796267E-3</v>
      </c>
      <c r="V18" s="604"/>
    </row>
    <row r="19" spans="1:22" x14ac:dyDescent="0.25">
      <c r="A19" s="633" t="s">
        <v>490</v>
      </c>
      <c r="B19" s="645"/>
      <c r="C19" s="645"/>
      <c r="D19" s="645"/>
      <c r="E19" s="645"/>
      <c r="F19" s="645"/>
      <c r="G19" s="645"/>
      <c r="H19" s="645"/>
      <c r="I19" s="645"/>
      <c r="J19" s="645"/>
      <c r="K19" s="645"/>
      <c r="L19" s="645"/>
      <c r="M19" s="645"/>
      <c r="N19" s="650"/>
      <c r="O19" s="650"/>
      <c r="P19" s="650"/>
      <c r="Q19" s="650"/>
      <c r="R19" s="635"/>
      <c r="S19" s="635"/>
      <c r="T19" s="635"/>
      <c r="U19" s="635"/>
      <c r="V19" s="604"/>
    </row>
    <row r="20" spans="1:22" hidden="1" x14ac:dyDescent="0.25">
      <c r="A20" s="604" t="s">
        <v>344</v>
      </c>
      <c r="B20" s="645">
        <f>Nøgletal!D185</f>
        <v>0</v>
      </c>
      <c r="C20" s="645"/>
      <c r="D20" s="645">
        <f>Nøgletal!F185</f>
        <v>0</v>
      </c>
      <c r="E20" s="645"/>
      <c r="F20" s="645">
        <f>Nøgletal!H185</f>
        <v>0</v>
      </c>
      <c r="G20" s="645"/>
      <c r="H20" s="645">
        <f>Nøgletal!J185</f>
        <v>0</v>
      </c>
      <c r="I20" s="645"/>
      <c r="J20" s="645">
        <f>Nøgletal!L185</f>
        <v>0</v>
      </c>
      <c r="K20" s="645"/>
      <c r="L20" s="645">
        <f>Nøgletal!N185</f>
        <v>0</v>
      </c>
      <c r="M20" s="645"/>
      <c r="N20" s="645">
        <f>Nøgletal!P185</f>
        <v>0</v>
      </c>
      <c r="O20" s="645"/>
      <c r="P20" s="645">
        <f>Nøgletal!R185</f>
        <v>0</v>
      </c>
      <c r="Q20" s="645"/>
      <c r="R20" s="599">
        <v>0</v>
      </c>
      <c r="S20" s="635"/>
      <c r="T20" s="599">
        <v>0</v>
      </c>
      <c r="U20" s="635"/>
      <c r="V20" s="647"/>
    </row>
    <row r="21" spans="1:22" hidden="1" x14ac:dyDescent="0.25">
      <c r="A21" s="604" t="s">
        <v>346</v>
      </c>
      <c r="B21" s="645">
        <f>Nøgletal!D186</f>
        <v>0</v>
      </c>
      <c r="C21" s="645"/>
      <c r="D21" s="645">
        <f>Nøgletal!F186</f>
        <v>0</v>
      </c>
      <c r="E21" s="645"/>
      <c r="F21" s="645">
        <f>Nøgletal!H186</f>
        <v>0</v>
      </c>
      <c r="G21" s="645"/>
      <c r="H21" s="645">
        <f>Nøgletal!J186</f>
        <v>0</v>
      </c>
      <c r="I21" s="645"/>
      <c r="J21" s="645">
        <f>Nøgletal!L186</f>
        <v>0</v>
      </c>
      <c r="K21" s="645"/>
      <c r="L21" s="645">
        <f>Nøgletal!N186</f>
        <v>0</v>
      </c>
      <c r="M21" s="645"/>
      <c r="N21" s="645">
        <f>Nøgletal!P186</f>
        <v>0</v>
      </c>
      <c r="O21" s="645"/>
      <c r="P21" s="645">
        <f>Nøgletal!R186</f>
        <v>0</v>
      </c>
      <c r="Q21" s="645"/>
      <c r="R21" s="599">
        <v>0</v>
      </c>
      <c r="S21" s="635"/>
      <c r="T21" s="599">
        <v>0.26577025232403723</v>
      </c>
      <c r="U21" s="635"/>
      <c r="V21" s="648">
        <f>'BF - overblik beregning'!B28</f>
        <v>0.26577025232403723</v>
      </c>
    </row>
    <row r="22" spans="1:22" hidden="1" x14ac:dyDescent="0.25">
      <c r="A22" s="604" t="s">
        <v>347</v>
      </c>
      <c r="B22" s="645">
        <f>Nøgletal!D187</f>
        <v>0</v>
      </c>
      <c r="C22" s="645"/>
      <c r="D22" s="645">
        <f>Nøgletal!F187</f>
        <v>0</v>
      </c>
      <c r="E22" s="645"/>
      <c r="F22" s="645">
        <f>Nøgletal!H187</f>
        <v>0</v>
      </c>
      <c r="G22" s="645"/>
      <c r="H22" s="645">
        <f>Nøgletal!J187</f>
        <v>0</v>
      </c>
      <c r="I22" s="645"/>
      <c r="J22" s="645">
        <f>Nøgletal!L187</f>
        <v>0</v>
      </c>
      <c r="K22" s="645"/>
      <c r="L22" s="645">
        <f>Nøgletal!N187</f>
        <v>0</v>
      </c>
      <c r="M22" s="645"/>
      <c r="N22" s="645">
        <f>Nøgletal!P187</f>
        <v>0</v>
      </c>
      <c r="O22" s="645"/>
      <c r="P22" s="645">
        <f>Nøgletal!R187</f>
        <v>0</v>
      </c>
      <c r="Q22" s="645"/>
      <c r="R22" s="599">
        <v>0</v>
      </c>
      <c r="S22" s="635"/>
      <c r="T22" s="599">
        <v>0.38213811420982741</v>
      </c>
      <c r="U22" s="635"/>
      <c r="V22" s="648">
        <f>'BF - overblik beregning'!B27</f>
        <v>0.38213811420982741</v>
      </c>
    </row>
    <row r="23" spans="1:22" hidden="1" x14ac:dyDescent="0.25">
      <c r="A23" s="604" t="s">
        <v>348</v>
      </c>
      <c r="B23" s="645">
        <f>Nøgletal!D188</f>
        <v>0</v>
      </c>
      <c r="C23" s="645"/>
      <c r="D23" s="645">
        <f>Nøgletal!F188</f>
        <v>0</v>
      </c>
      <c r="E23" s="645"/>
      <c r="F23" s="645">
        <f>Nøgletal!H188</f>
        <v>0</v>
      </c>
      <c r="G23" s="645"/>
      <c r="H23" s="645">
        <f>Nøgletal!J188</f>
        <v>0</v>
      </c>
      <c r="I23" s="645"/>
      <c r="J23" s="645">
        <f>Nøgletal!L188</f>
        <v>0</v>
      </c>
      <c r="K23" s="645"/>
      <c r="L23" s="645">
        <f>Nøgletal!N188</f>
        <v>0</v>
      </c>
      <c r="M23" s="645"/>
      <c r="N23" s="645">
        <f>Nøgletal!P188</f>
        <v>0</v>
      </c>
      <c r="O23" s="645"/>
      <c r="P23" s="645">
        <f>Nøgletal!R188</f>
        <v>0</v>
      </c>
      <c r="Q23" s="645"/>
      <c r="R23" s="599">
        <v>0</v>
      </c>
      <c r="S23" s="635"/>
      <c r="T23" s="599">
        <v>0.25348605577689243</v>
      </c>
      <c r="U23" s="635"/>
      <c r="V23" s="648">
        <f>'BF - overblik beregning'!B29</f>
        <v>0.25348605577689243</v>
      </c>
    </row>
    <row r="24" spans="1:22" hidden="1" x14ac:dyDescent="0.25">
      <c r="A24" s="604" t="s">
        <v>349</v>
      </c>
      <c r="B24" s="645">
        <f>Nøgletal!D189</f>
        <v>0</v>
      </c>
      <c r="C24" s="645"/>
      <c r="D24" s="645">
        <f>Nøgletal!F189</f>
        <v>0</v>
      </c>
      <c r="E24" s="645"/>
      <c r="F24" s="645">
        <f>Nøgletal!H189</f>
        <v>0</v>
      </c>
      <c r="G24" s="645"/>
      <c r="H24" s="645">
        <f>Nøgletal!J189</f>
        <v>0</v>
      </c>
      <c r="I24" s="645"/>
      <c r="J24" s="645">
        <f>Nøgletal!L189</f>
        <v>0</v>
      </c>
      <c r="K24" s="645"/>
      <c r="L24" s="645">
        <f>Nøgletal!N189</f>
        <v>0</v>
      </c>
      <c r="M24" s="645"/>
      <c r="N24" s="645">
        <f>Nøgletal!P189</f>
        <v>0</v>
      </c>
      <c r="O24" s="645"/>
      <c r="P24" s="645">
        <f>Nøgletal!R189</f>
        <v>0</v>
      </c>
      <c r="Q24" s="645"/>
      <c r="R24" s="644">
        <f>IF(R17&gt;0,1-R20-R21-R22-R23-R25-R26-R27-R28,0)</f>
        <v>0</v>
      </c>
      <c r="S24" s="635"/>
      <c r="T24" s="644">
        <f>IF(T17&gt;0,1-T20-T21-T22-T23-T25-T26-T27-T28,0)</f>
        <v>0</v>
      </c>
      <c r="U24" s="635"/>
      <c r="V24" s="648">
        <f>1-V21-V22-V23</f>
        <v>9.8605577689242885E-2</v>
      </c>
    </row>
    <row r="25" spans="1:22" hidden="1" x14ac:dyDescent="0.25">
      <c r="A25" s="604" t="s">
        <v>350</v>
      </c>
      <c r="B25" s="645">
        <f>Nøgletal!D190</f>
        <v>0</v>
      </c>
      <c r="C25" s="645"/>
      <c r="D25" s="645">
        <f>Nøgletal!F190</f>
        <v>0</v>
      </c>
      <c r="E25" s="645"/>
      <c r="F25" s="645">
        <f>Nøgletal!H190</f>
        <v>0</v>
      </c>
      <c r="G25" s="645"/>
      <c r="H25" s="645">
        <f>Nøgletal!J190</f>
        <v>0</v>
      </c>
      <c r="I25" s="645"/>
      <c r="J25" s="645">
        <f>Nøgletal!L190</f>
        <v>0</v>
      </c>
      <c r="K25" s="645"/>
      <c r="L25" s="645">
        <f>Nøgletal!N190</f>
        <v>0</v>
      </c>
      <c r="M25" s="645"/>
      <c r="N25" s="645">
        <f>Nøgletal!P190</f>
        <v>0</v>
      </c>
      <c r="O25" s="645"/>
      <c r="P25" s="645">
        <f>Nøgletal!R190</f>
        <v>0</v>
      </c>
      <c r="Q25" s="645"/>
      <c r="R25" s="599">
        <v>0</v>
      </c>
      <c r="S25" s="635"/>
      <c r="T25" s="599">
        <v>0</v>
      </c>
      <c r="U25" s="635"/>
      <c r="V25" s="647"/>
    </row>
    <row r="26" spans="1:22" hidden="1" x14ac:dyDescent="0.25">
      <c r="A26" s="604" t="s">
        <v>331</v>
      </c>
      <c r="B26" s="645">
        <f>Nøgletal!D191</f>
        <v>0</v>
      </c>
      <c r="C26" s="645"/>
      <c r="D26" s="645">
        <f>Nøgletal!F191</f>
        <v>0</v>
      </c>
      <c r="E26" s="645"/>
      <c r="F26" s="645">
        <f>Nøgletal!H191</f>
        <v>0</v>
      </c>
      <c r="G26" s="645"/>
      <c r="H26" s="645">
        <f>Nøgletal!J191</f>
        <v>0</v>
      </c>
      <c r="I26" s="645"/>
      <c r="J26" s="645">
        <f>Nøgletal!L191</f>
        <v>0</v>
      </c>
      <c r="K26" s="645"/>
      <c r="L26" s="645">
        <f>Nøgletal!N191</f>
        <v>0</v>
      </c>
      <c r="M26" s="645"/>
      <c r="N26" s="645">
        <f>Nøgletal!P191</f>
        <v>0</v>
      </c>
      <c r="O26" s="645"/>
      <c r="P26" s="645">
        <f>Nøgletal!R191</f>
        <v>0</v>
      </c>
      <c r="Q26" s="645"/>
      <c r="R26" s="599">
        <v>0</v>
      </c>
      <c r="S26" s="635"/>
      <c r="T26" s="599">
        <v>0</v>
      </c>
      <c r="U26" s="635"/>
      <c r="V26" s="647"/>
    </row>
    <row r="27" spans="1:22" hidden="1" x14ac:dyDescent="0.25">
      <c r="A27" s="604" t="s">
        <v>501</v>
      </c>
      <c r="B27" s="645">
        <f>Nøgletal!D192</f>
        <v>0</v>
      </c>
      <c r="C27" s="645"/>
      <c r="D27" s="645">
        <f>Nøgletal!F192</f>
        <v>0</v>
      </c>
      <c r="E27" s="645"/>
      <c r="F27" s="645">
        <f>Nøgletal!H192</f>
        <v>0</v>
      </c>
      <c r="G27" s="645"/>
      <c r="H27" s="645">
        <f>Nøgletal!J192</f>
        <v>0</v>
      </c>
      <c r="I27" s="645"/>
      <c r="J27" s="645">
        <f>Nøgletal!L192</f>
        <v>0</v>
      </c>
      <c r="K27" s="645"/>
      <c r="L27" s="645">
        <f>Nøgletal!N192</f>
        <v>0</v>
      </c>
      <c r="M27" s="645"/>
      <c r="N27" s="645">
        <f>Nøgletal!P192</f>
        <v>0</v>
      </c>
      <c r="O27" s="645"/>
      <c r="P27" s="645">
        <f>Nøgletal!R192</f>
        <v>0</v>
      </c>
      <c r="Q27" s="645"/>
      <c r="R27" s="599">
        <v>0</v>
      </c>
      <c r="S27" s="635"/>
      <c r="T27" s="599">
        <v>0</v>
      </c>
      <c r="U27" s="635"/>
      <c r="V27" s="647"/>
    </row>
    <row r="28" spans="1:22" hidden="1" x14ac:dyDescent="0.25">
      <c r="A28" s="604" t="s">
        <v>314</v>
      </c>
      <c r="B28" s="645">
        <f>Nøgletal!D193</f>
        <v>0</v>
      </c>
      <c r="C28" s="645"/>
      <c r="D28" s="645">
        <f>Nøgletal!F193</f>
        <v>0</v>
      </c>
      <c r="E28" s="645"/>
      <c r="F28" s="645">
        <f>Nøgletal!H193</f>
        <v>0</v>
      </c>
      <c r="G28" s="645"/>
      <c r="H28" s="645">
        <f>Nøgletal!J193</f>
        <v>0</v>
      </c>
      <c r="I28" s="645"/>
      <c r="J28" s="645">
        <f>Nøgletal!L193</f>
        <v>0</v>
      </c>
      <c r="K28" s="645"/>
      <c r="L28" s="645">
        <f>Nøgletal!N193</f>
        <v>0</v>
      </c>
      <c r="M28" s="645"/>
      <c r="N28" s="645">
        <f>Nøgletal!P193</f>
        <v>0</v>
      </c>
      <c r="O28" s="645"/>
      <c r="P28" s="645">
        <f>Nøgletal!R193</f>
        <v>0</v>
      </c>
      <c r="Q28" s="645"/>
      <c r="R28" s="599">
        <v>0</v>
      </c>
      <c r="S28" s="635"/>
      <c r="T28" s="599">
        <v>0</v>
      </c>
      <c r="U28" s="635"/>
      <c r="V28" s="647"/>
    </row>
    <row r="29" spans="1:22" x14ac:dyDescent="0.25">
      <c r="A29" s="631" t="s">
        <v>227</v>
      </c>
      <c r="B29" s="651">
        <f>Nøgletal!D201</f>
        <v>0</v>
      </c>
      <c r="C29" s="652"/>
      <c r="D29" s="651">
        <f>Nøgletal!F201</f>
        <v>189.82320000000001</v>
      </c>
      <c r="E29" s="645">
        <f>Nøgletal!G201</f>
        <v>94.911600000000007</v>
      </c>
      <c r="F29" s="651">
        <f>Nøgletal!H201</f>
        <v>188.70390000000003</v>
      </c>
      <c r="G29" s="645">
        <f>Nøgletal!I201</f>
        <v>-5.8965395167712969E-3</v>
      </c>
      <c r="H29" s="651">
        <f>Nøgletal!J201</f>
        <v>145.10808</v>
      </c>
      <c r="I29" s="645">
        <f>Nøgletal!K201</f>
        <v>-0.11551382880798973</v>
      </c>
      <c r="J29" s="651">
        <f>Nøgletal!L201</f>
        <v>153.1884474</v>
      </c>
      <c r="K29" s="645">
        <f>Nøgletal!M201</f>
        <v>2.7842582577069452E-2</v>
      </c>
      <c r="L29" s="651">
        <f>Nøgletal!N201</f>
        <v>153.1884474</v>
      </c>
      <c r="M29" s="645">
        <f>Nøgletal!O201</f>
        <v>0</v>
      </c>
      <c r="N29" s="651">
        <f>Nøgletal!P201</f>
        <v>142.40040000000002</v>
      </c>
      <c r="O29" s="645">
        <f>Nøgletal!Q201</f>
        <v>-3.5211687248943233E-2</v>
      </c>
      <c r="P29" s="651">
        <f>Nøgletal!R201</f>
        <v>142.40040000000002</v>
      </c>
      <c r="Q29" s="645">
        <f>Nøgletal!S201</f>
        <v>0</v>
      </c>
      <c r="R29" s="594">
        <f t="shared" ref="R29:R30" si="3">P29*(1+S29)^(R$2-P$2)</f>
        <v>142.40040000000002</v>
      </c>
      <c r="S29" s="592">
        <v>0</v>
      </c>
      <c r="T29" s="594">
        <f>P29*(1+U29)^(T$2-P$2)</f>
        <v>154.2187045550657</v>
      </c>
      <c r="U29" s="638">
        <v>6.1518412046075444E-3</v>
      </c>
      <c r="V29" s="646">
        <f>'BF - overblik beregning'!B32</f>
        <v>6.1518412046075444E-3</v>
      </c>
    </row>
    <row r="30" spans="1:22" x14ac:dyDescent="0.25">
      <c r="A30" s="631" t="s">
        <v>525</v>
      </c>
      <c r="B30" s="651">
        <f>Nøgletal!D202</f>
        <v>0</v>
      </c>
      <c r="C30" s="652"/>
      <c r="D30" s="651">
        <f>Nøgletal!F202</f>
        <v>0</v>
      </c>
      <c r="E30" s="645">
        <f>Nøgletal!G202</f>
        <v>0</v>
      </c>
      <c r="F30" s="651">
        <f>Nøgletal!H202</f>
        <v>0</v>
      </c>
      <c r="G30" s="645">
        <f>Nøgletal!I202</f>
        <v>0</v>
      </c>
      <c r="H30" s="651">
        <f>Nøgletal!J202</f>
        <v>0</v>
      </c>
      <c r="I30" s="645">
        <f>Nøgletal!K202</f>
        <v>0</v>
      </c>
      <c r="J30" s="651">
        <f>Nøgletal!L202</f>
        <v>0</v>
      </c>
      <c r="K30" s="645">
        <f>Nøgletal!M202</f>
        <v>0</v>
      </c>
      <c r="L30" s="651">
        <f>Nøgletal!N202</f>
        <v>0</v>
      </c>
      <c r="M30" s="645">
        <f>Nøgletal!O202</f>
        <v>0</v>
      </c>
      <c r="N30" s="651">
        <f>Nøgletal!P202</f>
        <v>0</v>
      </c>
      <c r="O30" s="645">
        <f>Nøgletal!Q202</f>
        <v>0</v>
      </c>
      <c r="P30" s="651">
        <f>Nøgletal!R202</f>
        <v>0</v>
      </c>
      <c r="Q30" s="645">
        <f>Nøgletal!S202</f>
        <v>0</v>
      </c>
      <c r="R30" s="594">
        <f t="shared" si="3"/>
        <v>0</v>
      </c>
      <c r="S30" s="592">
        <v>0</v>
      </c>
      <c r="T30" s="594">
        <f>P30*(1+U30)^(T$2-P$2)</f>
        <v>0</v>
      </c>
      <c r="U30" s="638">
        <v>-5.1983444847796267E-3</v>
      </c>
      <c r="V30" s="646">
        <f>'BF - overblik beregning'!B33</f>
        <v>-5.1983444847796267E-3</v>
      </c>
    </row>
    <row r="31" spans="1:22" x14ac:dyDescent="0.25">
      <c r="A31" s="629" t="s">
        <v>270</v>
      </c>
      <c r="B31" s="651">
        <f>Nøgletal!D203</f>
        <v>32.406826252410355</v>
      </c>
      <c r="C31" s="652"/>
      <c r="D31" s="651">
        <f>Nøgletal!F203</f>
        <v>37.375274124665609</v>
      </c>
      <c r="E31" s="645">
        <f>Nøgletal!G203</f>
        <v>7.6657427567219896E-2</v>
      </c>
      <c r="F31" s="651">
        <f>Nøgletal!H203</f>
        <v>38.531084898288</v>
      </c>
      <c r="G31" s="645">
        <f>Nøgletal!I203</f>
        <v>3.0924476159483755E-2</v>
      </c>
      <c r="H31" s="651">
        <f>Nøgletal!J203</f>
        <v>27.469615553919599</v>
      </c>
      <c r="I31" s="645">
        <f>Nøgletal!K203</f>
        <v>-0.14353955220269285</v>
      </c>
      <c r="J31" s="651">
        <f>Nøgletal!L203</f>
        <v>25.745772455844008</v>
      </c>
      <c r="K31" s="645">
        <f>Nøgletal!M203</f>
        <v>-3.1377270182247202E-2</v>
      </c>
      <c r="L31" s="651">
        <f>Nøgletal!N203</f>
        <v>24.715278550459999</v>
      </c>
      <c r="M31" s="645">
        <f>Nøgletal!O203</f>
        <v>-2.0012876039190244E-2</v>
      </c>
      <c r="N31" s="651">
        <f>Nøgletal!P203</f>
        <v>24.283759232200001</v>
      </c>
      <c r="O31" s="645">
        <f>Nøgletal!Q203</f>
        <v>-8.729808919187081E-3</v>
      </c>
      <c r="P31" s="651">
        <f>Nøgletal!R203</f>
        <v>24.283759232200001</v>
      </c>
      <c r="Q31" s="645">
        <f>Nøgletal!S203</f>
        <v>0</v>
      </c>
      <c r="R31" s="590"/>
      <c r="S31" s="598"/>
      <c r="T31" s="590"/>
      <c r="U31" s="598"/>
      <c r="V31" s="604"/>
    </row>
    <row r="32" spans="1:22" ht="16.5" customHeight="1" x14ac:dyDescent="0.25">
      <c r="A32" s="631" t="s">
        <v>485</v>
      </c>
      <c r="B32" s="651">
        <f>Nøgletal!D204</f>
        <v>1.1150295083999999</v>
      </c>
      <c r="C32" s="652"/>
      <c r="D32" s="651">
        <f>Nøgletal!F204</f>
        <v>1.1721211415999999</v>
      </c>
      <c r="E32" s="645">
        <f>Nøgletal!G204</f>
        <v>2.5600951710203185E-2</v>
      </c>
      <c r="F32" s="651">
        <f>Nøgletal!H204</f>
        <v>1.1733446808000001</v>
      </c>
      <c r="G32" s="645">
        <f>Nøgletal!I204</f>
        <v>1.0438675291958226E-3</v>
      </c>
      <c r="H32" s="651">
        <f>Nøgletal!J204</f>
        <v>1.1078473421196</v>
      </c>
      <c r="I32" s="645">
        <f>Nøgletal!K204</f>
        <v>-2.7910527806604635E-2</v>
      </c>
      <c r="J32" s="651">
        <f>Nøgletal!L204</f>
        <v>1.3215378369240005</v>
      </c>
      <c r="K32" s="645">
        <f>Nøgletal!M204</f>
        <v>9.6444016553560094E-2</v>
      </c>
      <c r="L32" s="651">
        <f>Nøgletal!N204</f>
        <v>1.1000000000000001</v>
      </c>
      <c r="M32" s="645">
        <f>Nøgletal!O204</f>
        <v>-8.381819677582969E-2</v>
      </c>
      <c r="N32" s="651">
        <f>Nøgletal!P204</f>
        <v>0.4</v>
      </c>
      <c r="O32" s="645">
        <f>Nøgletal!Q204</f>
        <v>-0.31818181818181818</v>
      </c>
      <c r="P32" s="651">
        <f>Nøgletal!R204</f>
        <v>0.4</v>
      </c>
      <c r="Q32" s="645">
        <f>Nøgletal!S204</f>
        <v>0</v>
      </c>
      <c r="R32" s="642">
        <f>SUM(R33:R35)</f>
        <v>0.4</v>
      </c>
      <c r="S32" s="592">
        <v>0</v>
      </c>
      <c r="T32" s="642">
        <f>SUM(T33:T35)</f>
        <v>0.39626866443752484</v>
      </c>
      <c r="U32" s="592">
        <v>-7.2067252490326528E-4</v>
      </c>
      <c r="V32" s="646">
        <f>'BF - overblik beregning'!G5</f>
        <v>-7.2067252490326528E-4</v>
      </c>
    </row>
    <row r="33" spans="1:22" ht="15" customHeight="1" x14ac:dyDescent="0.25">
      <c r="A33" s="604" t="s">
        <v>305</v>
      </c>
      <c r="B33" s="651">
        <f>Nøgletal!D205</f>
        <v>0.10235888999999999</v>
      </c>
      <c r="C33" s="652"/>
      <c r="D33" s="651">
        <f>Nøgletal!F205</f>
        <v>0.10759985999999999</v>
      </c>
      <c r="E33" s="645">
        <f>Nøgletal!G205</f>
        <v>2.5600951710203178E-2</v>
      </c>
      <c r="F33" s="651">
        <f>Nøgletal!H205</f>
        <v>0.10771218</v>
      </c>
      <c r="G33" s="645">
        <f>Nøgletal!I205</f>
        <v>1.0438675291957905E-3</v>
      </c>
      <c r="H33" s="651">
        <f>Nøgletal!J205</f>
        <v>0.10169957241000001</v>
      </c>
      <c r="I33" s="645">
        <f>Nøgletal!K205</f>
        <v>-2.7910527806604583E-2</v>
      </c>
      <c r="J33" s="651">
        <f>Nøgletal!L205</f>
        <v>0.1213162029</v>
      </c>
      <c r="K33" s="645">
        <f>Nøgletal!M205</f>
        <v>9.644401655355983E-2</v>
      </c>
      <c r="L33" s="651">
        <f>Nøgletal!N205</f>
        <v>0.1</v>
      </c>
      <c r="M33" s="645">
        <f>Nøgletal!O205</f>
        <v>-8.7853899110124548E-2</v>
      </c>
      <c r="N33" s="651">
        <f>Nøgletal!P205</f>
        <v>0</v>
      </c>
      <c r="O33" s="645">
        <f>Nøgletal!Q205</f>
        <v>-0.5</v>
      </c>
      <c r="P33" s="651">
        <f>Nøgletal!R205</f>
        <v>0</v>
      </c>
      <c r="Q33" s="645">
        <f>Nøgletal!S205</f>
        <v>0</v>
      </c>
      <c r="R33" s="594">
        <f t="shared" ref="R33:R37" si="4">P33*(1+S33)^(R$2-P$2)</f>
        <v>0</v>
      </c>
      <c r="S33" s="592">
        <f>S$32</f>
        <v>0</v>
      </c>
      <c r="T33" s="594">
        <f>P33*(1+U33)^(T$2-P$2)</f>
        <v>0</v>
      </c>
      <c r="U33" s="592">
        <f>U$32</f>
        <v>-7.2067252490326528E-4</v>
      </c>
      <c r="V33" s="647"/>
    </row>
    <row r="34" spans="1:22" ht="15" customHeight="1" x14ac:dyDescent="0.25">
      <c r="A34" s="604" t="s">
        <v>309</v>
      </c>
      <c r="B34" s="651">
        <f>Nøgletal!D206</f>
        <v>6.1415333999999995E-2</v>
      </c>
      <c r="C34" s="652"/>
      <c r="D34" s="651">
        <f>Nøgletal!F206</f>
        <v>6.4559915999999995E-2</v>
      </c>
      <c r="E34" s="645">
        <f>Nøgletal!G206</f>
        <v>2.5600951710203188E-2</v>
      </c>
      <c r="F34" s="651">
        <f>Nøgletal!H206</f>
        <v>6.4627307999999994E-2</v>
      </c>
      <c r="G34" s="645">
        <f>Nøgletal!I206</f>
        <v>1.0438675291956617E-3</v>
      </c>
      <c r="H34" s="651">
        <f>Nøgletal!J206</f>
        <v>6.1019743446000009E-2</v>
      </c>
      <c r="I34" s="645">
        <f>Nøgletal!K206</f>
        <v>-2.7910527806604489E-2</v>
      </c>
      <c r="J34" s="651">
        <f>Nøgletal!L206</f>
        <v>7.2789721740000021E-2</v>
      </c>
      <c r="K34" s="645">
        <f>Nøgletal!M206</f>
        <v>9.6444016553559955E-2</v>
      </c>
      <c r="L34" s="651">
        <f>Nøgletal!N206</f>
        <v>0.1</v>
      </c>
      <c r="M34" s="645">
        <f>Nøgletal!O206</f>
        <v>0.18691016814979225</v>
      </c>
      <c r="N34" s="651">
        <f>Nøgletal!P206</f>
        <v>0</v>
      </c>
      <c r="O34" s="645">
        <f>Nøgletal!Q206</f>
        <v>-0.5</v>
      </c>
      <c r="P34" s="651">
        <f>Nøgletal!R206</f>
        <v>0</v>
      </c>
      <c r="Q34" s="645">
        <f>Nøgletal!S206</f>
        <v>0</v>
      </c>
      <c r="R34" s="594">
        <f t="shared" si="4"/>
        <v>0</v>
      </c>
      <c r="S34" s="592">
        <f t="shared" ref="S34:S35" si="5">S$32</f>
        <v>0</v>
      </c>
      <c r="T34" s="594">
        <f>P34*(1+U34)^(T$2-P$2)</f>
        <v>0</v>
      </c>
      <c r="U34" s="592">
        <f t="shared" ref="U34:U35" si="6">U$32</f>
        <v>-7.2067252490326528E-4</v>
      </c>
      <c r="V34" s="647"/>
    </row>
    <row r="35" spans="1:22" ht="15" customHeight="1" x14ac:dyDescent="0.25">
      <c r="A35" s="604" t="s">
        <v>290</v>
      </c>
      <c r="B35" s="651">
        <f>Nøgletal!D207</f>
        <v>0.95125528439999985</v>
      </c>
      <c r="C35" s="652"/>
      <c r="D35" s="651">
        <f>Nøgletal!F207</f>
        <v>0.99996136559999993</v>
      </c>
      <c r="E35" s="645">
        <f>Nøgletal!G207</f>
        <v>2.5600951710203237E-2</v>
      </c>
      <c r="F35" s="651">
        <f>Nøgletal!H207</f>
        <v>1.0010051928000001</v>
      </c>
      <c r="G35" s="645">
        <f>Nøgletal!I207</f>
        <v>1.0438675291958503E-3</v>
      </c>
      <c r="H35" s="651">
        <f>Nøgletal!J207</f>
        <v>0.94512802626360004</v>
      </c>
      <c r="I35" s="645">
        <f>Nøgletal!K207</f>
        <v>-2.7910527806604631E-2</v>
      </c>
      <c r="J35" s="651">
        <f>Nøgletal!L207</f>
        <v>1.1274319122840004</v>
      </c>
      <c r="K35" s="645">
        <f>Nøgletal!M207</f>
        <v>9.6444016553560052E-2</v>
      </c>
      <c r="L35" s="651">
        <f>Nøgletal!N207</f>
        <v>0.9</v>
      </c>
      <c r="M35" s="645">
        <f>Nøgletal!O207</f>
        <v>-0.10086281477666309</v>
      </c>
      <c r="N35" s="651">
        <f>Nøgletal!P207</f>
        <v>0.4</v>
      </c>
      <c r="O35" s="645">
        <f>Nøgletal!Q207</f>
        <v>-0.27777777777777779</v>
      </c>
      <c r="P35" s="651">
        <f>Nøgletal!R207</f>
        <v>0.4</v>
      </c>
      <c r="Q35" s="645">
        <f>Nøgletal!S207</f>
        <v>0</v>
      </c>
      <c r="R35" s="594">
        <f t="shared" si="4"/>
        <v>0.4</v>
      </c>
      <c r="S35" s="592">
        <f t="shared" si="5"/>
        <v>0</v>
      </c>
      <c r="T35" s="594">
        <f>P35*(1+U35)^(T$2-P$2)</f>
        <v>0.39626866443752484</v>
      </c>
      <c r="U35" s="592">
        <f t="shared" si="6"/>
        <v>-7.2067252490326528E-4</v>
      </c>
      <c r="V35" s="647"/>
    </row>
    <row r="36" spans="1:22" x14ac:dyDescent="0.25">
      <c r="A36" s="631" t="s">
        <v>345</v>
      </c>
      <c r="B36" s="651">
        <f>Nøgletal!D208</f>
        <v>0</v>
      </c>
      <c r="C36" s="652"/>
      <c r="D36" s="651">
        <f>Nøgletal!F208</f>
        <v>0</v>
      </c>
      <c r="E36" s="645">
        <f>Nøgletal!G208</f>
        <v>0</v>
      </c>
      <c r="F36" s="651">
        <f>Nøgletal!H208</f>
        <v>0</v>
      </c>
      <c r="G36" s="645">
        <f>Nøgletal!I208</f>
        <v>0</v>
      </c>
      <c r="H36" s="651">
        <f>Nøgletal!J208</f>
        <v>0</v>
      </c>
      <c r="I36" s="645">
        <f>Nøgletal!K208</f>
        <v>0</v>
      </c>
      <c r="J36" s="651">
        <f>Nøgletal!L208</f>
        <v>0</v>
      </c>
      <c r="K36" s="645">
        <f>Nøgletal!M208</f>
        <v>0</v>
      </c>
      <c r="L36" s="651">
        <f>Nøgletal!N208</f>
        <v>0</v>
      </c>
      <c r="M36" s="645">
        <f>Nøgletal!O208</f>
        <v>0</v>
      </c>
      <c r="N36" s="651">
        <f>Nøgletal!P208</f>
        <v>0</v>
      </c>
      <c r="O36" s="645">
        <f>Nøgletal!Q208</f>
        <v>0</v>
      </c>
      <c r="P36" s="651">
        <f>Nøgletal!R208</f>
        <v>0</v>
      </c>
      <c r="Q36" s="645">
        <f>Nøgletal!S208</f>
        <v>0</v>
      </c>
      <c r="R36" s="594">
        <f t="shared" si="4"/>
        <v>0</v>
      </c>
      <c r="S36" s="592">
        <v>0</v>
      </c>
      <c r="T36" s="594">
        <f>P36*(1+U36)^(T$2-P$2)</f>
        <v>0</v>
      </c>
      <c r="U36" s="592">
        <v>-0.11140759433466829</v>
      </c>
      <c r="V36" s="646">
        <f>'BF - overblik beregning'!C5</f>
        <v>-0.11140759433466829</v>
      </c>
    </row>
    <row r="37" spans="1:22" x14ac:dyDescent="0.25">
      <c r="A37" s="631" t="s">
        <v>526</v>
      </c>
      <c r="B37" s="651">
        <f>Nøgletal!D209</f>
        <v>0</v>
      </c>
      <c r="C37" s="652"/>
      <c r="D37" s="651">
        <f>Nøgletal!F209</f>
        <v>0</v>
      </c>
      <c r="E37" s="645">
        <f>Nøgletal!G209</f>
        <v>0</v>
      </c>
      <c r="F37" s="651">
        <f>Nøgletal!H209</f>
        <v>0</v>
      </c>
      <c r="G37" s="645">
        <f>Nøgletal!I209</f>
        <v>0</v>
      </c>
      <c r="H37" s="651">
        <f>Nøgletal!J209</f>
        <v>0</v>
      </c>
      <c r="I37" s="645">
        <f>Nøgletal!K209</f>
        <v>0</v>
      </c>
      <c r="J37" s="651">
        <f>Nøgletal!L209</f>
        <v>0</v>
      </c>
      <c r="K37" s="645">
        <f>Nøgletal!M209</f>
        <v>0</v>
      </c>
      <c r="L37" s="651">
        <f>Nøgletal!N209</f>
        <v>0</v>
      </c>
      <c r="M37" s="645">
        <f>Nøgletal!O209</f>
        <v>0</v>
      </c>
      <c r="N37" s="651">
        <f>Nøgletal!P209</f>
        <v>0</v>
      </c>
      <c r="O37" s="645">
        <f>Nøgletal!Q209</f>
        <v>0</v>
      </c>
      <c r="P37" s="651">
        <f>Nøgletal!R209</f>
        <v>0</v>
      </c>
      <c r="Q37" s="645">
        <f>Nøgletal!S209</f>
        <v>0</v>
      </c>
      <c r="R37" s="594">
        <f t="shared" si="4"/>
        <v>0</v>
      </c>
      <c r="S37" s="592">
        <v>0</v>
      </c>
      <c r="T37" s="594">
        <f>P37*(1+U37)^(T$2-P$2)</f>
        <v>0</v>
      </c>
      <c r="U37" s="592">
        <v>2.9635694192420292E-3</v>
      </c>
      <c r="V37" s="646">
        <f>'BF - overblik beregning'!I5</f>
        <v>2.9635694192420292E-3</v>
      </c>
    </row>
    <row r="38" spans="1:22" x14ac:dyDescent="0.25">
      <c r="A38" s="631" t="s">
        <v>28</v>
      </c>
      <c r="B38" s="651">
        <f>Nøgletal!D210</f>
        <v>31.291796744010355</v>
      </c>
      <c r="C38" s="652"/>
      <c r="D38" s="651">
        <f>Nøgletal!F210</f>
        <v>36.203152983065607</v>
      </c>
      <c r="E38" s="645">
        <f>Nøgletal!G210</f>
        <v>7.8476737517402972E-2</v>
      </c>
      <c r="F38" s="651">
        <f>Nøgletal!H210</f>
        <v>37.357740217488001</v>
      </c>
      <c r="G38" s="645">
        <f>Nøgletal!I210</f>
        <v>3.1891897232333981E-2</v>
      </c>
      <c r="H38" s="651">
        <f>Nøgletal!J210</f>
        <v>26.361768211799998</v>
      </c>
      <c r="I38" s="645">
        <f>Nøgletal!K210</f>
        <v>-0.14717126814512915</v>
      </c>
      <c r="J38" s="651">
        <f>Nøgletal!L210</f>
        <v>24.424234618920007</v>
      </c>
      <c r="K38" s="645">
        <f>Nøgletal!M210</f>
        <v>-3.6748930824995189E-2</v>
      </c>
      <c r="L38" s="651">
        <f>Nøgletal!N210</f>
        <v>23.615278550459998</v>
      </c>
      <c r="M38" s="645">
        <f>Nøgletal!O210</f>
        <v>-1.6560520341410395E-2</v>
      </c>
      <c r="N38" s="651">
        <f>Nøgletal!P210</f>
        <v>23.883759232200003</v>
      </c>
      <c r="O38" s="645">
        <f>Nøgletal!Q210</f>
        <v>5.6844699325974178E-3</v>
      </c>
      <c r="P38" s="651">
        <f>Nøgletal!R210</f>
        <v>23.883759232200003</v>
      </c>
      <c r="Q38" s="645">
        <f>Nøgletal!S210</f>
        <v>0</v>
      </c>
      <c r="R38" s="642">
        <f>Fjernvarmeprognose!R18</f>
        <v>23.883759232200003</v>
      </c>
      <c r="S38" s="643">
        <f>Fjernvarmeprognose!S18</f>
        <v>0</v>
      </c>
      <c r="T38" s="642">
        <f>Fjernvarmeprognose!T18</f>
        <v>19.831563025433926</v>
      </c>
      <c r="U38" s="643">
        <f>Fjernvarmeprognose!U18</f>
        <v>-1.4200055811431134E-2</v>
      </c>
      <c r="V38" s="604"/>
    </row>
    <row r="39" spans="1:22" ht="15" customHeight="1" x14ac:dyDescent="0.25">
      <c r="A39" s="633" t="s">
        <v>490</v>
      </c>
      <c r="B39" s="650"/>
      <c r="C39" s="650"/>
      <c r="D39" s="650"/>
      <c r="E39" s="650"/>
      <c r="F39" s="650"/>
      <c r="G39" s="650"/>
      <c r="H39" s="650"/>
      <c r="I39" s="650"/>
      <c r="J39" s="650"/>
      <c r="K39" s="650"/>
      <c r="L39" s="650"/>
      <c r="M39" s="650"/>
      <c r="N39" s="650"/>
      <c r="O39" s="650"/>
      <c r="P39" s="650"/>
      <c r="Q39" s="650"/>
      <c r="R39" s="598"/>
      <c r="S39" s="598"/>
      <c r="T39" s="598"/>
      <c r="U39" s="598"/>
      <c r="V39" s="604"/>
    </row>
    <row r="40" spans="1:22" ht="15" hidden="1" customHeight="1" x14ac:dyDescent="0.25">
      <c r="A40" s="604" t="s">
        <v>344</v>
      </c>
      <c r="B40" s="650">
        <f>Nøgletal!D215</f>
        <v>0</v>
      </c>
      <c r="C40" s="650"/>
      <c r="D40" s="650">
        <f>Nøgletal!F215</f>
        <v>0</v>
      </c>
      <c r="E40" s="650"/>
      <c r="F40" s="650">
        <f>Nøgletal!H215</f>
        <v>0</v>
      </c>
      <c r="G40" s="650"/>
      <c r="H40" s="650">
        <f>Nøgletal!J215</f>
        <v>0</v>
      </c>
      <c r="I40" s="650"/>
      <c r="J40" s="650">
        <f>Nøgletal!L215</f>
        <v>0</v>
      </c>
      <c r="K40" s="650"/>
      <c r="L40" s="650">
        <f>Nøgletal!N215</f>
        <v>0</v>
      </c>
      <c r="M40" s="650"/>
      <c r="N40" s="650">
        <f>Nøgletal!P215</f>
        <v>0</v>
      </c>
      <c r="O40" s="650"/>
      <c r="P40" s="650">
        <f>Nøgletal!R215</f>
        <v>0</v>
      </c>
      <c r="Q40" s="650"/>
      <c r="R40" s="599">
        <v>0</v>
      </c>
      <c r="S40" s="598"/>
      <c r="T40" s="599">
        <v>0</v>
      </c>
      <c r="U40" s="598"/>
      <c r="V40" s="647"/>
    </row>
    <row r="41" spans="1:22" ht="15" hidden="1" customHeight="1" x14ac:dyDescent="0.25">
      <c r="A41" s="604" t="s">
        <v>346</v>
      </c>
      <c r="B41" s="650">
        <f>Nøgletal!D216</f>
        <v>0</v>
      </c>
      <c r="C41" s="650"/>
      <c r="D41" s="650">
        <f>Nøgletal!F216</f>
        <v>0</v>
      </c>
      <c r="E41" s="650"/>
      <c r="F41" s="650">
        <f>Nøgletal!H216</f>
        <v>0</v>
      </c>
      <c r="G41" s="650"/>
      <c r="H41" s="650">
        <f>Nøgletal!J216</f>
        <v>0</v>
      </c>
      <c r="I41" s="650"/>
      <c r="J41" s="650">
        <f>Nøgletal!L216</f>
        <v>0</v>
      </c>
      <c r="K41" s="650"/>
      <c r="L41" s="650">
        <f>Nøgletal!N216</f>
        <v>0</v>
      </c>
      <c r="M41" s="650"/>
      <c r="N41" s="650">
        <f>Nøgletal!P216</f>
        <v>0</v>
      </c>
      <c r="O41" s="650"/>
      <c r="P41" s="650">
        <f>Nøgletal!R216</f>
        <v>0</v>
      </c>
      <c r="Q41" s="650"/>
      <c r="R41" s="599">
        <v>0</v>
      </c>
      <c r="S41" s="598"/>
      <c r="T41" s="599">
        <v>0.76991150442477885</v>
      </c>
      <c r="U41" s="598"/>
      <c r="V41" s="648">
        <f>'BF - overblik beregning'!B36</f>
        <v>0.76991150442477885</v>
      </c>
    </row>
    <row r="42" spans="1:22" ht="15" hidden="1" customHeight="1" x14ac:dyDescent="0.25">
      <c r="A42" s="604" t="s">
        <v>347</v>
      </c>
      <c r="B42" s="650">
        <f>Nøgletal!D217</f>
        <v>0</v>
      </c>
      <c r="C42" s="650"/>
      <c r="D42" s="650">
        <f>Nøgletal!F217</f>
        <v>0</v>
      </c>
      <c r="E42" s="650"/>
      <c r="F42" s="650">
        <f>Nøgletal!H217</f>
        <v>0</v>
      </c>
      <c r="G42" s="650"/>
      <c r="H42" s="650">
        <f>Nøgletal!J217</f>
        <v>0</v>
      </c>
      <c r="I42" s="650"/>
      <c r="J42" s="650">
        <f>Nøgletal!L217</f>
        <v>0</v>
      </c>
      <c r="K42" s="650"/>
      <c r="L42" s="650">
        <f>Nøgletal!N217</f>
        <v>0</v>
      </c>
      <c r="M42" s="650"/>
      <c r="N42" s="650">
        <f>Nøgletal!P217</f>
        <v>0</v>
      </c>
      <c r="O42" s="650"/>
      <c r="P42" s="650">
        <f>Nøgletal!R217</f>
        <v>0</v>
      </c>
      <c r="Q42" s="650"/>
      <c r="R42" s="599">
        <v>0</v>
      </c>
      <c r="S42" s="598"/>
      <c r="T42" s="599">
        <v>6.6582385166455968E-2</v>
      </c>
      <c r="U42" s="598"/>
      <c r="V42" s="648">
        <f>'BF - overblik beregning'!B35</f>
        <v>6.6582385166455968E-2</v>
      </c>
    </row>
    <row r="43" spans="1:22" ht="15" hidden="1" customHeight="1" x14ac:dyDescent="0.25">
      <c r="A43" s="604" t="s">
        <v>348</v>
      </c>
      <c r="B43" s="650">
        <f>Nøgletal!D218</f>
        <v>0</v>
      </c>
      <c r="C43" s="650"/>
      <c r="D43" s="650">
        <f>Nøgletal!F218</f>
        <v>0</v>
      </c>
      <c r="E43" s="650"/>
      <c r="F43" s="650">
        <f>Nøgletal!H218</f>
        <v>0</v>
      </c>
      <c r="G43" s="650"/>
      <c r="H43" s="650">
        <f>Nøgletal!J218</f>
        <v>0</v>
      </c>
      <c r="I43" s="650"/>
      <c r="J43" s="650">
        <f>Nøgletal!L218</f>
        <v>0</v>
      </c>
      <c r="K43" s="650"/>
      <c r="L43" s="650">
        <f>Nøgletal!N218</f>
        <v>0</v>
      </c>
      <c r="M43" s="650"/>
      <c r="N43" s="650">
        <f>Nøgletal!P218</f>
        <v>0</v>
      </c>
      <c r="O43" s="650"/>
      <c r="P43" s="650">
        <f>Nøgletal!R218</f>
        <v>0</v>
      </c>
      <c r="Q43" s="650"/>
      <c r="R43" s="599">
        <v>0</v>
      </c>
      <c r="S43" s="598"/>
      <c r="T43" s="599">
        <v>0.12389380530973453</v>
      </c>
      <c r="U43" s="598"/>
      <c r="V43" s="648">
        <f>'BF - overblik beregning'!B37</f>
        <v>0.12389380530973453</v>
      </c>
    </row>
    <row r="44" spans="1:22" ht="15" hidden="1" customHeight="1" x14ac:dyDescent="0.25">
      <c r="A44" s="604" t="s">
        <v>349</v>
      </c>
      <c r="B44" s="650">
        <f>Nøgletal!D219</f>
        <v>0</v>
      </c>
      <c r="C44" s="650"/>
      <c r="D44" s="650">
        <f>Nøgletal!F219</f>
        <v>0</v>
      </c>
      <c r="E44" s="650"/>
      <c r="F44" s="650">
        <f>Nøgletal!H219</f>
        <v>0</v>
      </c>
      <c r="G44" s="650"/>
      <c r="H44" s="650">
        <f>Nøgletal!J219</f>
        <v>0</v>
      </c>
      <c r="I44" s="650"/>
      <c r="J44" s="650">
        <f>Nøgletal!L219</f>
        <v>0</v>
      </c>
      <c r="K44" s="650"/>
      <c r="L44" s="650">
        <f>Nøgletal!N219</f>
        <v>0</v>
      </c>
      <c r="M44" s="650"/>
      <c r="N44" s="650">
        <f>Nøgletal!P219</f>
        <v>0</v>
      </c>
      <c r="O44" s="650"/>
      <c r="P44" s="650">
        <f>Nøgletal!R219</f>
        <v>0</v>
      </c>
      <c r="Q44" s="650"/>
      <c r="R44" s="644">
        <f>IF(R37&gt;0,1-R40-R41-R42-R43-R45-R46-R47-R48,0)</f>
        <v>0</v>
      </c>
      <c r="S44" s="598"/>
      <c r="T44" s="644">
        <f>IF(T37&gt;0,1-T40-T41-T42-T43-T45-T46-T47-T48,0)</f>
        <v>0</v>
      </c>
      <c r="U44" s="598"/>
      <c r="V44" s="648">
        <f>'BF - overblik beregning'!B38</f>
        <v>3.8012016370568127E-2</v>
      </c>
    </row>
    <row r="45" spans="1:22" ht="15" hidden="1" customHeight="1" x14ac:dyDescent="0.25">
      <c r="A45" s="604" t="s">
        <v>350</v>
      </c>
      <c r="B45" s="650">
        <f>Nøgletal!D220</f>
        <v>0</v>
      </c>
      <c r="C45" s="650"/>
      <c r="D45" s="650">
        <f>Nøgletal!F220</f>
        <v>0</v>
      </c>
      <c r="E45" s="650"/>
      <c r="F45" s="650">
        <f>Nøgletal!H220</f>
        <v>0</v>
      </c>
      <c r="G45" s="650"/>
      <c r="H45" s="650">
        <f>Nøgletal!J220</f>
        <v>0</v>
      </c>
      <c r="I45" s="650"/>
      <c r="J45" s="650">
        <f>Nøgletal!L220</f>
        <v>0</v>
      </c>
      <c r="K45" s="650"/>
      <c r="L45" s="650">
        <f>Nøgletal!N220</f>
        <v>0</v>
      </c>
      <c r="M45" s="650"/>
      <c r="N45" s="650">
        <f>Nøgletal!P220</f>
        <v>0</v>
      </c>
      <c r="O45" s="650"/>
      <c r="P45" s="650">
        <f>Nøgletal!R220</f>
        <v>0</v>
      </c>
      <c r="Q45" s="650"/>
      <c r="R45" s="599">
        <v>0</v>
      </c>
      <c r="S45" s="598"/>
      <c r="T45" s="599">
        <v>0</v>
      </c>
      <c r="U45" s="598"/>
      <c r="V45" s="647"/>
    </row>
    <row r="46" spans="1:22" ht="15" hidden="1" customHeight="1" x14ac:dyDescent="0.25">
      <c r="A46" s="604" t="s">
        <v>331</v>
      </c>
      <c r="B46" s="650">
        <f>Nøgletal!D221</f>
        <v>0</v>
      </c>
      <c r="C46" s="650"/>
      <c r="D46" s="650">
        <f>Nøgletal!F221</f>
        <v>0</v>
      </c>
      <c r="E46" s="650"/>
      <c r="F46" s="650">
        <f>Nøgletal!H221</f>
        <v>0</v>
      </c>
      <c r="G46" s="650"/>
      <c r="H46" s="650">
        <f>Nøgletal!J221</f>
        <v>0</v>
      </c>
      <c r="I46" s="650"/>
      <c r="J46" s="650">
        <f>Nøgletal!L221</f>
        <v>0</v>
      </c>
      <c r="K46" s="650"/>
      <c r="L46" s="650">
        <f>Nøgletal!N221</f>
        <v>0</v>
      </c>
      <c r="M46" s="650"/>
      <c r="N46" s="650">
        <f>Nøgletal!P221</f>
        <v>0</v>
      </c>
      <c r="O46" s="650"/>
      <c r="P46" s="650">
        <f>Nøgletal!R221</f>
        <v>0</v>
      </c>
      <c r="Q46" s="650"/>
      <c r="R46" s="599">
        <v>0</v>
      </c>
      <c r="S46" s="598"/>
      <c r="T46" s="599">
        <v>0</v>
      </c>
      <c r="U46" s="598"/>
      <c r="V46" s="647"/>
    </row>
    <row r="47" spans="1:22" ht="15" hidden="1" customHeight="1" x14ac:dyDescent="0.25">
      <c r="A47" s="604" t="s">
        <v>501</v>
      </c>
      <c r="B47" s="650">
        <f>Nøgletal!D222</f>
        <v>0</v>
      </c>
      <c r="C47" s="650"/>
      <c r="D47" s="650">
        <f>Nøgletal!F222</f>
        <v>0</v>
      </c>
      <c r="E47" s="650"/>
      <c r="F47" s="650">
        <f>Nøgletal!H222</f>
        <v>0</v>
      </c>
      <c r="G47" s="650"/>
      <c r="H47" s="650">
        <f>Nøgletal!J222</f>
        <v>0</v>
      </c>
      <c r="I47" s="650"/>
      <c r="J47" s="650">
        <f>Nøgletal!L222</f>
        <v>0</v>
      </c>
      <c r="K47" s="650"/>
      <c r="L47" s="650">
        <f>Nøgletal!N222</f>
        <v>0</v>
      </c>
      <c r="M47" s="650"/>
      <c r="N47" s="650">
        <f>Nøgletal!P222</f>
        <v>0</v>
      </c>
      <c r="O47" s="650"/>
      <c r="P47" s="650">
        <f>Nøgletal!R222</f>
        <v>0</v>
      </c>
      <c r="Q47" s="650"/>
      <c r="R47" s="599">
        <v>0</v>
      </c>
      <c r="S47" s="598"/>
      <c r="T47" s="599">
        <v>0</v>
      </c>
      <c r="U47" s="598"/>
      <c r="V47" s="647"/>
    </row>
    <row r="48" spans="1:22" ht="15" hidden="1" customHeight="1" x14ac:dyDescent="0.25">
      <c r="A48" s="604" t="s">
        <v>314</v>
      </c>
      <c r="B48" s="650">
        <f>Nøgletal!D223</f>
        <v>0</v>
      </c>
      <c r="C48" s="650"/>
      <c r="D48" s="650">
        <f>Nøgletal!F223</f>
        <v>0</v>
      </c>
      <c r="E48" s="650"/>
      <c r="F48" s="650">
        <f>Nøgletal!H223</f>
        <v>0</v>
      </c>
      <c r="G48" s="650"/>
      <c r="H48" s="650">
        <f>Nøgletal!J223</f>
        <v>0</v>
      </c>
      <c r="I48" s="650"/>
      <c r="J48" s="650">
        <f>Nøgletal!L223</f>
        <v>0</v>
      </c>
      <c r="K48" s="650"/>
      <c r="L48" s="650">
        <f>Nøgletal!N223</f>
        <v>0</v>
      </c>
      <c r="M48" s="650"/>
      <c r="N48" s="650">
        <f>Nøgletal!P223</f>
        <v>0</v>
      </c>
      <c r="O48" s="650"/>
      <c r="P48" s="650">
        <f>Nøgletal!R223</f>
        <v>0</v>
      </c>
      <c r="Q48" s="650"/>
      <c r="R48" s="599">
        <v>0</v>
      </c>
      <c r="S48" s="598"/>
      <c r="T48" s="599">
        <v>0</v>
      </c>
      <c r="U48" s="598"/>
      <c r="V48" s="647"/>
    </row>
    <row r="49" spans="1:22" x14ac:dyDescent="0.25">
      <c r="A49" s="629" t="s">
        <v>272</v>
      </c>
      <c r="B49" s="649">
        <f>Nøgletal!D231</f>
        <v>25.6070331588</v>
      </c>
      <c r="C49" s="649"/>
      <c r="D49" s="649">
        <f>Nøgletal!F231</f>
        <v>27.855903220799998</v>
      </c>
      <c r="E49" s="645">
        <f>Nøgletal!G231</f>
        <v>4.3911179558635466E-2</v>
      </c>
      <c r="F49" s="649">
        <f>Nøgletal!H231</f>
        <v>28.445016757199998</v>
      </c>
      <c r="G49" s="645">
        <f>Nøgletal!I231</f>
        <v>2.1148606517275244E-2</v>
      </c>
      <c r="H49" s="649">
        <f>Nøgletal!J231</f>
        <v>38.595408886975207</v>
      </c>
      <c r="I49" s="645">
        <f>Nøgletal!K231</f>
        <v>0.17842127175414554</v>
      </c>
      <c r="J49" s="649">
        <f>Nøgletal!L231</f>
        <v>38.641465156437789</v>
      </c>
      <c r="K49" s="645">
        <f>Nøgletal!M231</f>
        <v>5.9665476789552468E-4</v>
      </c>
      <c r="L49" s="649">
        <f>Nøgletal!N231</f>
        <v>27.013000000000002</v>
      </c>
      <c r="M49" s="645">
        <f>Nøgletal!O231</f>
        <v>-0.15046615221965062</v>
      </c>
      <c r="N49" s="649">
        <f>Nøgletal!P231</f>
        <v>19.220299999999998</v>
      </c>
      <c r="O49" s="645">
        <f>Nøgletal!Q231</f>
        <v>-0.14423981046162965</v>
      </c>
      <c r="P49" s="649">
        <f>Nøgletal!R231</f>
        <v>19.220299999999998</v>
      </c>
      <c r="Q49" s="645">
        <f>Nøgletal!S231</f>
        <v>0</v>
      </c>
      <c r="R49" s="590"/>
      <c r="S49" s="598"/>
      <c r="T49" s="590"/>
      <c r="U49" s="598"/>
      <c r="V49" s="604"/>
    </row>
    <row r="50" spans="1:22" x14ac:dyDescent="0.25">
      <c r="A50" s="631" t="s">
        <v>485</v>
      </c>
      <c r="B50" s="649">
        <f>Nøgletal!D232</f>
        <v>15.542033158799999</v>
      </c>
      <c r="C50" s="649"/>
      <c r="D50" s="649">
        <f>Nøgletal!F232</f>
        <v>15.843903220799998</v>
      </c>
      <c r="E50" s="645">
        <f>Nøgletal!G232</f>
        <v>9.7114083761003379E-3</v>
      </c>
      <c r="F50" s="649">
        <f>Nøgletal!H232</f>
        <v>16.433016757200001</v>
      </c>
      <c r="G50" s="645">
        <f>Nøgletal!I232</f>
        <v>3.718234883097557E-2</v>
      </c>
      <c r="H50" s="649">
        <f>Nøgletal!J232</f>
        <v>26.68240888697521</v>
      </c>
      <c r="I50" s="645">
        <f>Nøgletal!K232</f>
        <v>0.31185363835537128</v>
      </c>
      <c r="J50" s="649">
        <f>Nøgletal!L232</f>
        <v>26.232970273847993</v>
      </c>
      <c r="K50" s="645">
        <f>Nøgletal!M232</f>
        <v>-8.4220022081028609E-3</v>
      </c>
      <c r="L50" s="649">
        <f>Nøgletal!N232</f>
        <v>15.100000000000001</v>
      </c>
      <c r="M50" s="645">
        <f>Nøgletal!O232</f>
        <v>-0.21219423796905304</v>
      </c>
      <c r="N50" s="649">
        <f>Nøgletal!P232</f>
        <v>7.6999999999999993</v>
      </c>
      <c r="O50" s="645">
        <f>Nøgletal!Q232</f>
        <v>-0.24503311258278151</v>
      </c>
      <c r="P50" s="649">
        <f>Nøgletal!R232</f>
        <v>7.6999999999999993</v>
      </c>
      <c r="Q50" s="645">
        <f>Nøgletal!S232</f>
        <v>0</v>
      </c>
      <c r="R50" s="642">
        <f>SUM(R51:R53)</f>
        <v>7.6999999999999993</v>
      </c>
      <c r="S50" s="592">
        <v>0</v>
      </c>
      <c r="T50" s="642">
        <f>SUM(T51:T53)</f>
        <v>7.6281717904223516</v>
      </c>
      <c r="U50" s="592">
        <v>-7.2067252490326528E-4</v>
      </c>
      <c r="V50" s="646">
        <f>'BF - overblik beregning'!G5</f>
        <v>-7.2067252490326528E-4</v>
      </c>
    </row>
    <row r="51" spans="1:22" ht="15" customHeight="1" x14ac:dyDescent="0.25">
      <c r="A51" s="604" t="s">
        <v>305</v>
      </c>
      <c r="B51" s="649">
        <f>Nøgletal!D233</f>
        <v>1.4267472300000001</v>
      </c>
      <c r="C51" s="649"/>
      <c r="D51" s="649">
        <f>Nøgletal!F233</f>
        <v>1.4544586800000001</v>
      </c>
      <c r="E51" s="645">
        <f>Nøgletal!G233</f>
        <v>9.7114083761003587E-3</v>
      </c>
      <c r="F51" s="649">
        <f>Nøgletal!H233</f>
        <v>1.5085388700000002</v>
      </c>
      <c r="G51" s="645">
        <f>Nøgletal!I233</f>
        <v>3.7182348830975438E-2</v>
      </c>
      <c r="H51" s="649">
        <f>Nøgletal!J233</f>
        <v>2.4494255404200009</v>
      </c>
      <c r="I51" s="645">
        <f>Nøgletal!K233</f>
        <v>0.31185363835537117</v>
      </c>
      <c r="J51" s="649">
        <f>Nøgletal!L233</f>
        <v>2.4081674057999991</v>
      </c>
      <c r="K51" s="645">
        <f>Nøgletal!M233</f>
        <v>-8.4220022081029113E-3</v>
      </c>
      <c r="L51" s="649">
        <f>Nøgletal!N233</f>
        <v>1.4</v>
      </c>
      <c r="M51" s="645">
        <f>Nøgletal!O233</f>
        <v>-0.20932253367682374</v>
      </c>
      <c r="N51" s="649">
        <f>Nøgletal!P233</f>
        <v>0.7</v>
      </c>
      <c r="O51" s="645">
        <f>Nøgletal!Q233</f>
        <v>-0.25</v>
      </c>
      <c r="P51" s="649">
        <f>Nøgletal!R233</f>
        <v>0.7</v>
      </c>
      <c r="Q51" s="645">
        <f>Nøgletal!S233</f>
        <v>0</v>
      </c>
      <c r="R51" s="594">
        <f t="shared" ref="R51:R56" si="7">P51*(1+S51)^(R$2-P$2)</f>
        <v>0.7</v>
      </c>
      <c r="S51" s="592">
        <f>S$50</f>
        <v>0</v>
      </c>
      <c r="T51" s="594">
        <f t="shared" ref="T51:T56" si="8">P51*(1+U51)^(T$2-P$2)</f>
        <v>0.69347016276566831</v>
      </c>
      <c r="U51" s="592">
        <f>U$50</f>
        <v>-7.2067252490326528E-4</v>
      </c>
      <c r="V51" s="647"/>
    </row>
    <row r="52" spans="1:22" ht="15" customHeight="1" x14ac:dyDescent="0.25">
      <c r="A52" s="604" t="s">
        <v>309</v>
      </c>
      <c r="B52" s="649">
        <f>Nøgletal!D234</f>
        <v>0.85604833800000002</v>
      </c>
      <c r="C52" s="649"/>
      <c r="D52" s="649">
        <f>Nøgletal!F234</f>
        <v>0.87267520799999987</v>
      </c>
      <c r="E52" s="645">
        <f>Nøgletal!G234</f>
        <v>9.7114083761002806E-3</v>
      </c>
      <c r="F52" s="649">
        <f>Nøgletal!H234</f>
        <v>0.90512332200000012</v>
      </c>
      <c r="G52" s="645">
        <f>Nøgletal!I234</f>
        <v>3.7182348830975674E-2</v>
      </c>
      <c r="H52" s="649">
        <f>Nøgletal!J234</f>
        <v>1.4696553242520005</v>
      </c>
      <c r="I52" s="645">
        <f>Nøgletal!K234</f>
        <v>0.31185363835537117</v>
      </c>
      <c r="J52" s="649">
        <f>Nøgletal!L234</f>
        <v>1.4449004434799995</v>
      </c>
      <c r="K52" s="645">
        <f>Nøgletal!M234</f>
        <v>-8.4220022081028956E-3</v>
      </c>
      <c r="L52" s="649">
        <f>Nøgletal!N234</f>
        <v>0.8</v>
      </c>
      <c r="M52" s="645">
        <f>Nøgletal!O234</f>
        <v>-0.22316431778745116</v>
      </c>
      <c r="N52" s="649">
        <f>Nøgletal!P234</f>
        <v>0.4</v>
      </c>
      <c r="O52" s="645">
        <f>Nøgletal!Q234</f>
        <v>-0.25</v>
      </c>
      <c r="P52" s="649">
        <f>Nøgletal!R234</f>
        <v>0.4</v>
      </c>
      <c r="Q52" s="645">
        <f>Nøgletal!S234</f>
        <v>0</v>
      </c>
      <c r="R52" s="594">
        <f t="shared" si="7"/>
        <v>0.4</v>
      </c>
      <c r="S52" s="592">
        <f t="shared" ref="S52:S53" si="9">S$50</f>
        <v>0</v>
      </c>
      <c r="T52" s="594">
        <f t="shared" si="8"/>
        <v>0.39626866443752484</v>
      </c>
      <c r="U52" s="592">
        <f t="shared" ref="U52:U53" si="10">U$50</f>
        <v>-7.2067252490326528E-4</v>
      </c>
      <c r="V52" s="647"/>
    </row>
    <row r="53" spans="1:22" ht="15" customHeight="1" x14ac:dyDescent="0.25">
      <c r="A53" s="604" t="s">
        <v>290</v>
      </c>
      <c r="B53" s="649">
        <f>Nøgletal!D235</f>
        <v>13.2592375908</v>
      </c>
      <c r="C53" s="649"/>
      <c r="D53" s="649">
        <f>Nøgletal!F235</f>
        <v>13.516769332799997</v>
      </c>
      <c r="E53" s="645">
        <f>Nøgletal!G235</f>
        <v>9.7114083761002789E-3</v>
      </c>
      <c r="F53" s="649">
        <f>Nøgletal!H235</f>
        <v>14.019354565199999</v>
      </c>
      <c r="G53" s="645">
        <f>Nøgletal!I235</f>
        <v>3.7182348830975487E-2</v>
      </c>
      <c r="H53" s="649">
        <f>Nøgletal!J235</f>
        <v>22.76332802230321</v>
      </c>
      <c r="I53" s="645">
        <f>Nøgletal!K235</f>
        <v>0.31185363835537139</v>
      </c>
      <c r="J53" s="649">
        <f>Nøgletal!L235</f>
        <v>22.379902424567995</v>
      </c>
      <c r="K53" s="645">
        <f>Nøgletal!M235</f>
        <v>-8.4220022081028679E-3</v>
      </c>
      <c r="L53" s="649">
        <f>Nøgletal!N235</f>
        <v>12.9</v>
      </c>
      <c r="M53" s="645">
        <f>Nøgletal!O235</f>
        <v>-0.21179499009256711</v>
      </c>
      <c r="N53" s="649">
        <f>Nøgletal!P235</f>
        <v>6.6</v>
      </c>
      <c r="O53" s="645">
        <f>Nøgletal!Q235</f>
        <v>-0.24418604651162792</v>
      </c>
      <c r="P53" s="649">
        <f>Nøgletal!R235</f>
        <v>6.6</v>
      </c>
      <c r="Q53" s="645">
        <f>Nøgletal!S235</f>
        <v>0</v>
      </c>
      <c r="R53" s="594">
        <f t="shared" si="7"/>
        <v>6.6</v>
      </c>
      <c r="S53" s="592">
        <f t="shared" si="9"/>
        <v>0</v>
      </c>
      <c r="T53" s="594">
        <f t="shared" si="8"/>
        <v>6.5384329632191589</v>
      </c>
      <c r="U53" s="592">
        <f t="shared" si="10"/>
        <v>-7.2067252490326528E-4</v>
      </c>
      <c r="V53" s="647"/>
    </row>
    <row r="54" spans="1:22" x14ac:dyDescent="0.25">
      <c r="A54" s="631" t="s">
        <v>239</v>
      </c>
      <c r="B54" s="649">
        <f>Nøgletal!D236</f>
        <v>10.065000000000001</v>
      </c>
      <c r="C54" s="649"/>
      <c r="D54" s="649">
        <f>Nøgletal!F236</f>
        <v>12.012</v>
      </c>
      <c r="E54" s="645">
        <f>Nøgletal!G236</f>
        <v>9.6721311475409785E-2</v>
      </c>
      <c r="F54" s="649">
        <f>Nøgletal!H236</f>
        <v>12.011999999999997</v>
      </c>
      <c r="G54" s="645">
        <f>Nøgletal!I236</f>
        <v>-2.9576370952385122E-16</v>
      </c>
      <c r="H54" s="649">
        <f>Nøgletal!J236</f>
        <v>11.913</v>
      </c>
      <c r="I54" s="645">
        <f>Nøgletal!K236</f>
        <v>-4.1208791208789822E-3</v>
      </c>
      <c r="J54" s="649">
        <f>Nøgletal!L236</f>
        <v>12.408494882589794</v>
      </c>
      <c r="K54" s="645">
        <f>Nøgletal!M236</f>
        <v>2.0796393964148157E-2</v>
      </c>
      <c r="L54" s="649">
        <f>Nøgletal!N236</f>
        <v>11.913</v>
      </c>
      <c r="M54" s="645">
        <f>Nøgletal!O236</f>
        <v>-1.9965954262713068E-2</v>
      </c>
      <c r="N54" s="649">
        <f>Nøgletal!P236</f>
        <v>11.520299999999999</v>
      </c>
      <c r="O54" s="645">
        <f>Nøgletal!Q236</f>
        <v>-1.6481994459833851E-2</v>
      </c>
      <c r="P54" s="649">
        <f>Nøgletal!R236</f>
        <v>11.520299999999999</v>
      </c>
      <c r="Q54" s="645">
        <f>Nøgletal!S236</f>
        <v>0</v>
      </c>
      <c r="R54" s="594">
        <f t="shared" si="7"/>
        <v>11.520299999999999</v>
      </c>
      <c r="S54" s="592">
        <v>0</v>
      </c>
      <c r="T54" s="594">
        <f t="shared" si="8"/>
        <v>11.762280241917532</v>
      </c>
      <c r="U54" s="592">
        <v>1.6002887284625178E-3</v>
      </c>
      <c r="V54" s="646">
        <f>'BF - overblik beregning'!B39</f>
        <v>1.6002887284625178E-3</v>
      </c>
    </row>
    <row r="55" spans="1:22" x14ac:dyDescent="0.25">
      <c r="A55" s="631" t="s">
        <v>345</v>
      </c>
      <c r="B55" s="649">
        <f>Nøgletal!D237</f>
        <v>0</v>
      </c>
      <c r="C55" s="649"/>
      <c r="D55" s="649">
        <f>Nøgletal!F237</f>
        <v>0</v>
      </c>
      <c r="E55" s="645">
        <f>Nøgletal!G237</f>
        <v>0</v>
      </c>
      <c r="F55" s="649">
        <f>Nøgletal!H237</f>
        <v>0</v>
      </c>
      <c r="G55" s="645">
        <f>Nøgletal!I237</f>
        <v>0</v>
      </c>
      <c r="H55" s="649">
        <f>Nøgletal!J237</f>
        <v>0</v>
      </c>
      <c r="I55" s="645">
        <f>Nøgletal!K237</f>
        <v>0</v>
      </c>
      <c r="J55" s="649">
        <f>Nøgletal!L237</f>
        <v>0</v>
      </c>
      <c r="K55" s="645">
        <f>Nøgletal!M237</f>
        <v>0</v>
      </c>
      <c r="L55" s="649">
        <f>Nøgletal!N237</f>
        <v>0</v>
      </c>
      <c r="M55" s="645">
        <f>Nøgletal!O237</f>
        <v>0</v>
      </c>
      <c r="N55" s="649">
        <f>Nøgletal!P237</f>
        <v>0</v>
      </c>
      <c r="O55" s="645">
        <f>Nøgletal!Q237</f>
        <v>0</v>
      </c>
      <c r="P55" s="649">
        <f>Nøgletal!R237</f>
        <v>0</v>
      </c>
      <c r="Q55" s="645">
        <f>Nøgletal!S237</f>
        <v>0</v>
      </c>
      <c r="R55" s="594">
        <f t="shared" si="7"/>
        <v>0</v>
      </c>
      <c r="S55" s="592">
        <v>0</v>
      </c>
      <c r="T55" s="594">
        <f t="shared" si="8"/>
        <v>0</v>
      </c>
      <c r="U55" s="592">
        <v>-0.11140759433466829</v>
      </c>
      <c r="V55" s="646">
        <f>'BF - overblik beregning'!C5</f>
        <v>-0.11140759433466829</v>
      </c>
    </row>
    <row r="56" spans="1:22" x14ac:dyDescent="0.25">
      <c r="A56" s="631" t="s">
        <v>526</v>
      </c>
      <c r="B56" s="649">
        <f>Nøgletal!D238</f>
        <v>0</v>
      </c>
      <c r="C56" s="649"/>
      <c r="D56" s="649">
        <f>Nøgletal!F238</f>
        <v>0</v>
      </c>
      <c r="E56" s="645">
        <f>Nøgletal!G238</f>
        <v>0</v>
      </c>
      <c r="F56" s="649">
        <f>Nøgletal!H238</f>
        <v>0</v>
      </c>
      <c r="G56" s="645">
        <f>Nøgletal!I238</f>
        <v>0</v>
      </c>
      <c r="H56" s="649">
        <f>Nøgletal!J238</f>
        <v>0</v>
      </c>
      <c r="I56" s="645">
        <f>Nøgletal!K238</f>
        <v>0</v>
      </c>
      <c r="J56" s="649">
        <f>Nøgletal!L238</f>
        <v>0</v>
      </c>
      <c r="K56" s="645">
        <f>Nøgletal!M238</f>
        <v>0</v>
      </c>
      <c r="L56" s="649">
        <f>Nøgletal!N238</f>
        <v>0</v>
      </c>
      <c r="M56" s="645">
        <f>Nøgletal!O238</f>
        <v>0</v>
      </c>
      <c r="N56" s="649">
        <f>Nøgletal!P238</f>
        <v>0</v>
      </c>
      <c r="O56" s="645">
        <f>Nøgletal!Q238</f>
        <v>0</v>
      </c>
      <c r="P56" s="649">
        <f>Nøgletal!R238</f>
        <v>0</v>
      </c>
      <c r="Q56" s="645">
        <f>Nøgletal!S238</f>
        <v>0</v>
      </c>
      <c r="R56" s="594">
        <f t="shared" si="7"/>
        <v>0</v>
      </c>
      <c r="S56" s="592">
        <v>0</v>
      </c>
      <c r="T56" s="594">
        <f t="shared" si="8"/>
        <v>0</v>
      </c>
      <c r="U56" s="592">
        <v>2.9635694192420292E-3</v>
      </c>
      <c r="V56" s="646">
        <f>'BF - overblik beregning'!I5</f>
        <v>2.9635694192420292E-3</v>
      </c>
    </row>
    <row r="57" spans="1:22" x14ac:dyDescent="0.25">
      <c r="A57" s="631" t="s">
        <v>28</v>
      </c>
      <c r="B57" s="649">
        <f>Nøgletal!D239</f>
        <v>0</v>
      </c>
      <c r="C57" s="649"/>
      <c r="D57" s="649">
        <f>Nøgletal!F239</f>
        <v>0</v>
      </c>
      <c r="E57" s="645">
        <f>Nøgletal!G239</f>
        <v>0</v>
      </c>
      <c r="F57" s="649">
        <f>Nøgletal!H239</f>
        <v>0</v>
      </c>
      <c r="G57" s="645">
        <f>Nøgletal!I239</f>
        <v>0</v>
      </c>
      <c r="H57" s="649">
        <f>Nøgletal!J239</f>
        <v>0</v>
      </c>
      <c r="I57" s="645">
        <f>Nøgletal!K239</f>
        <v>0</v>
      </c>
      <c r="J57" s="649">
        <f>Nøgletal!L239</f>
        <v>0</v>
      </c>
      <c r="K57" s="645">
        <f>Nøgletal!M239</f>
        <v>0</v>
      </c>
      <c r="L57" s="649">
        <f>Nøgletal!N239</f>
        <v>0</v>
      </c>
      <c r="M57" s="645">
        <f>Nøgletal!O239</f>
        <v>0</v>
      </c>
      <c r="N57" s="649">
        <f>Nøgletal!P239</f>
        <v>0</v>
      </c>
      <c r="O57" s="645">
        <f>Nøgletal!Q239</f>
        <v>0</v>
      </c>
      <c r="P57" s="649">
        <f>Nøgletal!R239</f>
        <v>0</v>
      </c>
      <c r="Q57" s="645">
        <f>Nøgletal!S239</f>
        <v>0</v>
      </c>
      <c r="R57" s="642">
        <f>Fjernvarmeprognose!R20</f>
        <v>0</v>
      </c>
      <c r="S57" s="643">
        <f>Fjernvarmeprognose!S20</f>
        <v>0</v>
      </c>
      <c r="T57" s="642">
        <f>Fjernvarmeprognose!T20</f>
        <v>0</v>
      </c>
      <c r="U57" s="643">
        <f>Fjernvarmeprognose!U20</f>
        <v>-1.4200055811431134E-2</v>
      </c>
      <c r="V57" s="604"/>
    </row>
    <row r="58" spans="1:22" x14ac:dyDescent="0.25">
      <c r="A58" s="633" t="s">
        <v>490</v>
      </c>
      <c r="B58" s="650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45"/>
      <c r="N58" s="650"/>
      <c r="O58" s="650"/>
      <c r="P58" s="650"/>
      <c r="Q58" s="650"/>
      <c r="R58" s="598"/>
      <c r="S58" s="598"/>
      <c r="T58" s="598"/>
      <c r="U58" s="598"/>
      <c r="V58" s="604"/>
    </row>
    <row r="59" spans="1:22" hidden="1" x14ac:dyDescent="0.25">
      <c r="A59" s="604" t="s">
        <v>344</v>
      </c>
      <c r="B59" s="650">
        <f>Nøgletal!D244</f>
        <v>0</v>
      </c>
      <c r="C59" s="650"/>
      <c r="D59" s="650">
        <f>Nøgletal!F244</f>
        <v>0</v>
      </c>
      <c r="E59" s="650"/>
      <c r="F59" s="650">
        <f>Nøgletal!H244</f>
        <v>0</v>
      </c>
      <c r="G59" s="650"/>
      <c r="H59" s="650">
        <f>Nøgletal!J244</f>
        <v>0</v>
      </c>
      <c r="I59" s="650"/>
      <c r="J59" s="650">
        <f>Nøgletal!L244</f>
        <v>0</v>
      </c>
      <c r="K59" s="650"/>
      <c r="L59" s="650">
        <f>Nøgletal!N244</f>
        <v>0</v>
      </c>
      <c r="M59" s="650"/>
      <c r="N59" s="650">
        <f>Nøgletal!P244</f>
        <v>0</v>
      </c>
      <c r="O59" s="650"/>
      <c r="P59" s="650">
        <f>Nøgletal!R244</f>
        <v>0</v>
      </c>
      <c r="Q59" s="650"/>
      <c r="R59" s="599">
        <v>0</v>
      </c>
      <c r="S59" s="598"/>
      <c r="T59" s="599">
        <v>0</v>
      </c>
      <c r="U59" s="598"/>
      <c r="V59" s="647"/>
    </row>
    <row r="60" spans="1:22" hidden="1" x14ac:dyDescent="0.25">
      <c r="A60" s="604" t="s">
        <v>346</v>
      </c>
      <c r="B60" s="650">
        <f>Nøgletal!D245</f>
        <v>0</v>
      </c>
      <c r="C60" s="650"/>
      <c r="D60" s="650">
        <f>Nøgletal!F245</f>
        <v>0</v>
      </c>
      <c r="E60" s="650"/>
      <c r="F60" s="650">
        <f>Nøgletal!H245</f>
        <v>0</v>
      </c>
      <c r="G60" s="650"/>
      <c r="H60" s="650">
        <f>Nøgletal!J245</f>
        <v>0</v>
      </c>
      <c r="I60" s="650"/>
      <c r="J60" s="650">
        <f>Nøgletal!L245</f>
        <v>0</v>
      </c>
      <c r="K60" s="650"/>
      <c r="L60" s="650">
        <f>Nøgletal!N245</f>
        <v>0</v>
      </c>
      <c r="M60" s="650"/>
      <c r="N60" s="650">
        <f>Nøgletal!P245</f>
        <v>0</v>
      </c>
      <c r="O60" s="650"/>
      <c r="P60" s="650">
        <f>Nøgletal!R245</f>
        <v>0</v>
      </c>
      <c r="Q60" s="650"/>
      <c r="R60" s="599">
        <v>0</v>
      </c>
      <c r="S60" s="598"/>
      <c r="T60" s="599">
        <v>0.76991150442477885</v>
      </c>
      <c r="U60" s="598"/>
      <c r="V60" s="648">
        <f>'BF - overblik beregning'!B36</f>
        <v>0.76991150442477885</v>
      </c>
    </row>
    <row r="61" spans="1:22" hidden="1" x14ac:dyDescent="0.25">
      <c r="A61" s="604" t="s">
        <v>347</v>
      </c>
      <c r="B61" s="650">
        <f>Nøgletal!D246</f>
        <v>0</v>
      </c>
      <c r="C61" s="650"/>
      <c r="D61" s="650">
        <f>Nøgletal!F246</f>
        <v>0</v>
      </c>
      <c r="E61" s="650"/>
      <c r="F61" s="650">
        <f>Nøgletal!H246</f>
        <v>0</v>
      </c>
      <c r="G61" s="650"/>
      <c r="H61" s="650">
        <f>Nøgletal!J246</f>
        <v>0</v>
      </c>
      <c r="I61" s="650"/>
      <c r="J61" s="650">
        <f>Nøgletal!L246</f>
        <v>0</v>
      </c>
      <c r="K61" s="650"/>
      <c r="L61" s="650">
        <f>Nøgletal!N246</f>
        <v>0</v>
      </c>
      <c r="M61" s="650"/>
      <c r="N61" s="650">
        <f>Nøgletal!P246</f>
        <v>0</v>
      </c>
      <c r="O61" s="650"/>
      <c r="P61" s="650">
        <f>Nøgletal!R246</f>
        <v>0</v>
      </c>
      <c r="Q61" s="650"/>
      <c r="R61" s="599">
        <v>0</v>
      </c>
      <c r="S61" s="598"/>
      <c r="T61" s="599">
        <v>6.6582385166455968E-2</v>
      </c>
      <c r="U61" s="598"/>
      <c r="V61" s="648">
        <f>'BF - overblik beregning'!B35</f>
        <v>6.6582385166455968E-2</v>
      </c>
    </row>
    <row r="62" spans="1:22" hidden="1" x14ac:dyDescent="0.25">
      <c r="A62" s="604" t="s">
        <v>348</v>
      </c>
      <c r="B62" s="650">
        <f>Nøgletal!D247</f>
        <v>0</v>
      </c>
      <c r="C62" s="650"/>
      <c r="D62" s="650">
        <f>Nøgletal!F247</f>
        <v>0</v>
      </c>
      <c r="E62" s="650"/>
      <c r="F62" s="650">
        <f>Nøgletal!H247</f>
        <v>0</v>
      </c>
      <c r="G62" s="650"/>
      <c r="H62" s="650">
        <f>Nøgletal!J247</f>
        <v>0</v>
      </c>
      <c r="I62" s="650"/>
      <c r="J62" s="650">
        <f>Nøgletal!L247</f>
        <v>0</v>
      </c>
      <c r="K62" s="650"/>
      <c r="L62" s="650">
        <f>Nøgletal!N247</f>
        <v>0</v>
      </c>
      <c r="M62" s="650"/>
      <c r="N62" s="650">
        <f>Nøgletal!P247</f>
        <v>0</v>
      </c>
      <c r="O62" s="650"/>
      <c r="P62" s="650">
        <f>Nøgletal!R247</f>
        <v>0</v>
      </c>
      <c r="Q62" s="650"/>
      <c r="R62" s="599">
        <v>0</v>
      </c>
      <c r="S62" s="598"/>
      <c r="T62" s="599">
        <v>0.12389380530973453</v>
      </c>
      <c r="U62" s="598"/>
      <c r="V62" s="648">
        <f>'BF - overblik beregning'!B37</f>
        <v>0.12389380530973453</v>
      </c>
    </row>
    <row r="63" spans="1:22" hidden="1" x14ac:dyDescent="0.25">
      <c r="A63" s="604" t="s">
        <v>349</v>
      </c>
      <c r="B63" s="650">
        <f>Nøgletal!D248</f>
        <v>0</v>
      </c>
      <c r="C63" s="650"/>
      <c r="D63" s="650">
        <f>Nøgletal!F248</f>
        <v>0</v>
      </c>
      <c r="E63" s="650"/>
      <c r="F63" s="650">
        <f>Nøgletal!H248</f>
        <v>0</v>
      </c>
      <c r="G63" s="650"/>
      <c r="H63" s="650">
        <f>Nøgletal!J248</f>
        <v>0</v>
      </c>
      <c r="I63" s="650"/>
      <c r="J63" s="650">
        <f>Nøgletal!L248</f>
        <v>0</v>
      </c>
      <c r="K63" s="650"/>
      <c r="L63" s="650">
        <f>Nøgletal!N248</f>
        <v>0</v>
      </c>
      <c r="M63" s="650"/>
      <c r="N63" s="650">
        <f>Nøgletal!P248</f>
        <v>0</v>
      </c>
      <c r="O63" s="650"/>
      <c r="P63" s="650">
        <f>Nøgletal!R248</f>
        <v>0</v>
      </c>
      <c r="Q63" s="650"/>
      <c r="R63" s="644">
        <f>IF(R56&gt;0,1-R59-R60-R61-R62-R64-R65-R66-R67,0)</f>
        <v>0</v>
      </c>
      <c r="S63" s="598"/>
      <c r="T63" s="644">
        <f>IF(T56&gt;0,1-T59-T60-T61-T62-T64-T65-T66-T67,0)</f>
        <v>0</v>
      </c>
      <c r="U63" s="598"/>
      <c r="V63" s="648">
        <f>'BF - overblik beregning'!B38</f>
        <v>3.8012016370568127E-2</v>
      </c>
    </row>
    <row r="64" spans="1:22" hidden="1" x14ac:dyDescent="0.25">
      <c r="A64" s="604" t="s">
        <v>350</v>
      </c>
      <c r="B64" s="650">
        <f>Nøgletal!D249</f>
        <v>0</v>
      </c>
      <c r="C64" s="650"/>
      <c r="D64" s="650">
        <f>Nøgletal!F249</f>
        <v>0</v>
      </c>
      <c r="E64" s="650"/>
      <c r="F64" s="650">
        <f>Nøgletal!H249</f>
        <v>0</v>
      </c>
      <c r="G64" s="650"/>
      <c r="H64" s="650">
        <f>Nøgletal!J249</f>
        <v>0</v>
      </c>
      <c r="I64" s="650"/>
      <c r="J64" s="650">
        <f>Nøgletal!L249</f>
        <v>0</v>
      </c>
      <c r="K64" s="650"/>
      <c r="L64" s="650">
        <f>Nøgletal!N249</f>
        <v>0</v>
      </c>
      <c r="M64" s="650"/>
      <c r="N64" s="650">
        <f>Nøgletal!P249</f>
        <v>0</v>
      </c>
      <c r="O64" s="650"/>
      <c r="P64" s="650">
        <f>Nøgletal!R249</f>
        <v>0</v>
      </c>
      <c r="Q64" s="650"/>
      <c r="R64" s="599">
        <v>0</v>
      </c>
      <c r="S64" s="598"/>
      <c r="T64" s="599">
        <v>0</v>
      </c>
      <c r="U64" s="598"/>
      <c r="V64" s="647"/>
    </row>
    <row r="65" spans="1:22" hidden="1" x14ac:dyDescent="0.25">
      <c r="A65" s="604" t="s">
        <v>331</v>
      </c>
      <c r="B65" s="650">
        <f>Nøgletal!D250</f>
        <v>0</v>
      </c>
      <c r="C65" s="650"/>
      <c r="D65" s="650">
        <f>Nøgletal!F250</f>
        <v>0</v>
      </c>
      <c r="E65" s="650"/>
      <c r="F65" s="650">
        <f>Nøgletal!H250</f>
        <v>0</v>
      </c>
      <c r="G65" s="650"/>
      <c r="H65" s="650">
        <f>Nøgletal!J250</f>
        <v>0</v>
      </c>
      <c r="I65" s="650"/>
      <c r="J65" s="650">
        <f>Nøgletal!L250</f>
        <v>0</v>
      </c>
      <c r="K65" s="650"/>
      <c r="L65" s="650">
        <f>Nøgletal!N250</f>
        <v>0</v>
      </c>
      <c r="M65" s="650"/>
      <c r="N65" s="650">
        <f>Nøgletal!P250</f>
        <v>0</v>
      </c>
      <c r="O65" s="650"/>
      <c r="P65" s="650">
        <f>Nøgletal!R250</f>
        <v>0</v>
      </c>
      <c r="Q65" s="650"/>
      <c r="R65" s="599">
        <v>0</v>
      </c>
      <c r="S65" s="598"/>
      <c r="T65" s="599">
        <v>0</v>
      </c>
      <c r="U65" s="598"/>
      <c r="V65" s="647"/>
    </row>
    <row r="66" spans="1:22" hidden="1" x14ac:dyDescent="0.25">
      <c r="A66" s="604" t="s">
        <v>501</v>
      </c>
      <c r="B66" s="650">
        <f>Nøgletal!D251</f>
        <v>0</v>
      </c>
      <c r="C66" s="650"/>
      <c r="D66" s="650">
        <f>Nøgletal!F251</f>
        <v>0</v>
      </c>
      <c r="E66" s="650"/>
      <c r="F66" s="650">
        <f>Nøgletal!H251</f>
        <v>0</v>
      </c>
      <c r="G66" s="650"/>
      <c r="H66" s="650">
        <f>Nøgletal!J251</f>
        <v>0</v>
      </c>
      <c r="I66" s="650"/>
      <c r="J66" s="650">
        <f>Nøgletal!L251</f>
        <v>0</v>
      </c>
      <c r="K66" s="650"/>
      <c r="L66" s="650">
        <f>Nøgletal!N251</f>
        <v>0</v>
      </c>
      <c r="M66" s="650"/>
      <c r="N66" s="650">
        <f>Nøgletal!P251</f>
        <v>0</v>
      </c>
      <c r="O66" s="650"/>
      <c r="P66" s="650">
        <f>Nøgletal!R251</f>
        <v>0</v>
      </c>
      <c r="Q66" s="650"/>
      <c r="R66" s="599">
        <v>0</v>
      </c>
      <c r="S66" s="598"/>
      <c r="T66" s="599">
        <v>0</v>
      </c>
      <c r="U66" s="598"/>
      <c r="V66" s="647"/>
    </row>
    <row r="67" spans="1:22" hidden="1" x14ac:dyDescent="0.25">
      <c r="A67" s="604" t="s">
        <v>314</v>
      </c>
      <c r="B67" s="650">
        <f>Nøgletal!D252</f>
        <v>0</v>
      </c>
      <c r="C67" s="650"/>
      <c r="D67" s="650">
        <f>Nøgletal!F252</f>
        <v>0</v>
      </c>
      <c r="E67" s="650"/>
      <c r="F67" s="650">
        <f>Nøgletal!H252</f>
        <v>0</v>
      </c>
      <c r="G67" s="650"/>
      <c r="H67" s="650">
        <f>Nøgletal!J252</f>
        <v>0</v>
      </c>
      <c r="I67" s="650"/>
      <c r="J67" s="650">
        <f>Nøgletal!L252</f>
        <v>0</v>
      </c>
      <c r="K67" s="650"/>
      <c r="L67" s="650">
        <f>Nøgletal!N252</f>
        <v>0</v>
      </c>
      <c r="M67" s="650"/>
      <c r="N67" s="650">
        <f>Nøgletal!P252</f>
        <v>0</v>
      </c>
      <c r="O67" s="650"/>
      <c r="P67" s="650">
        <f>Nøgletal!R252</f>
        <v>0</v>
      </c>
      <c r="Q67" s="650"/>
      <c r="R67" s="599">
        <v>0</v>
      </c>
      <c r="S67" s="598"/>
      <c r="T67" s="599">
        <v>0</v>
      </c>
      <c r="U67" s="598"/>
      <c r="V67" s="647"/>
    </row>
    <row r="68" spans="1:22" hidden="1" x14ac:dyDescent="0.25">
      <c r="A68" s="604"/>
      <c r="B68" s="604"/>
      <c r="C68" s="604"/>
      <c r="D68" s="604"/>
      <c r="E68" s="604"/>
      <c r="F68" s="604"/>
      <c r="G68" s="604"/>
      <c r="H68" s="604"/>
      <c r="I68" s="604"/>
      <c r="J68" s="604"/>
      <c r="K68" s="604"/>
      <c r="L68" s="604"/>
      <c r="M68" s="604"/>
      <c r="N68" s="604"/>
      <c r="O68" s="604"/>
      <c r="P68" s="604"/>
      <c r="Q68" s="604"/>
    </row>
    <row r="69" spans="1:22" x14ac:dyDescent="0.25">
      <c r="A69" s="629" t="s">
        <v>517</v>
      </c>
      <c r="B69" s="653"/>
      <c r="C69" s="653"/>
      <c r="D69" s="653"/>
      <c r="E69" s="653"/>
      <c r="F69" s="653"/>
      <c r="G69" s="653"/>
      <c r="H69" s="653"/>
      <c r="I69" s="653"/>
      <c r="J69" s="653"/>
      <c r="K69" s="653"/>
      <c r="L69" s="653"/>
      <c r="M69" s="653"/>
      <c r="N69" s="653"/>
      <c r="O69" s="653"/>
      <c r="P69" s="653"/>
      <c r="Q69" s="653"/>
      <c r="R69" s="639"/>
      <c r="S69" s="639"/>
      <c r="T69" s="639"/>
      <c r="U69" s="639"/>
    </row>
    <row r="70" spans="1:22" x14ac:dyDescent="0.25">
      <c r="A70" s="654" t="s">
        <v>3</v>
      </c>
      <c r="B70" s="645">
        <f>Nøgletal!D424</f>
        <v>0</v>
      </c>
      <c r="C70" s="645"/>
      <c r="D70" s="645">
        <f>Nøgletal!F424</f>
        <v>0</v>
      </c>
      <c r="E70" s="645"/>
      <c r="F70" s="645">
        <f>Nøgletal!H424</f>
        <v>0</v>
      </c>
      <c r="G70" s="645"/>
      <c r="H70" s="645">
        <f>Nøgletal!J424</f>
        <v>0</v>
      </c>
      <c r="I70" s="645"/>
      <c r="J70" s="645">
        <f>Nøgletal!L424</f>
        <v>0</v>
      </c>
      <c r="K70" s="645"/>
      <c r="L70" s="645">
        <f>Nøgletal!N424</f>
        <v>0</v>
      </c>
      <c r="M70" s="645"/>
      <c r="N70" s="645">
        <f>Nøgletal!P424</f>
        <v>0</v>
      </c>
      <c r="O70" s="645"/>
      <c r="P70" s="645">
        <f>Nøgletal!R424</f>
        <v>0</v>
      </c>
      <c r="Q70" s="645"/>
      <c r="R70" s="599">
        <v>0.89872985364949987</v>
      </c>
      <c r="S70" s="639"/>
      <c r="T70" s="599">
        <v>0.38213811420982741</v>
      </c>
      <c r="U70" s="639"/>
      <c r="V70" s="636">
        <f>'BF - overblik beregning'!B27</f>
        <v>0.38213811420982741</v>
      </c>
    </row>
    <row r="71" spans="1:22" x14ac:dyDescent="0.25">
      <c r="A71" s="654" t="s">
        <v>7</v>
      </c>
      <c r="B71" s="645">
        <f>Nøgletal!D425</f>
        <v>0</v>
      </c>
      <c r="C71" s="645"/>
      <c r="D71" s="645">
        <f>Nøgletal!F425</f>
        <v>0</v>
      </c>
      <c r="E71" s="645"/>
      <c r="F71" s="645">
        <f>Nøgletal!H425</f>
        <v>0</v>
      </c>
      <c r="G71" s="645"/>
      <c r="H71" s="645">
        <f>Nøgletal!J425</f>
        <v>0</v>
      </c>
      <c r="I71" s="645"/>
      <c r="J71" s="645">
        <f>Nøgletal!L425</f>
        <v>0</v>
      </c>
      <c r="K71" s="645"/>
      <c r="L71" s="645">
        <f>Nøgletal!N425</f>
        <v>0</v>
      </c>
      <c r="M71" s="645"/>
      <c r="N71" s="645">
        <f>Nøgletal!P425</f>
        <v>0</v>
      </c>
      <c r="O71" s="645"/>
      <c r="P71" s="645">
        <f>Nøgletal!R425</f>
        <v>0</v>
      </c>
      <c r="Q71" s="645"/>
      <c r="R71" s="599">
        <v>0.10051755279733235</v>
      </c>
      <c r="S71" s="635"/>
      <c r="T71" s="599">
        <v>0.26577025232403723</v>
      </c>
      <c r="U71" s="635"/>
      <c r="V71" s="636">
        <f>'BF - overblik beregning'!B28</f>
        <v>0.26577025232403723</v>
      </c>
    </row>
    <row r="72" spans="1:22" x14ac:dyDescent="0.25">
      <c r="A72" s="654" t="s">
        <v>518</v>
      </c>
      <c r="B72" s="645">
        <f>Nøgletal!D426</f>
        <v>0</v>
      </c>
      <c r="C72" s="645"/>
      <c r="D72" s="645">
        <f>Nøgletal!F426</f>
        <v>0</v>
      </c>
      <c r="E72" s="645"/>
      <c r="F72" s="645">
        <f>Nøgletal!H426</f>
        <v>0</v>
      </c>
      <c r="G72" s="645"/>
      <c r="H72" s="645">
        <f>Nøgletal!J426</f>
        <v>0</v>
      </c>
      <c r="I72" s="645"/>
      <c r="J72" s="645">
        <f>Nøgletal!L426</f>
        <v>0</v>
      </c>
      <c r="K72" s="645"/>
      <c r="L72" s="645">
        <f>Nøgletal!N426</f>
        <v>0</v>
      </c>
      <c r="M72" s="645"/>
      <c r="N72" s="645">
        <f>Nøgletal!P426</f>
        <v>0</v>
      </c>
      <c r="O72" s="645"/>
      <c r="P72" s="645">
        <f>Nøgletal!R426</f>
        <v>0</v>
      </c>
      <c r="Q72" s="645"/>
      <c r="R72" s="644">
        <f>1-R70-R71-R73</f>
        <v>7.525935531677852E-4</v>
      </c>
      <c r="S72" s="645"/>
      <c r="T72" s="644">
        <f>1-T70-T71-T73</f>
        <v>0.33914342629482058</v>
      </c>
      <c r="U72" s="635"/>
      <c r="V72" s="636">
        <f>1-V73-V70-V71</f>
        <v>0.33914342629482058</v>
      </c>
    </row>
    <row r="73" spans="1:22" x14ac:dyDescent="0.25">
      <c r="A73" s="654" t="s">
        <v>519</v>
      </c>
      <c r="B73" s="645">
        <f>Nøgletal!D427</f>
        <v>0</v>
      </c>
      <c r="C73" s="645"/>
      <c r="D73" s="645">
        <f>Nøgletal!F427</f>
        <v>0</v>
      </c>
      <c r="E73" s="645"/>
      <c r="F73" s="645">
        <f>Nøgletal!H427</f>
        <v>0</v>
      </c>
      <c r="G73" s="645"/>
      <c r="H73" s="645">
        <f>Nøgletal!J427</f>
        <v>0</v>
      </c>
      <c r="I73" s="645"/>
      <c r="J73" s="645">
        <f>Nøgletal!L427</f>
        <v>0</v>
      </c>
      <c r="K73" s="645"/>
      <c r="L73" s="645">
        <f>Nøgletal!N427</f>
        <v>0</v>
      </c>
      <c r="M73" s="645"/>
      <c r="N73" s="645">
        <f>Nøgletal!P427</f>
        <v>0</v>
      </c>
      <c r="O73" s="645"/>
      <c r="P73" s="645">
        <f>Nøgletal!R427</f>
        <v>0</v>
      </c>
      <c r="Q73" s="645"/>
      <c r="R73" s="599">
        <v>0</v>
      </c>
      <c r="S73" s="635"/>
      <c r="T73" s="599">
        <v>1.2948207171314743E-2</v>
      </c>
      <c r="U73" s="635"/>
      <c r="V73" s="636">
        <f>'BF - overblik beregning'!B31</f>
        <v>1.2948207171314743E-2</v>
      </c>
    </row>
    <row r="74" spans="1:22" x14ac:dyDescent="0.25">
      <c r="A74" s="604"/>
      <c r="B74" s="604"/>
      <c r="C74" s="604"/>
      <c r="D74" s="604"/>
      <c r="E74" s="604"/>
      <c r="F74" s="604"/>
      <c r="G74" s="604"/>
      <c r="H74" s="604"/>
      <c r="I74" s="604"/>
      <c r="J74" s="604"/>
      <c r="K74" s="604"/>
      <c r="L74" s="604"/>
      <c r="M74" s="604"/>
      <c r="N74" s="604"/>
      <c r="O74" s="604"/>
      <c r="P74" s="604"/>
      <c r="Q74" s="604"/>
    </row>
    <row r="75" spans="1:22" x14ac:dyDescent="0.25">
      <c r="A75" s="629" t="s">
        <v>625</v>
      </c>
      <c r="B75" s="653"/>
      <c r="C75" s="653"/>
      <c r="D75" s="653"/>
      <c r="E75" s="653"/>
      <c r="F75" s="653"/>
      <c r="G75" s="653"/>
      <c r="H75" s="653"/>
      <c r="I75" s="653"/>
      <c r="J75" s="653"/>
      <c r="K75" s="653"/>
      <c r="L75" s="653"/>
      <c r="M75" s="653"/>
      <c r="N75" s="653"/>
      <c r="O75" s="653"/>
      <c r="P75" s="653"/>
      <c r="Q75" s="653"/>
      <c r="R75" s="639"/>
      <c r="S75" s="639"/>
      <c r="T75" s="639"/>
      <c r="U75" s="639"/>
    </row>
    <row r="76" spans="1:22" x14ac:dyDescent="0.25">
      <c r="A76" s="654" t="s">
        <v>3</v>
      </c>
      <c r="B76" s="645">
        <f>Nøgletal!D413</f>
        <v>1</v>
      </c>
      <c r="C76" s="645"/>
      <c r="D76" s="645">
        <f>Nøgletal!F413</f>
        <v>1</v>
      </c>
      <c r="E76" s="645"/>
      <c r="F76" s="645">
        <f>Nøgletal!H413</f>
        <v>1</v>
      </c>
      <c r="G76" s="645"/>
      <c r="H76" s="645">
        <f>Nøgletal!J413</f>
        <v>1</v>
      </c>
      <c r="I76" s="645"/>
      <c r="J76" s="645">
        <f>Nøgletal!L413</f>
        <v>1</v>
      </c>
      <c r="K76" s="645"/>
      <c r="L76" s="645">
        <f>Nøgletal!N413</f>
        <v>1</v>
      </c>
      <c r="M76" s="645"/>
      <c r="N76" s="645">
        <f>Nøgletal!P413</f>
        <v>1</v>
      </c>
      <c r="O76" s="645"/>
      <c r="P76" s="645">
        <f>Nøgletal!R413</f>
        <v>1</v>
      </c>
      <c r="Q76" s="645"/>
      <c r="R76" s="599">
        <v>1</v>
      </c>
      <c r="S76" s="639"/>
      <c r="T76" s="599">
        <v>0.38213811420982741</v>
      </c>
      <c r="U76" s="639"/>
      <c r="V76" s="636">
        <f>'BF - overblik beregning'!B27</f>
        <v>0.38213811420982741</v>
      </c>
    </row>
    <row r="77" spans="1:22" x14ac:dyDescent="0.25">
      <c r="A77" s="654" t="s">
        <v>375</v>
      </c>
      <c r="B77" s="645">
        <f>Nøgletal!D414</f>
        <v>0</v>
      </c>
      <c r="C77" s="645"/>
      <c r="D77" s="645">
        <f>Nøgletal!F414</f>
        <v>0</v>
      </c>
      <c r="E77" s="645"/>
      <c r="F77" s="645">
        <f>Nøgletal!H414</f>
        <v>0</v>
      </c>
      <c r="G77" s="645"/>
      <c r="H77" s="645">
        <f>Nøgletal!J414</f>
        <v>0</v>
      </c>
      <c r="I77" s="645"/>
      <c r="J77" s="645">
        <f>Nøgletal!L414</f>
        <v>0</v>
      </c>
      <c r="K77" s="645"/>
      <c r="L77" s="645">
        <f>Nøgletal!N414</f>
        <v>0</v>
      </c>
      <c r="M77" s="645"/>
      <c r="N77" s="645">
        <f>Nøgletal!P414</f>
        <v>0</v>
      </c>
      <c r="O77" s="645"/>
      <c r="P77" s="645">
        <f>Nøgletal!R414</f>
        <v>0</v>
      </c>
      <c r="Q77" s="645"/>
      <c r="R77" s="644">
        <f>1-R76</f>
        <v>0</v>
      </c>
      <c r="S77" s="645"/>
      <c r="T77" s="644">
        <f>1-T76</f>
        <v>0.61786188579017254</v>
      </c>
      <c r="U77" s="635"/>
      <c r="V77" s="636">
        <f>1-V76</f>
        <v>0.61786188579017254</v>
      </c>
    </row>
    <row r="78" spans="1:22" x14ac:dyDescent="0.25">
      <c r="A78" s="604"/>
      <c r="B78" s="604"/>
      <c r="C78" s="604"/>
      <c r="D78" s="604"/>
      <c r="E78" s="604"/>
      <c r="F78" s="604"/>
      <c r="G78" s="604"/>
      <c r="H78" s="604"/>
      <c r="I78" s="604"/>
      <c r="J78" s="604"/>
      <c r="K78" s="604"/>
      <c r="L78" s="604"/>
      <c r="M78" s="604"/>
      <c r="N78" s="604"/>
      <c r="O78" s="604"/>
      <c r="P78" s="604"/>
      <c r="Q78" s="604"/>
    </row>
    <row r="79" spans="1:22" x14ac:dyDescent="0.25">
      <c r="A79" s="629" t="s">
        <v>626</v>
      </c>
      <c r="B79" s="653"/>
      <c r="C79" s="653"/>
      <c r="D79" s="653"/>
      <c r="E79" s="653"/>
      <c r="F79" s="653"/>
      <c r="G79" s="653"/>
      <c r="H79" s="653"/>
      <c r="I79" s="653"/>
      <c r="J79" s="653"/>
      <c r="K79" s="653"/>
      <c r="L79" s="653"/>
      <c r="M79" s="653"/>
      <c r="N79" s="653"/>
      <c r="O79" s="653"/>
      <c r="P79" s="653"/>
      <c r="Q79" s="653"/>
      <c r="R79" s="639"/>
      <c r="S79" s="639"/>
      <c r="T79" s="639"/>
      <c r="U79" s="639"/>
    </row>
    <row r="80" spans="1:22" x14ac:dyDescent="0.25">
      <c r="A80" s="654" t="s">
        <v>8</v>
      </c>
      <c r="B80" s="645">
        <f>Nøgletal!D416</f>
        <v>1</v>
      </c>
      <c r="C80" s="645"/>
      <c r="D80" s="645">
        <f>Nøgletal!F416</f>
        <v>1</v>
      </c>
      <c r="E80" s="645"/>
      <c r="F80" s="645">
        <f>Nøgletal!H416</f>
        <v>1</v>
      </c>
      <c r="G80" s="645"/>
      <c r="H80" s="645">
        <f>Nøgletal!J416</f>
        <v>1</v>
      </c>
      <c r="I80" s="645"/>
      <c r="J80" s="645">
        <f>Nøgletal!L416</f>
        <v>1</v>
      </c>
      <c r="K80" s="645"/>
      <c r="L80" s="645">
        <f>Nøgletal!N416</f>
        <v>1</v>
      </c>
      <c r="M80" s="645"/>
      <c r="N80" s="645">
        <f>Nøgletal!P416</f>
        <v>1</v>
      </c>
      <c r="O80" s="645"/>
      <c r="P80" s="645">
        <f>Nøgletal!R416</f>
        <v>1</v>
      </c>
      <c r="Q80" s="645"/>
      <c r="R80" s="599">
        <v>1</v>
      </c>
      <c r="S80" s="639"/>
      <c r="T80" s="599">
        <v>0.26577025232403723</v>
      </c>
      <c r="U80" s="639"/>
      <c r="V80" s="636">
        <f>'BF - overblik beregning'!B28</f>
        <v>0.26577025232403723</v>
      </c>
    </row>
    <row r="81" spans="1:22" x14ac:dyDescent="0.25">
      <c r="A81" s="654" t="s">
        <v>375</v>
      </c>
      <c r="B81" s="645">
        <f>Nøgletal!D417</f>
        <v>0</v>
      </c>
      <c r="C81" s="645"/>
      <c r="D81" s="645">
        <f>Nøgletal!F417</f>
        <v>0</v>
      </c>
      <c r="E81" s="645"/>
      <c r="F81" s="645">
        <f>Nøgletal!H417</f>
        <v>0</v>
      </c>
      <c r="G81" s="645"/>
      <c r="H81" s="645">
        <f>Nøgletal!J417</f>
        <v>0</v>
      </c>
      <c r="I81" s="645"/>
      <c r="J81" s="645">
        <f>Nøgletal!L417</f>
        <v>0</v>
      </c>
      <c r="K81" s="645"/>
      <c r="L81" s="645">
        <f>Nøgletal!N417</f>
        <v>0</v>
      </c>
      <c r="M81" s="645"/>
      <c r="N81" s="645">
        <f>Nøgletal!P417</f>
        <v>0</v>
      </c>
      <c r="O81" s="645"/>
      <c r="P81" s="645">
        <f>Nøgletal!R417</f>
        <v>0</v>
      </c>
      <c r="Q81" s="645"/>
      <c r="R81" s="644">
        <f>1-R80</f>
        <v>0</v>
      </c>
      <c r="S81" s="645"/>
      <c r="T81" s="644">
        <f>1-T80</f>
        <v>0.73422974767596272</v>
      </c>
      <c r="U81" s="635"/>
      <c r="V81" s="636">
        <f>1-V80</f>
        <v>0.73422974767596272</v>
      </c>
    </row>
    <row r="82" spans="1:22" x14ac:dyDescent="0.25">
      <c r="A82" s="604"/>
      <c r="B82" s="604"/>
      <c r="C82" s="604"/>
      <c r="D82" s="604"/>
      <c r="E82" s="604"/>
      <c r="F82" s="604"/>
      <c r="G82" s="604"/>
      <c r="H82" s="604"/>
      <c r="I82" s="604"/>
      <c r="J82" s="604"/>
      <c r="K82" s="604"/>
      <c r="L82" s="604"/>
      <c r="M82" s="604"/>
      <c r="N82" s="604"/>
      <c r="O82" s="604"/>
      <c r="P82" s="604"/>
      <c r="Q82" s="604"/>
    </row>
  </sheetData>
  <sheetProtection algorithmName="SHA-512" hashValue="pP5Xfo9bOqH2syi20xGYqY7ebXE59X/NVEqBIh3BBU7oRXwe/NzWHBR/BQ3gxk9ygSx9ZNRQAKrQlLONHHzUbg==" saltValue="kPg/v347vvHJ/LrjotLx5g==" spinCount="100000" sheet="1" objects="1" scenarios="1"/>
  <protectedRanges>
    <protectedRange algorithmName="SHA-512" hashValue="LwJl+xw9Zcghubko2ia47qFK65sQxfu/4rRO5cvnvTLsUGxWfODVLOcnEqUC212YEvxJ+S1nkAOPdmm3phHe8g==" saltValue="R3FIuKGd9VWRYwIhjAlpaA==" spinCount="100000" sqref="A1:Q1048576" name="Område36"/>
    <protectedRange algorithmName="SHA-512" hashValue="HV86ONRSVMmV2svZ8Ow93h+wMtAas5poyXr2WPJWsGtsfWw5R/k95IdfJiVGTMOjH2pw+pu0Xct45pcKUvL/eA==" saltValue="3lkjHhqyY9MTVi7Za+OYFA==" spinCount="100000" sqref="T81" name="Område34"/>
    <protectedRange algorithmName="SHA-512" hashValue="Xa0qoBby0D3sVo6LBrcq0tuVNacce+5FqwzR1qHL8Hoy1mvuXLfia1IRBHXjPcD8dclCP6aac6RrUNt/3XF1EA==" saltValue="SAVNW5CRta5rX1YEQd/Ixg==" spinCount="100000" sqref="V76:V77" name="Område32"/>
    <protectedRange algorithmName="SHA-512" hashValue="KKbZRYnRQHR8wMKOl07B4N7Z9LUWYrlNw/2YoYMli9olNRBMGkYXbpyCniaiAx7GMpM5AycN7ynZYG0Rw7bn4w==" saltValue="XRyw5FC8HgRpAFciEsqNng==" spinCount="100000" sqref="R77" name="Område30"/>
    <protectedRange algorithmName="SHA-512" hashValue="Q0/ELANsST6ioNk2A7ASK7XpG3AHIPL8ktolrjkXjmMXBn4n5yiM4SINKQzH/j6ROn2H3IMb8veIQbogVPHukQ==" saltValue="jSMm8vvda71vPZeWLIZ+Qg==" spinCount="100000" sqref="T72" name="Område28"/>
    <protectedRange algorithmName="SHA-512" hashValue="BltXwlwAPYCSvWEagXYZ2hT52NaEf2IElYuqkaRow6giPN0+Ha3eEs10Za+M/a1o/VY8AmoF7Caylwri5mbRVg==" saltValue="cXLrxjrrIkGFQmQcnaeUfA==" spinCount="100000" sqref="V59:V67" name="Område26"/>
    <protectedRange algorithmName="SHA-512" hashValue="pxg+pdPbAr2VuC6cb7L04JLIH6eZh+OooGihhp+wuN8lgrwQdn3fAEKvFD3iGB2PCqb/69N0DORYBRMA/wz2Fw==" saltValue="obKZuFWmwclV1NGkgP0OJQ==" spinCount="100000" sqref="R63" name="Område24"/>
    <protectedRange algorithmName="SHA-512" hashValue="98caOoSiqCZYxGgqDRmAIZHBZjCy32XKRDAQAjn9qc1hCyFBL3MlAo2WakilVoZwSkWlBYnUYzz15N9uy0vy+w==" saltValue="hrO7OU13jf7Wqvh0t81WVQ==" spinCount="100000" sqref="V50:V56" name="Område22"/>
    <protectedRange algorithmName="SHA-512" hashValue="n0QHlxZMGlGt4s7UnsPKTr1jgI0JADw1InR9KRMzPmlpEON3yfUIoRuGA/HLAzOJabtG5dOmmu6Pic7dPQr1cw==" saltValue="BwcJLPvzkjjyl7KJNiAbHA==" spinCount="100000" sqref="R50" name="Område20"/>
    <protectedRange algorithmName="SHA-512" hashValue="Y+iu1295cCpFvIao71pbLL6LyYKCywopQd1k8ZHhU7yRJDUMPMDrXsPWvoORCtX0ehT7jIC4ve5rlN8DXcGcSQ==" saltValue="0Q3oS86H5N5vA2MsXMQi+w==" spinCount="100000" sqref="T44" name="Område18"/>
    <protectedRange algorithmName="SHA-512" hashValue="MIyR7jq85eP58KdrrGoBy44GPlv6Kn99AN15oIK1hj4eLuWKMMrgCBYMAOeHiy/OXg3mMiDuWjxUZs6xBS+KSw==" saltValue="cNkmSmBT5sVtK1iBY0sERw==" spinCount="100000" sqref="R38:U38" name="Område16"/>
    <protectedRange algorithmName="SHA-512" hashValue="yWl/gLA2DkLWpJ+A6lxIJBuL2J12JqUN/wmr1hpeWhq4dZ6pvetQ9fkuqjAnBa1XPUeb0PAZCfka42dv1h/oKw==" saltValue="hTAoiTdyFdn2Oaq91K/Ecg==" spinCount="100000" sqref="T32" name="Område14"/>
    <protectedRange algorithmName="SHA-512" hashValue="yUpDIx2xcMwph4pIIrRfWKEe6K31EJ1gULiedctO45otT7CEAD0wF6PR3DrNIOMiuJtI6wGroXP3VjOcpfbhIg==" saltValue="Fg9BOO8VFMT3sHoTkXa4rg==" spinCount="100000" sqref="V20:V30" name="Område12"/>
    <protectedRange algorithmName="SHA-512" hashValue="jaP+tExGGF2QyVq4rFT0xKikmFOgpfxNti36aNH77jbAO7WLIKpLQu3lLiHPR6bL+7kXQZPASijVzk8FLdzHLg==" saltValue="Gq/4AZckz2uqQVkdDtkCwA==" spinCount="100000" sqref="R24" name="Område10"/>
    <protectedRange algorithmName="SHA-512" hashValue="g8jregQkaV6ZxP2lyyyssDtWQyQ7xUPJpVeVf7LKMSepiPex1kZMmL2Zjtl8POSrl3QbHxSeNtINlhGxO0TgkQ==" saltValue="X/csuYUz9HpvDRGIyZ/CPg==" spinCount="100000" sqref="V13:V17" name="Område8"/>
    <protectedRange algorithmName="SHA-512" hashValue="u9/m97P0FSNgn87EQWDNK0qN3lwNB84oo3bjh1oN6q64SIZHdXb9YC8XBSoyNAFlh/74voYbC+1H4MLgSnpMMA==" saltValue="Go+/yKxTwd4CvKsnLeydZQ==" spinCount="100000" sqref="R12" name="Område6"/>
    <protectedRange algorithmName="SHA-512" hashValue="HrMWYW5qMaXU2S6Vkp5AppZFrdpyxRKVLi2wEC+d5VOUG/KYCDuaVBa/5T0s8LSCZ8p3SOb1Vo8LGtyM8u0/FQ==" saltValue="DW3LX/77ZwzVffnTPskmaQ==" spinCount="100000" sqref="T8" name="Område4"/>
    <protectedRange algorithmName="SHA-512" hashValue="KG6IDTV4ezitnwmsE31F3NyCX7A83sq76czBVI/trqEbc1Svw3k8Lp8NKMgP/U4HE0bzWscSYTNEjrUyqm4oJA==" saltValue="b8iFl5Utjjc3JZPlMI7rag==" spinCount="100000" sqref="X1" name="Område2"/>
    <protectedRange algorithmName="SHA-512" hashValue="ohfOQDERyK1ZSwNrz143kQAdgA3Myuvp4n8OcvobM9pAD2G17dkgkWwV7j3zHAquTJumLKnK7B8aVbZHGlTMDA==" saltValue="d8UsIPKDafqvL9Y2H+r0aA==" spinCount="100000" sqref="R1:U6" name="Område1"/>
    <protectedRange algorithmName="SHA-512" hashValue="Y+309Ac3LMMBaOlXqiSf6WfNOZI4vRbyeCVlkBWW1RgE9tYFMPI2uNxJznfHBRy2bVbacKYijP0+sE4JRqrwqg==" saltValue="F3o9PH+wx3fRLckJWthm7A==" spinCount="100000" sqref="R8" name="Område3"/>
    <protectedRange algorithmName="SHA-512" hashValue="Ae/bDL8Spz7O5iYYZ3yhwPPIGTSDzNb/QAdX6mQgTLI0DQ4uRfIVg19jIQq22ABpHurUt3AbDyPuAQEbgekB9Q==" saltValue="hoK0fM0UtKxwxybhV4c8wg==" spinCount="100000" sqref="V8:V11" name="Område5"/>
    <protectedRange algorithmName="SHA-512" hashValue="W0e2nJ5YAwHHwkcP8fTzXnRm8QkYm+Sl4YYx98zKSYuNVFRKt/iA/rGpDj4W+YbYUy+DycavsC14Gc5/HJGY8A==" saltValue="mtsueTMHc3ijSi3pROH8fw==" spinCount="100000" sqref="T12" name="Område7"/>
    <protectedRange algorithmName="SHA-512" hashValue="JGGH6xYRy/jPK0/Vx0SBh4WcjrWe8f4nb/KjfNv93jmlFnpFRdLIIJ5CRmn0IK1ZXIECb2qvAGh0WOTIQ/IMkw==" saltValue="Dp0Pjw5uMaz4Bye20j+eCw==" spinCount="100000" sqref="R18:U18" name="Område9"/>
    <protectedRange algorithmName="SHA-512" hashValue="fqhUDROwG03PlTCnuNE34fZ9jtwSvksHokd8Yg1RnSzxND+U/cSlxeObxYUzxY3ymUFBsOuS7JHjE2JQtocY+g==" saltValue="mgdHGj2UOUU+Qa836eXRZw==" spinCount="100000" sqref="T24" name="Område11"/>
    <protectedRange algorithmName="SHA-512" hashValue="8m9EVZPDxz1B9q1wHasqJVxIWASf60cRb4JOV4Z6tjCG+XRJNn+EDIonk2sv6HfTlbtdIGQHZJ40Mm2zkH0OVg==" saltValue="oTHEAAAfqf57I5l36pDbmQ==" spinCount="100000" sqref="R32" name="Område13"/>
    <protectedRange algorithmName="SHA-512" hashValue="fnV1uaZ8aOUAYacsdH5ymuShzybJHQtk4GIUU8PurTGOb3fW3yYgg/IgIFWX5cuHjVcwLuKKdOu6qQuZT9puow==" saltValue="c4XRtg/GPsvfi32Lu+40wA==" spinCount="100000" sqref="V32:V37" name="Område15"/>
    <protectedRange algorithmName="SHA-512" hashValue="c7Jj2CDIMDMm1a4l/tkLUGELKss7LPabn5yf5vBPI9RLOb1w22oKofOSh6Y5XrRwrpqeGNuZOVimtfu3cBgivw==" saltValue="rWLt6lTp9wvX5WID+8Y0Gw==" spinCount="100000" sqref="R44" name="Område17"/>
    <protectedRange algorithmName="SHA-512" hashValue="70UfdNRzZeqnRByP7fkBBQXcvclpY+9IlrvpdHmVxnw3gEaCU/AlzBvMXHQnoCcDAPl0xmTn2KO/2X5XMKO6GA==" saltValue="DM0ySxQFdnuut9SU6oFJzw==" spinCount="100000" sqref="V40:V48" name="Område19"/>
    <protectedRange algorithmName="SHA-512" hashValue="WBOWkBC55/eqP6xSJhr5hN0ym3P4qrPgfwNLF93nPWVU/nbo/qCHPEWSGFGVvswkaUzDlVwRGnzM3m1TT+YsVw==" saltValue="aJL4BM/bhXDz81ZI/JKTSw==" spinCount="100000" sqref="T50" name="Område21"/>
    <protectedRange algorithmName="SHA-512" hashValue="QkD1LY3wBi86dNZpkCXvDuK8boRq/IxAd9zSG4Fui5BEN4/pLiDdjRZv92+WYsJYYz8jDWDP5HGDBz9B4RedRA==" saltValue="T+47AvnI9fxniV7cV9wGMA==" spinCount="100000" sqref="R57:U57" name="Område23"/>
    <protectedRange algorithmName="SHA-512" hashValue="jHKcj3sIlqMkdgFvDiwL/hIgGk1lBT3fAqcLp7G7DNbFL8V0Ey0SgKj8d9US3DvVzrnKk5om6chPO0+UoXY0Vw==" saltValue="xFvro7sJoSR9HvOqrPYLeg==" spinCount="100000" sqref="T63" name="Område25"/>
    <protectedRange algorithmName="SHA-512" hashValue="v/LN8zsLmZvNPuW7YWKOTSCp4tCjLxg/INd3ifW2sDVMf77tk4BQo2aBpa4xgPp4RDDukm7ptmqCj26aZpoARA==" saltValue="4ZnSHQX+k2ck6hHtJw2ZcA==" spinCount="100000" sqref="R72" name="Område27"/>
    <protectedRange algorithmName="SHA-512" hashValue="F00uE9aWPtcMI7RwIFrVHr4AP+mBdAmc6FaZCuIS83Ra6wGkARI8wVNQPQ6vZbo9Qq9PBD8HLUXg0fk3sWpRBA==" saltValue="fctdWX5QS+/VaHlk5B15FQ==" spinCount="100000" sqref="V70:V73" name="Område29"/>
    <protectedRange algorithmName="SHA-512" hashValue="bkOO1d3qHAkGj8ZIo6gy6dg+YILIN7ASAH+cb27qEnfLzVmabKGyD03nB0/rbRFpnN67te1CCMhsloFV/L6R5w==" saltValue="xa9Tiaj5gwUyUuxgFav1Nw==" spinCount="100000" sqref="T77" name="Område31"/>
    <protectedRange algorithmName="SHA-512" hashValue="VYMb7A/yrPyk2pxw73vr9tMfAlCFM/4ORU8ojhb57NXRwwzqlgusu9CKQcG5TOUrr32rD2LzS+5IdTxrJTvwLA==" saltValue="+uR8qnJofowHlZwfZfDl3Q==" spinCount="100000" sqref="R81" name="Område33"/>
    <protectedRange algorithmName="SHA-512" hashValue="tCb9+W24WH8h1SkXDz+NseKWoL6zskcuSzU6mNxXfooWnTuW6lJf/m9wd6qlLKOq+FINqK2oZE5DPrSXnxz5FA==" saltValue="hv6aHlROq0yIDTmfa4/PHQ==" spinCount="100000" sqref="V80:V81" name="Område35"/>
  </protectedRanges>
  <mergeCells count="52">
    <mergeCell ref="T5:U5"/>
    <mergeCell ref="T6:U6"/>
    <mergeCell ref="H5:I5"/>
    <mergeCell ref="H6:I6"/>
    <mergeCell ref="J5:K5"/>
    <mergeCell ref="J6:K6"/>
    <mergeCell ref="L5:M5"/>
    <mergeCell ref="L6:M6"/>
    <mergeCell ref="P5:Q5"/>
    <mergeCell ref="P6:Q6"/>
    <mergeCell ref="B5:C5"/>
    <mergeCell ref="B6:C6"/>
    <mergeCell ref="D5:E5"/>
    <mergeCell ref="D6:E6"/>
    <mergeCell ref="F5:G5"/>
    <mergeCell ref="F6:G6"/>
    <mergeCell ref="B4:C4"/>
    <mergeCell ref="D4:E4"/>
    <mergeCell ref="F4:G4"/>
    <mergeCell ref="H4:I4"/>
    <mergeCell ref="J4:K4"/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  <mergeCell ref="L2:M2"/>
    <mergeCell ref="N2:O2"/>
    <mergeCell ref="R2:S2"/>
    <mergeCell ref="R3:S3"/>
    <mergeCell ref="L3:M3"/>
    <mergeCell ref="N3:O3"/>
    <mergeCell ref="L4:M4"/>
    <mergeCell ref="N4:O4"/>
    <mergeCell ref="R4:S4"/>
    <mergeCell ref="N5:O5"/>
    <mergeCell ref="N6:O6"/>
    <mergeCell ref="R5:S5"/>
    <mergeCell ref="R6:S6"/>
    <mergeCell ref="R1:S1"/>
    <mergeCell ref="T1:U1"/>
    <mergeCell ref="P2:Q2"/>
    <mergeCell ref="P3:Q3"/>
    <mergeCell ref="P4:Q4"/>
    <mergeCell ref="T2:U2"/>
    <mergeCell ref="T3:U3"/>
    <mergeCell ref="T4:U4"/>
  </mergeCells>
  <pageMargins left="0.7" right="0.7" top="0.75" bottom="0.75" header="0.3" footer="0.3"/>
  <pageSetup paperSize="9" orientation="portrait" horizontalDpi="4294967293" verticalDpi="4294967293" r:id="rId1"/>
  <ignoredErrors>
    <ignoredError sqref="T33:T35 T9:T11 T51:T53" 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4"/>
  <dimension ref="A1:AC29"/>
  <sheetViews>
    <sheetView workbookViewId="0">
      <selection activeCell="U33" sqref="U33"/>
    </sheetView>
  </sheetViews>
  <sheetFormatPr defaultRowHeight="15" x14ac:dyDescent="0.25"/>
  <cols>
    <col min="1" max="1" width="40.7109375" style="582" customWidth="1"/>
    <col min="2" max="4" width="9.140625" style="582" hidden="1" customWidth="1"/>
    <col min="5" max="5" width="12.85546875" style="582" hidden="1" customWidth="1"/>
    <col min="6" max="6" width="9.140625" style="582" hidden="1" customWidth="1"/>
    <col min="7" max="7" width="13.140625" style="582" hidden="1" customWidth="1"/>
    <col min="8" max="8" width="9.140625" style="582" hidden="1" customWidth="1"/>
    <col min="9" max="9" width="13.28515625" style="582" hidden="1" customWidth="1"/>
    <col min="10" max="10" width="9.140625" style="582" customWidth="1"/>
    <col min="11" max="11" width="13.28515625" style="582" customWidth="1"/>
    <col min="12" max="12" width="9.140625" style="582"/>
    <col min="13" max="13" width="13.140625" style="582" customWidth="1"/>
    <col min="14" max="15" width="9.140625" style="582" customWidth="1"/>
    <col min="16" max="17" width="9.140625" style="582" hidden="1" customWidth="1"/>
    <col min="18" max="18" width="9.140625" style="582"/>
    <col min="19" max="19" width="13" style="582" customWidth="1"/>
    <col min="20" max="20" width="9.140625" style="582"/>
    <col min="21" max="21" width="13" style="582" customWidth="1"/>
    <col min="22" max="22" width="17.85546875" style="582" customWidth="1"/>
    <col min="23" max="23" width="9.140625" style="582"/>
    <col min="24" max="24" width="12.85546875" style="582" customWidth="1"/>
    <col min="25" max="16384" width="9.140625" style="582"/>
  </cols>
  <sheetData>
    <row r="1" spans="1:29" x14ac:dyDescent="0.25">
      <c r="A1" s="604" t="s">
        <v>792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R1" s="778">
        <f>Nøgletal!$T2</f>
        <v>379.27115877733439</v>
      </c>
      <c r="S1" s="779"/>
      <c r="T1" s="785">
        <f>Nøgletal!$V2</f>
        <v>255.10348315360176</v>
      </c>
      <c r="U1" s="786"/>
      <c r="V1" s="582" t="s">
        <v>675</v>
      </c>
      <c r="W1" s="584"/>
      <c r="X1" s="582" t="s">
        <v>801</v>
      </c>
      <c r="Y1" s="641">
        <f>Nøgletal!R2*0.4</f>
        <v>152.00699862265944</v>
      </c>
      <c r="Z1" s="582" t="s">
        <v>798</v>
      </c>
    </row>
    <row r="2" spans="1:29" x14ac:dyDescent="0.25">
      <c r="A2" s="604"/>
      <c r="B2" s="784">
        <v>2006</v>
      </c>
      <c r="C2" s="784"/>
      <c r="D2" s="784">
        <v>2008</v>
      </c>
      <c r="E2" s="784"/>
      <c r="F2" s="784">
        <v>2009</v>
      </c>
      <c r="G2" s="784"/>
      <c r="H2" s="784">
        <v>2011</v>
      </c>
      <c r="I2" s="784"/>
      <c r="J2" s="784">
        <v>2013</v>
      </c>
      <c r="K2" s="784"/>
      <c r="L2" s="766">
        <v>2015</v>
      </c>
      <c r="M2" s="766"/>
      <c r="N2" s="766">
        <v>2017</v>
      </c>
      <c r="O2" s="766"/>
      <c r="P2" s="787">
        <v>2017</v>
      </c>
      <c r="Q2" s="787"/>
      <c r="R2" s="779">
        <v>2025</v>
      </c>
      <c r="S2" s="779"/>
      <c r="T2" s="779">
        <v>2030</v>
      </c>
      <c r="U2" s="779"/>
    </row>
    <row r="3" spans="1:29" ht="18" x14ac:dyDescent="0.35">
      <c r="A3" s="604" t="s">
        <v>538</v>
      </c>
      <c r="B3" s="782">
        <f>Nøgletal!D11</f>
        <v>72.215046150475388</v>
      </c>
      <c r="C3" s="782"/>
      <c r="D3" s="782">
        <f>Nøgletal!F11</f>
        <v>84.866694459115536</v>
      </c>
      <c r="E3" s="782"/>
      <c r="F3" s="782">
        <f>Nøgletal!H11</f>
        <v>95.296392448281594</v>
      </c>
      <c r="G3" s="782"/>
      <c r="H3" s="782">
        <f>Nøgletal!J11</f>
        <v>81.902950304615999</v>
      </c>
      <c r="I3" s="782"/>
      <c r="J3" s="782">
        <f>Nøgletal!L11</f>
        <v>74.551152947763512</v>
      </c>
      <c r="K3" s="782"/>
      <c r="L3" s="768">
        <f>Nøgletal!N11</f>
        <v>66.797706475091587</v>
      </c>
      <c r="M3" s="768"/>
      <c r="N3" s="768">
        <f>Nøgletal!P11</f>
        <v>50.618531749211989</v>
      </c>
      <c r="O3" s="768"/>
      <c r="P3" s="788">
        <f>Nøgletal!R11</f>
        <v>50.618531749211989</v>
      </c>
      <c r="Q3" s="788"/>
      <c r="R3" s="780">
        <f>Nøgletal!T11</f>
        <v>50.965513003319444</v>
      </c>
      <c r="S3" s="780"/>
      <c r="T3" s="780">
        <f>Nøgletal!V11</f>
        <v>57.354456168517331</v>
      </c>
      <c r="U3" s="780"/>
    </row>
    <row r="4" spans="1:29" ht="18" x14ac:dyDescent="0.35">
      <c r="A4" s="604" t="s">
        <v>539</v>
      </c>
      <c r="B4" s="783">
        <f>Nøgletal!E11</f>
        <v>0.15721956545875029</v>
      </c>
      <c r="C4" s="783"/>
      <c r="D4" s="783">
        <f>Nøgletal!G11</f>
        <v>0.16499322998942137</v>
      </c>
      <c r="E4" s="783"/>
      <c r="F4" s="783">
        <f>Nøgletal!I11</f>
        <v>0.19250048574267681</v>
      </c>
      <c r="G4" s="783"/>
      <c r="H4" s="783">
        <f>Nøgletal!K11</f>
        <v>0.19042437645199084</v>
      </c>
      <c r="I4" s="783"/>
      <c r="J4" s="783">
        <f>Nøgletal!M11</f>
        <v>0.17477592414242654</v>
      </c>
      <c r="K4" s="783"/>
      <c r="L4" s="769">
        <f>Nøgletal!O11</f>
        <v>0.16353416118113864</v>
      </c>
      <c r="M4" s="769"/>
      <c r="N4" s="769">
        <f>Nøgletal!Q11</f>
        <v>0.13320052947000657</v>
      </c>
      <c r="O4" s="769"/>
      <c r="P4" s="789">
        <f>Nøgletal!S11</f>
        <v>0.13320052947000657</v>
      </c>
      <c r="Q4" s="789"/>
      <c r="R4" s="781">
        <f>Nøgletal!U11</f>
        <v>0.13437750755321917</v>
      </c>
      <c r="S4" s="781"/>
      <c r="T4" s="781">
        <f>Nøgletal!W11</f>
        <v>0.22482819701047879</v>
      </c>
      <c r="U4" s="781"/>
    </row>
    <row r="5" spans="1:29" x14ac:dyDescent="0.25">
      <c r="A5" s="629" t="s">
        <v>343</v>
      </c>
      <c r="B5" s="666" t="s">
        <v>0</v>
      </c>
      <c r="C5" s="666"/>
      <c r="D5" s="666" t="s">
        <v>0</v>
      </c>
      <c r="E5" s="666" t="s">
        <v>491</v>
      </c>
      <c r="F5" s="666" t="s">
        <v>0</v>
      </c>
      <c r="G5" s="666" t="s">
        <v>491</v>
      </c>
      <c r="H5" s="666" t="s">
        <v>0</v>
      </c>
      <c r="I5" s="666" t="s">
        <v>491</v>
      </c>
      <c r="J5" s="666" t="s">
        <v>0</v>
      </c>
      <c r="K5" s="666" t="s">
        <v>491</v>
      </c>
      <c r="L5" s="666" t="s">
        <v>0</v>
      </c>
      <c r="M5" s="666" t="s">
        <v>491</v>
      </c>
      <c r="N5" s="666"/>
      <c r="O5" s="666"/>
      <c r="P5" s="655"/>
      <c r="Q5" s="655"/>
      <c r="R5" s="655" t="s">
        <v>0</v>
      </c>
      <c r="S5" s="655" t="s">
        <v>491</v>
      </c>
      <c r="T5" s="655" t="s">
        <v>0</v>
      </c>
      <c r="U5" s="655" t="s">
        <v>491</v>
      </c>
      <c r="V5" s="655" t="s">
        <v>807</v>
      </c>
    </row>
    <row r="6" spans="1:29" x14ac:dyDescent="0.25">
      <c r="A6" s="631" t="s">
        <v>28</v>
      </c>
      <c r="B6" s="649">
        <f>Nøgletal!D36</f>
        <v>996.09572274969014</v>
      </c>
      <c r="C6" s="649"/>
      <c r="D6" s="649">
        <f>Nøgletal!F36</f>
        <v>1149.450107212333</v>
      </c>
      <c r="E6" s="650">
        <f>Nøgletal!G36</f>
        <v>7.6977734649493854E-2</v>
      </c>
      <c r="F6" s="649">
        <f>Nøgletal!H36</f>
        <v>1252.467395712624</v>
      </c>
      <c r="G6" s="650">
        <f>Nøgletal!I36</f>
        <v>8.9623105738908804E-2</v>
      </c>
      <c r="H6" s="649">
        <f>Nøgletal!J36</f>
        <v>1123.01132582268</v>
      </c>
      <c r="I6" s="650">
        <f>Nøgletal!K36</f>
        <v>-5.1680415128206446E-2</v>
      </c>
      <c r="J6" s="649">
        <f>Nøgletal!L36</f>
        <v>1048.6138063056324</v>
      </c>
      <c r="K6" s="650">
        <f>Nøgletal!M36</f>
        <v>-3.3124118077146956E-2</v>
      </c>
      <c r="L6" s="649">
        <f>Nøgletal!N36</f>
        <v>1013.882625766416</v>
      </c>
      <c r="M6" s="650">
        <f>Nøgletal!O36</f>
        <v>-1.6560520341410354E-2</v>
      </c>
      <c r="N6" s="649">
        <f>Nøgletal!P36</f>
        <v>1036.55515067748</v>
      </c>
      <c r="O6" s="650">
        <f>Nøgletal!Q36</f>
        <v>1.118104025795162E-2</v>
      </c>
      <c r="P6" s="590">
        <f>Nøgletal!R36</f>
        <v>1036.55515067748</v>
      </c>
      <c r="Q6" s="598">
        <f>Nøgletal!S36</f>
        <v>0</v>
      </c>
      <c r="R6" s="594">
        <f>P6*(1+S6)^(R$2-P$2)</f>
        <v>1036.55515067748</v>
      </c>
      <c r="S6" s="592">
        <v>0</v>
      </c>
      <c r="T6" s="594">
        <f>P6*(1+U6)^(T$2-P$2)</f>
        <v>975.94184816316192</v>
      </c>
      <c r="U6" s="592">
        <v>-4.6242853915723359E-3</v>
      </c>
      <c r="V6" s="646">
        <f>'BF - overblik beregning'!H9</f>
        <v>-4.6242853915723359E-3</v>
      </c>
      <c r="AC6" s="601"/>
    </row>
    <row r="7" spans="1:29" x14ac:dyDescent="0.25">
      <c r="A7" s="629" t="s">
        <v>260</v>
      </c>
      <c r="B7" s="604"/>
      <c r="C7" s="604"/>
      <c r="D7" s="604"/>
      <c r="E7" s="667"/>
      <c r="F7" s="604"/>
      <c r="G7" s="667"/>
      <c r="H7" s="604"/>
      <c r="I7" s="667"/>
      <c r="J7" s="604"/>
      <c r="K7" s="667"/>
      <c r="L7" s="604"/>
      <c r="M7" s="667"/>
      <c r="N7" s="604"/>
      <c r="O7" s="667"/>
      <c r="Q7" s="656"/>
      <c r="V7" s="604"/>
    </row>
    <row r="8" spans="1:29" x14ac:dyDescent="0.25">
      <c r="A8" s="631" t="s">
        <v>28</v>
      </c>
      <c r="B8" s="649">
        <f>Nøgletal!D64</f>
        <v>154.3940428181628</v>
      </c>
      <c r="C8" s="649"/>
      <c r="D8" s="649">
        <f>Nøgletal!F64</f>
        <v>168.34466137125509</v>
      </c>
      <c r="E8" s="650">
        <f>Nøgletal!G64</f>
        <v>4.5178616669564735E-2</v>
      </c>
      <c r="F8" s="649">
        <f>Nøgletal!H64</f>
        <v>180.89011052678399</v>
      </c>
      <c r="G8" s="650">
        <f>Nøgletal!I64</f>
        <v>7.4522405720143847E-2</v>
      </c>
      <c r="H8" s="649">
        <f>Nøgletal!J64</f>
        <v>163.44296291315999</v>
      </c>
      <c r="I8" s="650">
        <f>Nøgletal!K64</f>
        <v>-4.8225819429306607E-2</v>
      </c>
      <c r="J8" s="649">
        <f>Nøgletal!L64</f>
        <v>159.57166617694403</v>
      </c>
      <c r="K8" s="650">
        <f>Nøgletal!M64</f>
        <v>-1.184295936397347E-2</v>
      </c>
      <c r="L8" s="649">
        <f>Nøgletal!N64</f>
        <v>154.286486529672</v>
      </c>
      <c r="M8" s="650">
        <f>Nøgletal!O64</f>
        <v>-1.6560520341410298E-2</v>
      </c>
      <c r="N8" s="649">
        <f>Nøgletal!P64</f>
        <v>157.63281093252002</v>
      </c>
      <c r="O8" s="650">
        <f>Nøgletal!Q64</f>
        <v>1.0844515544154462E-2</v>
      </c>
      <c r="P8" s="590">
        <f>Nøgletal!R64</f>
        <v>157.63281093252002</v>
      </c>
      <c r="Q8" s="598">
        <f>Nøgletal!S64</f>
        <v>0</v>
      </c>
      <c r="R8" s="594">
        <f>P8*(1+S8)^(R$2-P$2)</f>
        <v>157.63281093252002</v>
      </c>
      <c r="S8" s="592">
        <v>0</v>
      </c>
      <c r="T8" s="594">
        <f>P8*(1+U8)^(T$2-P$2)</f>
        <v>162.83024413895004</v>
      </c>
      <c r="U8" s="592">
        <v>2.498490204587922E-3</v>
      </c>
      <c r="V8" s="646">
        <f>'BF - overblik beregning'!H2</f>
        <v>2.498490204587922E-3</v>
      </c>
    </row>
    <row r="9" spans="1:29" x14ac:dyDescent="0.25">
      <c r="A9" s="629" t="s">
        <v>262</v>
      </c>
      <c r="B9" s="604"/>
      <c r="C9" s="604"/>
      <c r="D9" s="604"/>
      <c r="E9" s="667"/>
      <c r="F9" s="604"/>
      <c r="G9" s="667"/>
      <c r="H9" s="604"/>
      <c r="I9" s="667"/>
      <c r="J9" s="604"/>
      <c r="K9" s="667"/>
      <c r="L9" s="604"/>
      <c r="M9" s="667"/>
      <c r="N9" s="604"/>
      <c r="O9" s="667"/>
      <c r="Q9" s="656"/>
      <c r="V9" s="604"/>
    </row>
    <row r="10" spans="1:29" x14ac:dyDescent="0.25">
      <c r="A10" s="631" t="s">
        <v>28</v>
      </c>
      <c r="B10" s="649">
        <f>Nøgletal!D92</f>
        <v>192.67487030702824</v>
      </c>
      <c r="C10" s="649"/>
      <c r="D10" s="649">
        <f>Nøgletal!F92</f>
        <v>233.51033674077314</v>
      </c>
      <c r="E10" s="650">
        <f>Nøgletal!G92</f>
        <v>0.10596988172010549</v>
      </c>
      <c r="F10" s="649">
        <f>Nøgletal!H92</f>
        <v>259.537984668864</v>
      </c>
      <c r="G10" s="650">
        <f>Nøgletal!I92</f>
        <v>0.11146250864682249</v>
      </c>
      <c r="H10" s="649">
        <f>Nøgletal!J92</f>
        <v>233.74101147796</v>
      </c>
      <c r="I10" s="650">
        <f>Nøgletal!K92</f>
        <v>-4.9697876061990519E-2</v>
      </c>
      <c r="J10" s="649">
        <f>Nøgletal!L92</f>
        <v>213.30498233856807</v>
      </c>
      <c r="K10" s="650">
        <f>Nøgletal!M92</f>
        <v>-4.3715112316348677E-2</v>
      </c>
      <c r="L10" s="649">
        <f>Nøgletal!N92</f>
        <v>206.24009934068403</v>
      </c>
      <c r="M10" s="650">
        <f>Nøgletal!O92</f>
        <v>-1.6560520341410298E-2</v>
      </c>
      <c r="N10" s="649">
        <f>Nøgletal!P92</f>
        <v>211.76933185884002</v>
      </c>
      <c r="O10" s="650">
        <f>Nøgletal!Q92</f>
        <v>1.34048435193545E-2</v>
      </c>
      <c r="P10" s="590">
        <f>Nøgletal!R92</f>
        <v>211.76933185884002</v>
      </c>
      <c r="Q10" s="598">
        <f>Nøgletal!S92</f>
        <v>0</v>
      </c>
      <c r="R10" s="594">
        <f>P10*(1+S10)^(R$2-P$2)</f>
        <v>211.76933185884002</v>
      </c>
      <c r="S10" s="592">
        <v>0</v>
      </c>
      <c r="T10" s="594">
        <f>P10*(1+U10)^(T$2-P$2)</f>
        <v>226.03094201250474</v>
      </c>
      <c r="U10" s="592">
        <v>5.025994025584124E-3</v>
      </c>
      <c r="V10" s="646">
        <f>'BF - overblik beregning'!H3</f>
        <v>5.025994025584124E-3</v>
      </c>
    </row>
    <row r="11" spans="1:29" x14ac:dyDescent="0.25">
      <c r="A11" s="629" t="s">
        <v>264</v>
      </c>
      <c r="B11" s="604"/>
      <c r="C11" s="604"/>
      <c r="D11" s="604"/>
      <c r="E11" s="667"/>
      <c r="F11" s="604"/>
      <c r="G11" s="667"/>
      <c r="H11" s="604"/>
      <c r="I11" s="667"/>
      <c r="J11" s="604"/>
      <c r="K11" s="667"/>
      <c r="L11" s="604"/>
      <c r="M11" s="667"/>
      <c r="N11" s="604"/>
      <c r="O11" s="667"/>
      <c r="Q11" s="656"/>
      <c r="V11" s="604"/>
    </row>
    <row r="12" spans="1:29" x14ac:dyDescent="0.25">
      <c r="A12" s="631" t="s">
        <v>28</v>
      </c>
      <c r="B12" s="649">
        <f>Nøgletal!D120</f>
        <v>113.25406638822022</v>
      </c>
      <c r="C12" s="649"/>
      <c r="D12" s="649">
        <f>Nøgletal!F120</f>
        <v>128.52119308988287</v>
      </c>
      <c r="E12" s="650">
        <f>Nøgletal!G120</f>
        <v>6.7402112738843833E-2</v>
      </c>
      <c r="F12" s="649">
        <f>Nøgletal!H120</f>
        <v>137.63377974864002</v>
      </c>
      <c r="G12" s="650">
        <f>Nøgletal!I120</f>
        <v>7.0903377409390789E-2</v>
      </c>
      <c r="H12" s="649">
        <f>Nøgletal!J120</f>
        <v>124.77903620251999</v>
      </c>
      <c r="I12" s="650">
        <f>Nøgletal!K120</f>
        <v>-4.6699086407408837E-2</v>
      </c>
      <c r="J12" s="649">
        <f>Nøgletal!L120</f>
        <v>112.35147924703205</v>
      </c>
      <c r="K12" s="650">
        <f>Nøgletal!M120</f>
        <v>-4.9798256717248794E-2</v>
      </c>
      <c r="L12" s="649">
        <f>Nøgletal!N120</f>
        <v>108.63028133211601</v>
      </c>
      <c r="M12" s="650">
        <f>Nøgletal!O120</f>
        <v>-1.6560520341410343E-2</v>
      </c>
      <c r="N12" s="649">
        <f>Nøgletal!P120</f>
        <v>111.45754308360003</v>
      </c>
      <c r="O12" s="650">
        <f>Nøgletal!Q120</f>
        <v>1.3013230366403139E-2</v>
      </c>
      <c r="P12" s="590">
        <f>Nøgletal!R120</f>
        <v>111.45754308360003</v>
      </c>
      <c r="Q12" s="598">
        <f>Nøgletal!S120</f>
        <v>0</v>
      </c>
      <c r="R12" s="594">
        <f>P12*(1+S12)^(R$2-P$2)</f>
        <v>111.45754308360003</v>
      </c>
      <c r="S12" s="592">
        <v>0</v>
      </c>
      <c r="T12" s="594">
        <f>P12*(1+U12)^(T$2-P$2)</f>
        <v>118.96365369079199</v>
      </c>
      <c r="U12" s="592">
        <v>5.025994025584124E-3</v>
      </c>
      <c r="V12" s="646">
        <f>'BF - overblik beregning'!H3</f>
        <v>5.025994025584124E-3</v>
      </c>
    </row>
    <row r="13" spans="1:29" x14ac:dyDescent="0.25">
      <c r="A13" s="629" t="s">
        <v>266</v>
      </c>
      <c r="B13" s="604"/>
      <c r="C13" s="604"/>
      <c r="D13" s="604"/>
      <c r="E13" s="667"/>
      <c r="F13" s="604"/>
      <c r="G13" s="667"/>
      <c r="H13" s="604"/>
      <c r="I13" s="667"/>
      <c r="J13" s="604"/>
      <c r="K13" s="667"/>
      <c r="L13" s="604"/>
      <c r="M13" s="667"/>
      <c r="N13" s="604"/>
      <c r="O13" s="667"/>
      <c r="Q13" s="656"/>
      <c r="V13" s="604"/>
    </row>
    <row r="14" spans="1:29" x14ac:dyDescent="0.25">
      <c r="A14" s="631" t="s">
        <v>28</v>
      </c>
      <c r="B14" s="649">
        <f>Nøgletal!D148</f>
        <v>0</v>
      </c>
      <c r="C14" s="649"/>
      <c r="D14" s="649">
        <f>Nøgletal!F148</f>
        <v>0</v>
      </c>
      <c r="E14" s="650">
        <f>Nøgletal!G148</f>
        <v>0</v>
      </c>
      <c r="F14" s="649">
        <f>Nøgletal!H148</f>
        <v>0</v>
      </c>
      <c r="G14" s="650">
        <f>Nøgletal!I148</f>
        <v>0</v>
      </c>
      <c r="H14" s="649">
        <f>Nøgletal!J148</f>
        <v>0</v>
      </c>
      <c r="I14" s="650">
        <f>Nøgletal!K148</f>
        <v>0</v>
      </c>
      <c r="J14" s="649">
        <f>Nøgletal!L148</f>
        <v>0</v>
      </c>
      <c r="K14" s="650">
        <f>Nøgletal!M148</f>
        <v>0</v>
      </c>
      <c r="L14" s="649">
        <f>Nøgletal!N148</f>
        <v>0</v>
      </c>
      <c r="M14" s="650">
        <f>Nøgletal!O148</f>
        <v>0</v>
      </c>
      <c r="N14" s="649">
        <f>Nøgletal!P148</f>
        <v>0</v>
      </c>
      <c r="O14" s="650">
        <f>Nøgletal!Q148</f>
        <v>0</v>
      </c>
      <c r="P14" s="590">
        <f>Nøgletal!R148</f>
        <v>0</v>
      </c>
      <c r="Q14" s="598">
        <f>Nøgletal!S148</f>
        <v>0</v>
      </c>
      <c r="R14" s="594">
        <f>P14*(1+S14)^(R$2-P$2)</f>
        <v>0</v>
      </c>
      <c r="S14" s="592">
        <v>0</v>
      </c>
      <c r="T14" s="594">
        <f>P14*(1+U14)^(T$2-P$2)</f>
        <v>0</v>
      </c>
      <c r="U14" s="592">
        <v>0</v>
      </c>
      <c r="V14" s="646">
        <f>'BF - overblik beregning'!H7</f>
        <v>0</v>
      </c>
    </row>
    <row r="15" spans="1:29" x14ac:dyDescent="0.25">
      <c r="A15" s="629" t="s">
        <v>268</v>
      </c>
      <c r="B15" s="604"/>
      <c r="C15" s="604"/>
      <c r="D15" s="604"/>
      <c r="E15" s="667"/>
      <c r="F15" s="604"/>
      <c r="G15" s="667"/>
      <c r="H15" s="604"/>
      <c r="I15" s="667"/>
      <c r="J15" s="604"/>
      <c r="K15" s="667"/>
      <c r="L15" s="604"/>
      <c r="M15" s="667"/>
      <c r="N15" s="604"/>
      <c r="O15" s="667"/>
      <c r="Q15" s="656"/>
      <c r="V15" s="604"/>
    </row>
    <row r="16" spans="1:29" x14ac:dyDescent="0.25">
      <c r="A16" s="631" t="s">
        <v>28</v>
      </c>
      <c r="B16" s="649">
        <f>Nøgletal!D180</f>
        <v>100.70557936904856</v>
      </c>
      <c r="C16" s="649"/>
      <c r="D16" s="649">
        <f>Nøgletal!F180</f>
        <v>94.128197755970589</v>
      </c>
      <c r="E16" s="650">
        <f>Nøgletal!G180</f>
        <v>-3.2656490605025533E-2</v>
      </c>
      <c r="F16" s="649">
        <f>Nøgletal!H180</f>
        <v>98.309842677600017</v>
      </c>
      <c r="G16" s="650">
        <f>Nøgletal!I180</f>
        <v>4.442499719871864E-2</v>
      </c>
      <c r="H16" s="649">
        <f>Nøgletal!J180</f>
        <v>86.115109491879991</v>
      </c>
      <c r="I16" s="650">
        <f>Nøgletal!K180</f>
        <v>-6.2021934190820374E-2</v>
      </c>
      <c r="J16" s="649">
        <f>Nøgletal!L180</f>
        <v>71.644421548832028</v>
      </c>
      <c r="K16" s="650">
        <f>Nøgletal!M180</f>
        <v>-8.4019448087750734E-2</v>
      </c>
      <c r="L16" s="649">
        <f>Nøgletal!N180</f>
        <v>69.27148374801601</v>
      </c>
      <c r="M16" s="650">
        <f>Nøgletal!O180</f>
        <v>-1.6560520341410326E-2</v>
      </c>
      <c r="N16" s="649">
        <f>Nøgletal!P180</f>
        <v>50.952019695360008</v>
      </c>
      <c r="O16" s="650">
        <f>Nøgletal!Q180</f>
        <v>-0.1322294764126565</v>
      </c>
      <c r="P16" s="590">
        <f>Nøgletal!R180</f>
        <v>50.952019695360008</v>
      </c>
      <c r="Q16" s="598">
        <f>Nøgletal!S180</f>
        <v>0</v>
      </c>
      <c r="R16" s="594">
        <f>P16*(1+S16)^(R$2-P$2)</f>
        <v>50.952019695360008</v>
      </c>
      <c r="S16" s="592">
        <v>0</v>
      </c>
      <c r="T16" s="594">
        <f>P16*(1+U16)^(T$2-P$2)</f>
        <v>47.614134579549741</v>
      </c>
      <c r="U16" s="592">
        <v>-5.1983444847796267E-3</v>
      </c>
      <c r="V16" s="646">
        <f>'BF - overblik beregning'!H6</f>
        <v>-5.1983444847796267E-3</v>
      </c>
    </row>
    <row r="17" spans="1:22" x14ac:dyDescent="0.25">
      <c r="A17" s="629" t="s">
        <v>270</v>
      </c>
      <c r="B17" s="604"/>
      <c r="C17" s="604"/>
      <c r="D17" s="604"/>
      <c r="E17" s="667"/>
      <c r="F17" s="604"/>
      <c r="G17" s="667"/>
      <c r="H17" s="604"/>
      <c r="I17" s="667"/>
      <c r="J17" s="604"/>
      <c r="K17" s="667"/>
      <c r="L17" s="604"/>
      <c r="M17" s="667"/>
      <c r="N17" s="604"/>
      <c r="O17" s="667"/>
      <c r="Q17" s="656"/>
      <c r="V17" s="604"/>
    </row>
    <row r="18" spans="1:22" x14ac:dyDescent="0.25">
      <c r="A18" s="631" t="s">
        <v>28</v>
      </c>
      <c r="B18" s="649">
        <f>Nøgletal!D210</f>
        <v>31.291796744010355</v>
      </c>
      <c r="C18" s="649"/>
      <c r="D18" s="649">
        <f>Nøgletal!F210</f>
        <v>36.203152983065607</v>
      </c>
      <c r="E18" s="650">
        <f>Nøgletal!G210</f>
        <v>7.8476737517402972E-2</v>
      </c>
      <c r="F18" s="649">
        <f>Nøgletal!H210</f>
        <v>37.357740217488001</v>
      </c>
      <c r="G18" s="650">
        <f>Nøgletal!I210</f>
        <v>3.1891897232333981E-2</v>
      </c>
      <c r="H18" s="649">
        <f>Nøgletal!J210</f>
        <v>26.361768211799998</v>
      </c>
      <c r="I18" s="650">
        <f>Nøgletal!K210</f>
        <v>-0.14717126814512915</v>
      </c>
      <c r="J18" s="649">
        <f>Nøgletal!L210</f>
        <v>24.424234618920007</v>
      </c>
      <c r="K18" s="650">
        <f>Nøgletal!M210</f>
        <v>-3.6748930824995189E-2</v>
      </c>
      <c r="L18" s="649">
        <f>Nøgletal!N210</f>
        <v>23.615278550459998</v>
      </c>
      <c r="M18" s="650">
        <f>Nøgletal!O210</f>
        <v>-1.6560520341410395E-2</v>
      </c>
      <c r="N18" s="649">
        <f>Nøgletal!P210</f>
        <v>23.883759232200003</v>
      </c>
      <c r="O18" s="650">
        <f>Nøgletal!Q210</f>
        <v>5.6844699325974178E-3</v>
      </c>
      <c r="P18" s="590">
        <f>Nøgletal!R210</f>
        <v>23.883759232200003</v>
      </c>
      <c r="Q18" s="598">
        <f>Nøgletal!S210</f>
        <v>0</v>
      </c>
      <c r="R18" s="594">
        <f>P18*(1+S18)^(R$2-P$2)</f>
        <v>23.883759232200003</v>
      </c>
      <c r="S18" s="592">
        <v>0</v>
      </c>
      <c r="T18" s="594">
        <f>P18*(1+U18)^(T$2-P$2)</f>
        <v>19.831563025433926</v>
      </c>
      <c r="U18" s="592">
        <v>-1.4200055811431134E-2</v>
      </c>
      <c r="V18" s="646">
        <f>'BF - overblik beregning'!H5</f>
        <v>-1.4200055811431134E-2</v>
      </c>
    </row>
    <row r="19" spans="1:22" x14ac:dyDescent="0.25">
      <c r="A19" s="629" t="s">
        <v>272</v>
      </c>
      <c r="B19" s="604"/>
      <c r="C19" s="604"/>
      <c r="D19" s="604"/>
      <c r="E19" s="667"/>
      <c r="F19" s="604"/>
      <c r="G19" s="667"/>
      <c r="H19" s="604"/>
      <c r="I19" s="667"/>
      <c r="J19" s="604"/>
      <c r="K19" s="667"/>
      <c r="L19" s="604"/>
      <c r="M19" s="667"/>
      <c r="N19" s="604"/>
      <c r="O19" s="667"/>
      <c r="Q19" s="656"/>
      <c r="V19" s="604"/>
    </row>
    <row r="20" spans="1:22" x14ac:dyDescent="0.25">
      <c r="A20" s="631" t="s">
        <v>28</v>
      </c>
      <c r="B20" s="649">
        <f>Nøgletal!D239</f>
        <v>0</v>
      </c>
      <c r="C20" s="649"/>
      <c r="D20" s="649">
        <f>Nøgletal!F239</f>
        <v>0</v>
      </c>
      <c r="E20" s="650">
        <f>Nøgletal!G239</f>
        <v>0</v>
      </c>
      <c r="F20" s="649">
        <f>Nøgletal!H239</f>
        <v>0</v>
      </c>
      <c r="G20" s="650">
        <f>Nøgletal!I239</f>
        <v>0</v>
      </c>
      <c r="H20" s="649">
        <f>Nøgletal!J239</f>
        <v>0</v>
      </c>
      <c r="I20" s="650">
        <f>Nøgletal!K239</f>
        <v>0</v>
      </c>
      <c r="J20" s="649">
        <f>Nøgletal!L239</f>
        <v>0</v>
      </c>
      <c r="K20" s="650">
        <f>Nøgletal!M239</f>
        <v>0</v>
      </c>
      <c r="L20" s="649">
        <f>Nøgletal!N239</f>
        <v>0</v>
      </c>
      <c r="M20" s="650">
        <f>Nøgletal!O239</f>
        <v>0</v>
      </c>
      <c r="N20" s="649">
        <f>Nøgletal!P239</f>
        <v>0</v>
      </c>
      <c r="O20" s="650">
        <f>Nøgletal!Q239</f>
        <v>0</v>
      </c>
      <c r="P20" s="590">
        <f>Nøgletal!R239</f>
        <v>0</v>
      </c>
      <c r="Q20" s="598">
        <f>Nøgletal!S239</f>
        <v>0</v>
      </c>
      <c r="R20" s="594">
        <f>P20*(1+S20)^(R$2-P$2)</f>
        <v>0</v>
      </c>
      <c r="S20" s="592">
        <v>0</v>
      </c>
      <c r="T20" s="594">
        <f>P20*(1+U20)^(T$2-P$2)</f>
        <v>0</v>
      </c>
      <c r="U20" s="592">
        <v>-1.4200055811431134E-2</v>
      </c>
      <c r="V20" s="646">
        <f>'BF - overblik beregning'!H5</f>
        <v>-1.4200055811431134E-2</v>
      </c>
    </row>
    <row r="21" spans="1:22" x14ac:dyDescent="0.25">
      <c r="A21" s="604"/>
      <c r="B21" s="604"/>
      <c r="C21" s="604"/>
      <c r="D21" s="604"/>
      <c r="E21" s="667"/>
      <c r="F21" s="604"/>
      <c r="G21" s="667"/>
      <c r="H21" s="604"/>
      <c r="I21" s="667"/>
      <c r="J21" s="604"/>
      <c r="K21" s="667"/>
      <c r="L21" s="604"/>
      <c r="M21" s="667"/>
      <c r="N21" s="604"/>
      <c r="O21" s="667"/>
      <c r="Q21" s="656"/>
      <c r="V21" s="604"/>
    </row>
    <row r="22" spans="1:22" x14ac:dyDescent="0.25">
      <c r="A22" s="629" t="s">
        <v>504</v>
      </c>
      <c r="B22" s="650">
        <f>Nøgletal!D295</f>
        <v>0.22799999999999998</v>
      </c>
      <c r="C22" s="650"/>
      <c r="D22" s="650">
        <f>Nøgletal!F295</f>
        <v>0.22799999999999998</v>
      </c>
      <c r="E22" s="650"/>
      <c r="F22" s="650">
        <f>Nøgletal!H295</f>
        <v>0.22799999999999998</v>
      </c>
      <c r="G22" s="650"/>
      <c r="H22" s="650">
        <f>Nøgletal!J295</f>
        <v>0.22799999999999998</v>
      </c>
      <c r="I22" s="650"/>
      <c r="J22" s="650">
        <f>Nøgletal!L295</f>
        <v>0.22799999999999998</v>
      </c>
      <c r="K22" s="650"/>
      <c r="L22" s="650">
        <f>Nøgletal!N295</f>
        <v>0.22799999999999998</v>
      </c>
      <c r="M22" s="650"/>
      <c r="N22" s="650">
        <f>Nøgletal!P295</f>
        <v>0.20599999999999996</v>
      </c>
      <c r="O22" s="650"/>
      <c r="P22" s="598">
        <f>Nøgletal!R295</f>
        <v>0.20599999999999996</v>
      </c>
      <c r="Q22" s="598"/>
      <c r="R22" s="599">
        <v>0.21</v>
      </c>
      <c r="S22" s="598"/>
      <c r="T22" s="599">
        <v>0.23429381199811056</v>
      </c>
      <c r="U22" s="598"/>
      <c r="V22" s="648">
        <f>'BF - overblik beregning'!B40</f>
        <v>0.23429381199811056</v>
      </c>
    </row>
    <row r="23" spans="1:22" ht="15" hidden="1" customHeight="1" x14ac:dyDescent="0.25">
      <c r="A23" s="629" t="s">
        <v>505</v>
      </c>
      <c r="B23" s="650">
        <v>0.22799999999999998</v>
      </c>
      <c r="C23" s="650"/>
      <c r="D23" s="650">
        <v>0.22799999999999998</v>
      </c>
      <c r="E23" s="650"/>
      <c r="F23" s="650">
        <v>0.22799999999999998</v>
      </c>
      <c r="G23" s="650"/>
      <c r="H23" s="650">
        <v>0.22799999999999998</v>
      </c>
      <c r="I23" s="650"/>
      <c r="J23" s="650">
        <v>0.22799999999999998</v>
      </c>
      <c r="K23" s="650"/>
      <c r="L23" s="650">
        <v>0.22799999999999998</v>
      </c>
      <c r="M23" s="650"/>
      <c r="N23" s="650"/>
      <c r="O23" s="650"/>
      <c r="P23" s="598"/>
      <c r="Q23" s="598"/>
      <c r="R23" s="599">
        <f>R$22</f>
        <v>0.21</v>
      </c>
      <c r="S23" s="598"/>
      <c r="T23" s="599">
        <f>T$22</f>
        <v>0.23429381199811056</v>
      </c>
      <c r="U23" s="598"/>
    </row>
    <row r="24" spans="1:22" ht="15" hidden="1" customHeight="1" x14ac:dyDescent="0.25">
      <c r="A24" s="629" t="s">
        <v>506</v>
      </c>
      <c r="B24" s="650">
        <v>0.22799999999999998</v>
      </c>
      <c r="C24" s="650"/>
      <c r="D24" s="650">
        <v>0.22799999999999998</v>
      </c>
      <c r="E24" s="650"/>
      <c r="F24" s="650">
        <v>0.22799999999999998</v>
      </c>
      <c r="G24" s="650"/>
      <c r="H24" s="650">
        <v>0.22799999999999998</v>
      </c>
      <c r="I24" s="650"/>
      <c r="J24" s="650">
        <v>0.22799999999999998</v>
      </c>
      <c r="K24" s="650"/>
      <c r="L24" s="650">
        <v>0.22799999999999998</v>
      </c>
      <c r="M24" s="650"/>
      <c r="N24" s="650"/>
      <c r="O24" s="650"/>
      <c r="P24" s="598"/>
      <c r="Q24" s="598"/>
      <c r="R24" s="599">
        <f t="shared" ref="R24:T27" si="0">R$22</f>
        <v>0.21</v>
      </c>
      <c r="S24" s="598"/>
      <c r="T24" s="599">
        <f t="shared" si="0"/>
        <v>0.23429381199811056</v>
      </c>
      <c r="U24" s="598"/>
    </row>
    <row r="25" spans="1:22" ht="15" hidden="1" customHeight="1" x14ac:dyDescent="0.25">
      <c r="A25" s="629" t="s">
        <v>507</v>
      </c>
      <c r="B25" s="650">
        <v>0.22799999999999998</v>
      </c>
      <c r="C25" s="650"/>
      <c r="D25" s="650">
        <v>0.22799999999999998</v>
      </c>
      <c r="E25" s="650"/>
      <c r="F25" s="650">
        <v>0.22799999999999998</v>
      </c>
      <c r="G25" s="650"/>
      <c r="H25" s="650">
        <v>0.22799999999999998</v>
      </c>
      <c r="I25" s="650"/>
      <c r="J25" s="650">
        <v>0.22799999999999998</v>
      </c>
      <c r="K25" s="650"/>
      <c r="L25" s="650">
        <v>0.22799999999999998</v>
      </c>
      <c r="M25" s="650"/>
      <c r="N25" s="650"/>
      <c r="O25" s="650"/>
      <c r="P25" s="598"/>
      <c r="Q25" s="598"/>
      <c r="R25" s="599">
        <f t="shared" si="0"/>
        <v>0.21</v>
      </c>
      <c r="S25" s="598"/>
      <c r="T25" s="599">
        <f t="shared" si="0"/>
        <v>0.23429381199811056</v>
      </c>
      <c r="U25" s="598"/>
    </row>
    <row r="26" spans="1:22" ht="15" hidden="1" customHeight="1" x14ac:dyDescent="0.25">
      <c r="A26" s="629" t="s">
        <v>503</v>
      </c>
      <c r="B26" s="650">
        <v>0.22799999999999998</v>
      </c>
      <c r="C26" s="650"/>
      <c r="D26" s="650">
        <v>0.22799999999999998</v>
      </c>
      <c r="E26" s="650"/>
      <c r="F26" s="650">
        <v>0.22799999999999998</v>
      </c>
      <c r="G26" s="650"/>
      <c r="H26" s="650">
        <v>0.22799999999999998</v>
      </c>
      <c r="I26" s="650"/>
      <c r="J26" s="650">
        <v>0.22799999999999998</v>
      </c>
      <c r="K26" s="650"/>
      <c r="L26" s="650">
        <v>0.22799999999999998</v>
      </c>
      <c r="M26" s="650"/>
      <c r="N26" s="650"/>
      <c r="O26" s="650"/>
      <c r="P26" s="598"/>
      <c r="Q26" s="598"/>
      <c r="R26" s="599">
        <f t="shared" si="0"/>
        <v>0.21</v>
      </c>
      <c r="S26" s="598"/>
      <c r="T26" s="599">
        <f t="shared" si="0"/>
        <v>0.23429381199811056</v>
      </c>
      <c r="U26" s="598"/>
    </row>
    <row r="27" spans="1:22" ht="15" hidden="1" customHeight="1" x14ac:dyDescent="0.25">
      <c r="A27" s="629" t="s">
        <v>508</v>
      </c>
      <c r="B27" s="650">
        <v>0.22799999999999998</v>
      </c>
      <c r="C27" s="650"/>
      <c r="D27" s="650">
        <v>0.22799999999999998</v>
      </c>
      <c r="E27" s="650"/>
      <c r="F27" s="650">
        <v>0.22799999999999998</v>
      </c>
      <c r="G27" s="650"/>
      <c r="H27" s="650">
        <v>0.22799999999999998</v>
      </c>
      <c r="I27" s="650"/>
      <c r="J27" s="650">
        <v>0.22799999999999998</v>
      </c>
      <c r="K27" s="650"/>
      <c r="L27" s="650">
        <v>0.22799999999999998</v>
      </c>
      <c r="M27" s="650"/>
      <c r="N27" s="650"/>
      <c r="O27" s="650"/>
      <c r="P27" s="598"/>
      <c r="Q27" s="598"/>
      <c r="R27" s="599">
        <f t="shared" si="0"/>
        <v>0.21</v>
      </c>
      <c r="S27" s="598"/>
      <c r="T27" s="599">
        <f t="shared" si="0"/>
        <v>0.23429381199811056</v>
      </c>
      <c r="U27" s="598"/>
    </row>
    <row r="28" spans="1:22" x14ac:dyDescent="0.25">
      <c r="A28" s="604"/>
      <c r="B28" s="604"/>
      <c r="C28" s="604"/>
      <c r="D28" s="604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04"/>
    </row>
    <row r="29" spans="1:22" x14ac:dyDescent="0.25">
      <c r="A29" s="604"/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</row>
  </sheetData>
  <sheetProtection algorithmName="SHA-512" hashValue="+nzuihyoYBImCoqJSZNrXt7Jea7G1KCbaWyNPPWHJUuwXB66RFCUaRBLh+qf06yLArCF4A4T01+GBVkS6i0BJA==" saltValue="jo30/xu0gBykllaFHdbgzA==" spinCount="100000" sheet="1" objects="1" scenarios="1"/>
  <protectedRanges>
    <protectedRange algorithmName="SHA-512" hashValue="PyHIthzOTlOxvs6W9/8oNYZ9zL+lQVpO5jLm6mx4yKL1Jbm+87K85KGmTg3olu62zoieXnUM/2RLztY6ZD/4vw==" saltValue="yHpOPQHavbR9uTaR9H+qPQ==" spinCount="100000" sqref="A1:Q1048576" name="Område2"/>
    <protectedRange algorithmName="SHA-512" hashValue="VMGxHQ09/FboGoU9Q5dBhzVaE6AbssOqXbm7M37xKIMqFCKVB8l+IfBIhUAmyZL/cGhX25xaUF80JIa2HeX31A==" saltValue="ggskpTf6UOHCY0nFMBnZwQ==" spinCount="100000" sqref="V6:V22" name="Område1"/>
  </protectedRanges>
  <mergeCells count="32">
    <mergeCell ref="B4:C4"/>
    <mergeCell ref="D4:E4"/>
    <mergeCell ref="F4:G4"/>
    <mergeCell ref="H4:I4"/>
    <mergeCell ref="J4:K4"/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  <mergeCell ref="L2:M2"/>
    <mergeCell ref="L3:M3"/>
    <mergeCell ref="L4:M4"/>
    <mergeCell ref="N2:O2"/>
    <mergeCell ref="N3:O3"/>
    <mergeCell ref="N4:O4"/>
    <mergeCell ref="T1:U1"/>
    <mergeCell ref="R1:S1"/>
    <mergeCell ref="P2:Q2"/>
    <mergeCell ref="P3:Q3"/>
    <mergeCell ref="P4:Q4"/>
    <mergeCell ref="T2:U2"/>
    <mergeCell ref="T3:U3"/>
    <mergeCell ref="T4:U4"/>
    <mergeCell ref="R4:S4"/>
    <mergeCell ref="R3:S3"/>
    <mergeCell ref="R2:S2"/>
  </mergeCells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13"/>
  <dimension ref="A1:Z91"/>
  <sheetViews>
    <sheetView workbookViewId="0">
      <pane ySplit="1" topLeftCell="A2" activePane="bottomLeft" state="frozen"/>
      <selection pane="bottomLeft" activeCell="AA33" sqref="AA33"/>
    </sheetView>
  </sheetViews>
  <sheetFormatPr defaultRowHeight="15" x14ac:dyDescent="0.25"/>
  <cols>
    <col min="1" max="1" width="51" style="582" customWidth="1"/>
    <col min="2" max="4" width="9.140625" style="582" hidden="1" customWidth="1"/>
    <col min="5" max="5" width="13.42578125" style="582" hidden="1" customWidth="1"/>
    <col min="6" max="6" width="9.140625" style="582" hidden="1" customWidth="1"/>
    <col min="7" max="7" width="15" style="582" hidden="1" customWidth="1"/>
    <col min="8" max="8" width="9.140625" style="582" hidden="1" customWidth="1"/>
    <col min="9" max="9" width="13.7109375" style="582" hidden="1" customWidth="1"/>
    <col min="10" max="10" width="9.140625" style="582" customWidth="1"/>
    <col min="11" max="11" width="13.28515625" style="582" customWidth="1"/>
    <col min="12" max="12" width="9.140625" style="582"/>
    <col min="13" max="13" width="13.42578125" style="582" customWidth="1"/>
    <col min="14" max="15" width="9.140625" style="582" customWidth="1"/>
    <col min="16" max="17" width="9.140625" style="582" hidden="1" customWidth="1"/>
    <col min="18" max="18" width="9.140625" style="582"/>
    <col min="19" max="19" width="13.7109375" style="582" customWidth="1"/>
    <col min="20" max="20" width="9.140625" style="582"/>
    <col min="21" max="21" width="13.7109375" style="582" customWidth="1"/>
    <col min="22" max="22" width="19.85546875" style="582" customWidth="1"/>
    <col min="23" max="23" width="9.140625" style="582"/>
    <col min="24" max="24" width="11.42578125" style="582" customWidth="1"/>
    <col min="25" max="25" width="9.85546875" style="582" customWidth="1"/>
    <col min="26" max="26" width="12" style="582" customWidth="1"/>
    <col min="27" max="16384" width="9.140625" style="582"/>
  </cols>
  <sheetData>
    <row r="1" spans="1:26" x14ac:dyDescent="0.25">
      <c r="A1" s="604" t="s">
        <v>792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R1" s="778">
        <f>Nøgletal!$T2</f>
        <v>379.27115877733439</v>
      </c>
      <c r="S1" s="779"/>
      <c r="T1" s="778">
        <f>Nøgletal!$V2</f>
        <v>255.10348315360176</v>
      </c>
      <c r="U1" s="778"/>
      <c r="V1" s="604" t="s">
        <v>675</v>
      </c>
      <c r="W1" s="603"/>
      <c r="X1" s="604" t="s">
        <v>801</v>
      </c>
      <c r="Y1" s="641">
        <f>Nøgletal!$R2*0.4</f>
        <v>152.00699862265944</v>
      </c>
      <c r="Z1" s="582" t="s">
        <v>803</v>
      </c>
    </row>
    <row r="2" spans="1:26" x14ac:dyDescent="0.25">
      <c r="A2" s="604"/>
      <c r="B2" s="784">
        <v>2006</v>
      </c>
      <c r="C2" s="784"/>
      <c r="D2" s="784">
        <v>2008</v>
      </c>
      <c r="E2" s="784"/>
      <c r="F2" s="784">
        <v>2009</v>
      </c>
      <c r="G2" s="784"/>
      <c r="H2" s="784">
        <v>2011</v>
      </c>
      <c r="I2" s="784"/>
      <c r="J2" s="784">
        <v>2013</v>
      </c>
      <c r="K2" s="784"/>
      <c r="L2" s="766">
        <v>2015</v>
      </c>
      <c r="M2" s="766"/>
      <c r="N2" s="766">
        <v>2017</v>
      </c>
      <c r="O2" s="766"/>
      <c r="P2" s="787">
        <v>2017</v>
      </c>
      <c r="Q2" s="787"/>
      <c r="R2" s="779">
        <v>2025</v>
      </c>
      <c r="S2" s="779"/>
      <c r="T2" s="779">
        <v>2030</v>
      </c>
      <c r="U2" s="779"/>
      <c r="V2" s="604"/>
      <c r="W2" s="604"/>
      <c r="X2" s="604"/>
      <c r="Y2" s="604"/>
    </row>
    <row r="3" spans="1:26" ht="18" x14ac:dyDescent="0.35">
      <c r="A3" s="604" t="s">
        <v>802</v>
      </c>
      <c r="B3" s="782">
        <f>Nøgletal!D12</f>
        <v>146.70610370499995</v>
      </c>
      <c r="C3" s="782"/>
      <c r="D3" s="782">
        <f>Nøgletal!F12</f>
        <v>143.70349713799996</v>
      </c>
      <c r="E3" s="782"/>
      <c r="F3" s="782">
        <f>Nøgletal!H12</f>
        <v>140.25137109599993</v>
      </c>
      <c r="G3" s="782"/>
      <c r="H3" s="782">
        <f>Nøgletal!J12</f>
        <v>135.72037054599997</v>
      </c>
      <c r="I3" s="782"/>
      <c r="J3" s="782">
        <f>Nøgletal!L12</f>
        <v>127.8770987828587</v>
      </c>
      <c r="K3" s="782"/>
      <c r="L3" s="768">
        <f>Nøgletal!N12</f>
        <v>131.90101328739519</v>
      </c>
      <c r="M3" s="768"/>
      <c r="N3" s="768">
        <f>Nøgletal!P12</f>
        <v>139.00561009628302</v>
      </c>
      <c r="O3" s="768"/>
      <c r="P3" s="788">
        <f>Nøgletal!R12</f>
        <v>139.00561009628302</v>
      </c>
      <c r="Q3" s="788"/>
      <c r="R3" s="780">
        <f>Nøgletal!T12</f>
        <v>137.8967173806864</v>
      </c>
      <c r="S3" s="780"/>
      <c r="T3" s="780">
        <f>Nøgletal!V12</f>
        <v>136.84210698362907</v>
      </c>
      <c r="U3" s="780"/>
      <c r="V3" s="604"/>
      <c r="W3" s="604"/>
      <c r="X3" s="604"/>
      <c r="Y3" s="604"/>
    </row>
    <row r="4" spans="1:26" ht="18" x14ac:dyDescent="0.35">
      <c r="A4" s="604" t="s">
        <v>539</v>
      </c>
      <c r="B4" s="783">
        <f>Nøgletal!E12</f>
        <v>0.31939424128574917</v>
      </c>
      <c r="C4" s="783"/>
      <c r="D4" s="783">
        <f>Nøgletal!G12</f>
        <v>0.27938055446470239</v>
      </c>
      <c r="E4" s="783"/>
      <c r="F4" s="783">
        <f>Nøgletal!I12</f>
        <v>0.28331037900210931</v>
      </c>
      <c r="G4" s="783"/>
      <c r="H4" s="783">
        <f>Nøgletal!K12</f>
        <v>0.31554988967959813</v>
      </c>
      <c r="I4" s="783"/>
      <c r="J4" s="783">
        <f>Nøgletal!M12</f>
        <v>0.29979198486824982</v>
      </c>
      <c r="K4" s="783"/>
      <c r="L4" s="769">
        <f>Nøgletal!O12</f>
        <v>0.32292009269719196</v>
      </c>
      <c r="M4" s="769"/>
      <c r="N4" s="769">
        <f>Nøgletal!Q12</f>
        <v>0.36578739493791096</v>
      </c>
      <c r="O4" s="769"/>
      <c r="P4" s="789">
        <f>Nøgletal!S12</f>
        <v>0.36578739493791096</v>
      </c>
      <c r="Q4" s="789"/>
      <c r="R4" s="781">
        <f>Nøgletal!U12</f>
        <v>0.36358345260216302</v>
      </c>
      <c r="S4" s="781"/>
      <c r="T4" s="781">
        <f>Nøgletal!W12</f>
        <v>0.53641802648862424</v>
      </c>
      <c r="U4" s="781"/>
      <c r="V4" s="604"/>
      <c r="W4" s="604"/>
      <c r="X4" s="604"/>
      <c r="Y4" s="604"/>
    </row>
    <row r="5" spans="1:26" x14ac:dyDescent="0.25">
      <c r="A5" s="673" t="s">
        <v>644</v>
      </c>
      <c r="B5" s="604"/>
      <c r="C5" s="604"/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</row>
    <row r="6" spans="1:26" x14ac:dyDescent="0.25">
      <c r="A6" s="673" t="s">
        <v>645</v>
      </c>
      <c r="B6" s="604"/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</row>
    <row r="7" spans="1:26" x14ac:dyDescent="0.25">
      <c r="A7" s="604"/>
      <c r="B7" s="666" t="s">
        <v>0</v>
      </c>
      <c r="C7" s="666"/>
      <c r="D7" s="666" t="s">
        <v>0</v>
      </c>
      <c r="E7" s="666" t="s">
        <v>491</v>
      </c>
      <c r="F7" s="666" t="s">
        <v>0</v>
      </c>
      <c r="G7" s="666" t="s">
        <v>491</v>
      </c>
      <c r="H7" s="666" t="s">
        <v>0</v>
      </c>
      <c r="I7" s="666" t="s">
        <v>491</v>
      </c>
      <c r="J7" s="666" t="s">
        <v>0</v>
      </c>
      <c r="K7" s="666" t="s">
        <v>491</v>
      </c>
      <c r="L7" s="666" t="s">
        <v>0</v>
      </c>
      <c r="M7" s="666" t="s">
        <v>491</v>
      </c>
      <c r="N7" s="624"/>
      <c r="O7" s="624"/>
      <c r="P7" s="585"/>
      <c r="Q7" s="585"/>
      <c r="R7" s="655" t="s">
        <v>0</v>
      </c>
      <c r="S7" s="655" t="s">
        <v>491</v>
      </c>
      <c r="T7" s="655" t="s">
        <v>0</v>
      </c>
      <c r="U7" s="655" t="s">
        <v>491</v>
      </c>
      <c r="V7" s="666" t="s">
        <v>807</v>
      </c>
    </row>
    <row r="8" spans="1:26" x14ac:dyDescent="0.25">
      <c r="A8" s="629" t="s">
        <v>239</v>
      </c>
      <c r="B8" s="649">
        <f>Nøgletal!D282</f>
        <v>537.08569999999986</v>
      </c>
      <c r="C8" s="649"/>
      <c r="D8" s="649">
        <f>Nøgletal!F282</f>
        <v>526.20609999999999</v>
      </c>
      <c r="E8" s="650">
        <f>Nøgletal!G282</f>
        <v>-1.0128364989050976E-2</v>
      </c>
      <c r="F8" s="649">
        <f>Nøgletal!H282</f>
        <v>510.41699999999997</v>
      </c>
      <c r="G8" s="650">
        <f>Nøgletal!I282</f>
        <v>-3.0005543455311558E-2</v>
      </c>
      <c r="H8" s="649">
        <f>Nøgletal!J282</f>
        <v>512.10055</v>
      </c>
      <c r="I8" s="650">
        <f>Nøgletal!K282</f>
        <v>1.6491907597121816E-3</v>
      </c>
      <c r="J8" s="649">
        <f>Nøgletal!L282</f>
        <v>489.83180143718272</v>
      </c>
      <c r="K8" s="650">
        <f>Nøgletal!M282</f>
        <v>-2.1742554819378031E-2</v>
      </c>
      <c r="L8" s="649">
        <f>Nøgletal!N282</f>
        <v>505.78464116000566</v>
      </c>
      <c r="M8" s="650">
        <f>Nøgletal!O282</f>
        <v>1.6283997564078917E-2</v>
      </c>
      <c r="N8" s="649">
        <f>Nøgletal!P282</f>
        <v>537.1857</v>
      </c>
      <c r="O8" s="650">
        <f>Nøgletal!Q282</f>
        <v>3.1041926033950649E-2</v>
      </c>
      <c r="P8" s="590">
        <f>Nøgletal!R282</f>
        <v>537.1857</v>
      </c>
      <c r="Q8" s="598">
        <f>Nøgletal!S282</f>
        <v>0</v>
      </c>
      <c r="R8" s="594">
        <f>P8*(1+S8)^(R$2-P$2)</f>
        <v>537.1857</v>
      </c>
      <c r="S8" s="592">
        <v>0</v>
      </c>
      <c r="T8" s="594">
        <f>P8*(1+U8)^(T$2-P$2)</f>
        <v>540.67086889092707</v>
      </c>
      <c r="U8" s="592">
        <v>4.9757555675955523E-4</v>
      </c>
      <c r="V8" s="646">
        <f>'BF - transport'!B62</f>
        <v>4.9757555675955523E-4</v>
      </c>
    </row>
    <row r="9" spans="1:26" x14ac:dyDescent="0.25">
      <c r="A9" s="631" t="s">
        <v>530</v>
      </c>
      <c r="B9" s="649" t="s">
        <v>527</v>
      </c>
      <c r="C9" s="650"/>
      <c r="D9" s="649" t="s">
        <v>527</v>
      </c>
      <c r="E9" s="650"/>
      <c r="F9" s="649" t="s">
        <v>527</v>
      </c>
      <c r="G9" s="650"/>
      <c r="H9" s="649" t="s">
        <v>527</v>
      </c>
      <c r="I9" s="650"/>
      <c r="J9" s="649" t="s">
        <v>527</v>
      </c>
      <c r="K9" s="650"/>
      <c r="L9" s="649" t="s">
        <v>527</v>
      </c>
      <c r="M9" s="650"/>
      <c r="N9" s="649"/>
      <c r="O9" s="650"/>
      <c r="P9" s="590"/>
      <c r="Q9" s="598"/>
      <c r="R9" s="590" t="s">
        <v>527</v>
      </c>
      <c r="S9" s="586"/>
      <c r="T9" s="590" t="s">
        <v>527</v>
      </c>
      <c r="U9" s="586"/>
      <c r="V9" s="604"/>
    </row>
    <row r="10" spans="1:26" x14ac:dyDescent="0.25">
      <c r="A10" s="604" t="s">
        <v>499</v>
      </c>
      <c r="B10" s="650">
        <f>Nøgletal!D285</f>
        <v>4.513990970156161E-3</v>
      </c>
      <c r="C10" s="650"/>
      <c r="D10" s="650">
        <f>Nøgletal!F285</f>
        <v>3.697410577338424E-3</v>
      </c>
      <c r="E10" s="650"/>
      <c r="F10" s="650">
        <f>Nøgletal!H285</f>
        <v>3.3055325351624264E-3</v>
      </c>
      <c r="G10" s="650"/>
      <c r="H10" s="650">
        <f>Nøgletal!J285</f>
        <v>3.1610979523454914E-3</v>
      </c>
      <c r="I10" s="650"/>
      <c r="J10" s="650">
        <f>Nøgletal!L285</f>
        <v>3.1628651486312791E-3</v>
      </c>
      <c r="K10" s="650"/>
      <c r="L10" s="650">
        <f>Nøgletal!N285</f>
        <v>3.1404670500809208E-3</v>
      </c>
      <c r="M10" s="650"/>
      <c r="N10" s="650">
        <f>Nøgletal!P285</f>
        <v>3.147887220378353E-3</v>
      </c>
      <c r="O10" s="650"/>
      <c r="P10" s="598">
        <f>Nøgletal!R285</f>
        <v>3.147887220378353E-3</v>
      </c>
      <c r="Q10" s="598"/>
      <c r="R10" s="599">
        <v>4.1725715825914333E-3</v>
      </c>
      <c r="S10" s="598"/>
      <c r="T10" s="599">
        <v>0</v>
      </c>
      <c r="U10" s="590"/>
      <c r="V10" s="648">
        <v>0</v>
      </c>
      <c r="Y10" s="664"/>
      <c r="Z10" s="593"/>
    </row>
    <row r="11" spans="1:26" x14ac:dyDescent="0.25">
      <c r="A11" s="604" t="s">
        <v>621</v>
      </c>
      <c r="B11" s="650">
        <f>Nøgletal!D284+Nøgletal!D286+Nøgletal!D287</f>
        <v>0.35570207883025007</v>
      </c>
      <c r="C11" s="650"/>
      <c r="D11" s="650">
        <f>Nøgletal!F284+Nøgletal!F286+Nøgletal!F287</f>
        <v>0.38653295733363791</v>
      </c>
      <c r="E11" s="650"/>
      <c r="F11" s="650">
        <f>Nøgletal!H284+Nøgletal!H286+Nøgletal!H287</f>
        <v>0.38463158554671967</v>
      </c>
      <c r="G11" s="650"/>
      <c r="H11" s="650">
        <f>Nøgletal!J284+Nøgletal!J286+Nøgletal!J287</f>
        <v>0.38024466093621656</v>
      </c>
      <c r="I11" s="650"/>
      <c r="J11" s="650">
        <f>Nøgletal!L284+Nøgletal!L286+Nøgletal!L287</f>
        <v>0.40914452555343395</v>
      </c>
      <c r="K11" s="650"/>
      <c r="L11" s="650">
        <f>Nøgletal!N284+Nøgletal!N286+Nøgletal!N287</f>
        <v>0.40788110830502011</v>
      </c>
      <c r="M11" s="650"/>
      <c r="N11" s="650">
        <f>Nøgletal!P284+Nøgletal!P286+Nøgletal!P287</f>
        <v>0.39539027193017229</v>
      </c>
      <c r="O11" s="649">
        <f>N8*N11</f>
        <v>212.39799999999994</v>
      </c>
      <c r="P11" s="598">
        <f>Nøgletal!R284+Nøgletal!R286+Nøgletal!R287</f>
        <v>0.39539027193017229</v>
      </c>
      <c r="Q11" s="590">
        <f>P8*P11</f>
        <v>212.39799999999994</v>
      </c>
      <c r="R11" s="644">
        <f>1-R10-R12-R13-R14-R15-R16-R17</f>
        <v>0.39436558756795925</v>
      </c>
      <c r="S11" s="650"/>
      <c r="T11" s="644">
        <f>1-T10-T12-T13-T14-T15-T16-T17</f>
        <v>0.47976352887676249</v>
      </c>
      <c r="U11" s="590"/>
      <c r="V11" s="648">
        <f>'BF - transport'!O4</f>
        <v>0.4797635288767621</v>
      </c>
      <c r="Y11" s="664"/>
      <c r="Z11" s="593"/>
    </row>
    <row r="12" spans="1:26" x14ac:dyDescent="0.25">
      <c r="A12" s="604" t="s">
        <v>244</v>
      </c>
      <c r="B12" s="650">
        <f>Nøgletal!D288</f>
        <v>8.6578361702797174E-2</v>
      </c>
      <c r="C12" s="650"/>
      <c r="D12" s="650">
        <f>Nøgletal!F288</f>
        <v>8.2728991549128758E-2</v>
      </c>
      <c r="E12" s="650"/>
      <c r="F12" s="650">
        <f>Nøgletal!H288</f>
        <v>9.6739528659899654E-2</v>
      </c>
      <c r="G12" s="650"/>
      <c r="H12" s="650">
        <f>Nøgletal!J288</f>
        <v>9.6720751422743043E-2</v>
      </c>
      <c r="I12" s="650"/>
      <c r="J12" s="650">
        <f>Nøgletal!L288</f>
        <v>8.2094506485726734E-2</v>
      </c>
      <c r="K12" s="650"/>
      <c r="L12" s="650">
        <f>Nøgletal!N288</f>
        <v>8.0824913754286104E-2</v>
      </c>
      <c r="M12" s="650"/>
      <c r="N12" s="650">
        <f>Nøgletal!P288</f>
        <v>7.9455763621406883E-2</v>
      </c>
      <c r="O12" s="650"/>
      <c r="P12" s="598">
        <f>Nøgletal!R288</f>
        <v>7.9455763621406883E-2</v>
      </c>
      <c r="Q12" s="598"/>
      <c r="R12" s="599">
        <v>7.9455763621406883E-2</v>
      </c>
      <c r="S12" s="598"/>
      <c r="T12" s="599">
        <v>0.13415188722146426</v>
      </c>
      <c r="U12" s="590"/>
      <c r="V12" s="648">
        <f>'BF - transport'!O12</f>
        <v>0.13415188722146426</v>
      </c>
      <c r="Y12" s="664"/>
      <c r="Z12" s="593"/>
    </row>
    <row r="13" spans="1:26" x14ac:dyDescent="0.25">
      <c r="A13" s="604" t="s">
        <v>246</v>
      </c>
      <c r="B13" s="650">
        <f>Nøgletal!D289</f>
        <v>9.8308333288337438E-3</v>
      </c>
      <c r="C13" s="650"/>
      <c r="D13" s="650">
        <f>Nøgletal!F289</f>
        <v>1.0071719046966578E-2</v>
      </c>
      <c r="E13" s="650"/>
      <c r="F13" s="650">
        <f>Nøgletal!H289</f>
        <v>7.9329254315589001E-3</v>
      </c>
      <c r="G13" s="650"/>
      <c r="H13" s="650">
        <f>Nøgletal!J289</f>
        <v>1.152840003784413E-2</v>
      </c>
      <c r="I13" s="650"/>
      <c r="J13" s="650">
        <f>Nøgletal!L289</f>
        <v>1.7846330055238478E-2</v>
      </c>
      <c r="K13" s="650"/>
      <c r="L13" s="650">
        <f>Nøgletal!N289</f>
        <v>1.8940670040965887E-2</v>
      </c>
      <c r="M13" s="650"/>
      <c r="N13" s="650">
        <f>Nøgletal!P289</f>
        <v>3.016275377397425E-2</v>
      </c>
      <c r="O13" s="650"/>
      <c r="P13" s="598">
        <f>Nøgletal!R289</f>
        <v>3.016275377397425E-2</v>
      </c>
      <c r="Q13" s="598"/>
      <c r="R13" s="599">
        <v>3.016275377397425E-2</v>
      </c>
      <c r="S13" s="598"/>
      <c r="T13" s="599">
        <v>2.9104138244656654E-2</v>
      </c>
      <c r="U13" s="590"/>
      <c r="V13" s="648">
        <f>'BF - transport'!O26</f>
        <v>2.9104138244656654E-2</v>
      </c>
      <c r="Y13" s="664"/>
      <c r="Z13" s="593"/>
    </row>
    <row r="14" spans="1:26" x14ac:dyDescent="0.25">
      <c r="A14" s="604" t="s">
        <v>248</v>
      </c>
      <c r="B14" s="650">
        <f>Nøgletal!D290</f>
        <v>0.26866438633536516</v>
      </c>
      <c r="C14" s="650"/>
      <c r="D14" s="650">
        <f>Nøgletal!F290</f>
        <v>0.2271091118099923</v>
      </c>
      <c r="E14" s="650"/>
      <c r="F14" s="650">
        <f>Nøgletal!H290</f>
        <v>0.23914505198690478</v>
      </c>
      <c r="G14" s="650"/>
      <c r="H14" s="650">
        <f>Nøgletal!J290</f>
        <v>0.2296400579925173</v>
      </c>
      <c r="I14" s="650"/>
      <c r="J14" s="650">
        <f>Nøgletal!L290</f>
        <v>0.20308705908462205</v>
      </c>
      <c r="K14" s="650"/>
      <c r="L14" s="650">
        <f>Nøgletal!N290</f>
        <v>0.20878451302477033</v>
      </c>
      <c r="M14" s="650"/>
      <c r="N14" s="650">
        <f>Nøgletal!P290</f>
        <v>0.20315321126381436</v>
      </c>
      <c r="O14" s="650"/>
      <c r="P14" s="598">
        <f>Nøgletal!R290</f>
        <v>0.20315321126381436</v>
      </c>
      <c r="Q14" s="598"/>
      <c r="R14" s="599">
        <v>0.20315321126381436</v>
      </c>
      <c r="S14" s="598"/>
      <c r="T14" s="599">
        <v>0.10140973169622552</v>
      </c>
      <c r="U14" s="590"/>
      <c r="V14" s="648">
        <f>'BF - transport'!O19+'BF - transport'!O34</f>
        <v>0.10140973169622552</v>
      </c>
      <c r="Y14" s="664"/>
      <c r="Z14" s="593"/>
    </row>
    <row r="15" spans="1:26" x14ac:dyDescent="0.25">
      <c r="A15" s="604" t="s">
        <v>250</v>
      </c>
      <c r="B15" s="650">
        <f>Nøgletal!D291</f>
        <v>1.7081072908848628E-2</v>
      </c>
      <c r="C15" s="650"/>
      <c r="D15" s="650">
        <f>Nøgletal!F291</f>
        <v>1.8124077238937365E-2</v>
      </c>
      <c r="E15" s="650"/>
      <c r="F15" s="650">
        <f>Nøgletal!H291</f>
        <v>1.8102845320590814E-2</v>
      </c>
      <c r="G15" s="650"/>
      <c r="H15" s="650">
        <f>Nøgletal!J291</f>
        <v>1.9589902803267834E-2</v>
      </c>
      <c r="I15" s="650"/>
      <c r="J15" s="650">
        <f>Nøgletal!L291</f>
        <v>2.0283168897680809E-2</v>
      </c>
      <c r="K15" s="650"/>
      <c r="L15" s="650">
        <f>Nøgletal!N291</f>
        <v>1.9643422024874353E-2</v>
      </c>
      <c r="M15" s="650"/>
      <c r="N15" s="650">
        <f>Nøgletal!P291</f>
        <v>1.7919501580179815E-2</v>
      </c>
      <c r="O15" s="650"/>
      <c r="P15" s="598">
        <f>Nøgletal!R291</f>
        <v>1.7919501580179815E-2</v>
      </c>
      <c r="Q15" s="598"/>
      <c r="R15" s="599">
        <v>1.7919501580179815E-2</v>
      </c>
      <c r="S15" s="598"/>
      <c r="T15" s="599">
        <v>2.1373351523419733E-2</v>
      </c>
      <c r="U15" s="590"/>
      <c r="V15" s="648">
        <f>'BF - transport'!O39</f>
        <v>2.1373351523419733E-2</v>
      </c>
      <c r="Y15" s="664"/>
      <c r="Z15" s="593"/>
    </row>
    <row r="16" spans="1:26" x14ac:dyDescent="0.25">
      <c r="A16" s="604" t="s">
        <v>252</v>
      </c>
      <c r="B16" s="650">
        <f>Nøgletal!D292</f>
        <v>0.21713853115061529</v>
      </c>
      <c r="C16" s="650"/>
      <c r="D16" s="650">
        <f>Nøgletal!F292</f>
        <v>0.22576705211133052</v>
      </c>
      <c r="E16" s="650"/>
      <c r="F16" s="650">
        <f>Nøgletal!H292</f>
        <v>0.20624313061673102</v>
      </c>
      <c r="G16" s="650"/>
      <c r="H16" s="650">
        <f>Nøgletal!J292</f>
        <v>0.22206185875020057</v>
      </c>
      <c r="I16" s="650"/>
      <c r="J16" s="650">
        <f>Nøgletal!L292</f>
        <v>0.226262976165053</v>
      </c>
      <c r="K16" s="650"/>
      <c r="L16" s="650">
        <f>Nøgletal!N292</f>
        <v>0.22777085467796043</v>
      </c>
      <c r="M16" s="650"/>
      <c r="N16" s="650">
        <f>Nøgletal!P292</f>
        <v>0.23698955500863106</v>
      </c>
      <c r="O16" s="650"/>
      <c r="P16" s="598">
        <f>Nøgletal!R292</f>
        <v>0.23698955500863106</v>
      </c>
      <c r="Q16" s="598"/>
      <c r="R16" s="599">
        <v>0.23698955500863106</v>
      </c>
      <c r="S16" s="598"/>
      <c r="T16" s="599">
        <v>0.20691223283310592</v>
      </c>
      <c r="U16" s="590"/>
      <c r="V16" s="648">
        <f>'BF - transport'!O44+'BF - transport'!O51</f>
        <v>0.20691223283310592</v>
      </c>
      <c r="Y16" s="664"/>
      <c r="Z16" s="593"/>
    </row>
    <row r="17" spans="1:26" x14ac:dyDescent="0.25">
      <c r="A17" s="604" t="s">
        <v>254</v>
      </c>
      <c r="B17" s="650">
        <f>Nøgletal!D293</f>
        <v>4.0490744773133983E-2</v>
      </c>
      <c r="C17" s="650"/>
      <c r="D17" s="650">
        <f>Nøgletal!F293</f>
        <v>4.5968680332668134E-2</v>
      </c>
      <c r="E17" s="650"/>
      <c r="F17" s="650">
        <f>Nøgletal!H293</f>
        <v>4.3899399902432724E-2</v>
      </c>
      <c r="G17" s="650"/>
      <c r="H17" s="650">
        <f>Nøgletal!J293</f>
        <v>3.7053270104865151E-2</v>
      </c>
      <c r="I17" s="650"/>
      <c r="J17" s="650">
        <f>Nøgletal!L293</f>
        <v>3.8118568609613601E-2</v>
      </c>
      <c r="K17" s="650"/>
      <c r="L17" s="650">
        <f>Nøgletal!N293</f>
        <v>3.301405112204181E-2</v>
      </c>
      <c r="M17" s="650"/>
      <c r="N17" s="650">
        <f>Nøgletal!P293</f>
        <v>3.3781055601442844E-2</v>
      </c>
      <c r="O17" s="650"/>
      <c r="P17" s="598">
        <f>Nøgletal!R293</f>
        <v>3.3781055601442844E-2</v>
      </c>
      <c r="Q17" s="598"/>
      <c r="R17" s="599">
        <v>3.3781055601442844E-2</v>
      </c>
      <c r="S17" s="598"/>
      <c r="T17" s="599">
        <v>2.7285129604365615E-2</v>
      </c>
      <c r="U17" s="590"/>
      <c r="V17" s="648">
        <f>'BF - transport'!O56</f>
        <v>2.7285129604365615E-2</v>
      </c>
      <c r="Y17" s="664"/>
      <c r="Z17" s="593"/>
    </row>
    <row r="18" spans="1:26" x14ac:dyDescent="0.25">
      <c r="A18" s="604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V18" s="667"/>
      <c r="Y18" s="593"/>
      <c r="Z18" s="593"/>
    </row>
    <row r="19" spans="1:26" x14ac:dyDescent="0.25">
      <c r="A19" s="629" t="s">
        <v>622</v>
      </c>
      <c r="B19" s="674"/>
      <c r="C19" s="674"/>
      <c r="D19" s="674"/>
      <c r="E19" s="674"/>
      <c r="F19" s="674"/>
      <c r="G19" s="674"/>
      <c r="H19" s="674"/>
      <c r="I19" s="674"/>
      <c r="J19" s="650"/>
      <c r="K19" s="650"/>
      <c r="L19" s="674"/>
      <c r="M19" s="674"/>
      <c r="N19" s="674"/>
      <c r="O19" s="674"/>
      <c r="P19" s="665"/>
      <c r="Q19" s="665"/>
      <c r="R19" s="665"/>
      <c r="S19" s="665"/>
      <c r="T19" s="665"/>
      <c r="U19" s="665"/>
      <c r="V19" s="667"/>
    </row>
    <row r="20" spans="1:26" x14ac:dyDescent="0.25">
      <c r="A20" s="604" t="s">
        <v>11</v>
      </c>
      <c r="B20" s="650">
        <f>Nøgletal!D286/IF((Nøgletal!D286+Nøgletal!D287+Nøgletal!D284)&gt;0,(Nøgletal!D286+Nøgletal!D287+Nøgletal!D284),1)*(1-B24/2)</f>
        <v>0.76648263344543754</v>
      </c>
      <c r="C20" s="650"/>
      <c r="D20" s="650">
        <f>Nøgletal!F286/IF((Nøgletal!F286+Nøgletal!F287+Nøgletal!F284)&gt;0,(Nøgletal!F286+Nøgletal!F287+Nøgletal!F284),1)*(1-D24/2)</f>
        <v>0.63366687447147441</v>
      </c>
      <c r="E20" s="650"/>
      <c r="F20" s="650">
        <f>Nøgletal!H286/IF((Nøgletal!H286+Nøgletal!H287+Nøgletal!H284)&gt;0,(Nøgletal!H286+Nøgletal!H287+Nøgletal!H284),1)*(1-F24/2)</f>
        <v>0.67030273147499653</v>
      </c>
      <c r="G20" s="650"/>
      <c r="H20" s="650">
        <f>Nøgletal!J286/IF((Nøgletal!J286+Nøgletal!J287+Nøgletal!J284)&gt;0,(Nøgletal!J286+Nøgletal!J287+Nøgletal!J284),1)*(1-H24/2)</f>
        <v>0.58527261270468123</v>
      </c>
      <c r="I20" s="650"/>
      <c r="J20" s="650">
        <f>Nøgletal!L286/IF((Nøgletal!L286+Nøgletal!L287+Nøgletal!L284)&gt;0,(Nøgletal!L286+Nøgletal!L287+Nøgletal!L284),1)*(1-J24/2)</f>
        <v>0.54280212562122021</v>
      </c>
      <c r="K20" s="650"/>
      <c r="L20" s="650">
        <f>Nøgletal!N286/IF((Nøgletal!N286+Nøgletal!N287+Nøgletal!N284)&gt;0,(Nøgletal!N286+Nøgletal!N287+Nøgletal!N284),1)*(1-L24/2)</f>
        <v>0.51921279689772182</v>
      </c>
      <c r="M20" s="650"/>
      <c r="N20" s="650">
        <f>Nøgletal!P286/IF((Nøgletal!P286+Nøgletal!P287+Nøgletal!P284)&gt;0,(Nøgletal!P286+Nøgletal!P287+Nøgletal!P284),1)*(1-N24/2)</f>
        <v>0.50188651023079323</v>
      </c>
      <c r="O20" s="650"/>
      <c r="P20" s="598">
        <f>Nøgletal!R286/IF((Nøgletal!R286+Nøgletal!R287+Nøgletal!R284)&gt;0,(Nøgletal!R286+Nøgletal!R287+Nøgletal!R284),1)*(1-P24/2)</f>
        <v>0.50188651023079323</v>
      </c>
      <c r="Q20" s="598"/>
      <c r="R20" s="644">
        <f>1-R21-R22-R23-R24-R25-R27-R26</f>
        <v>0.4924122261038239</v>
      </c>
      <c r="S20" s="650"/>
      <c r="T20" s="644">
        <f>1-T21-T22-T23-T24-T25-T27-T26</f>
        <v>0.52606635071090047</v>
      </c>
      <c r="U20" s="598"/>
      <c r="V20" s="648">
        <f>'BF - transport'!O5</f>
        <v>0.52606635071090047</v>
      </c>
    </row>
    <row r="21" spans="1:26" x14ac:dyDescent="0.25">
      <c r="A21" s="604" t="s">
        <v>9</v>
      </c>
      <c r="B21" s="650">
        <f>Nøgletal!D287/IF((Nøgletal!D286+Nøgletal!D287+Nøgletal!D284)&gt;0,(Nøgletal!D286+Nøgletal!D287+Nøgletal!D284),1)*(1-B24/2)</f>
        <v>0.23256736655456248</v>
      </c>
      <c r="C21" s="650"/>
      <c r="D21" s="650">
        <f>Nøgletal!F287/IF((Nøgletal!F286+Nøgletal!F287+Nøgletal!F284)&gt;0,(Nøgletal!F286+Nøgletal!F287+Nøgletal!F284),1)*(1-D24/2)</f>
        <v>0.36493312552852564</v>
      </c>
      <c r="E21" s="650"/>
      <c r="F21" s="650">
        <f>Nøgletal!H287/IF((Nøgletal!H286+Nøgletal!H287+Nøgletal!H284)&gt;0,(Nøgletal!H286+Nøgletal!H287+Nøgletal!H284),1)*(1-F24/2)</f>
        <v>0.32829726852500352</v>
      </c>
      <c r="G21" s="650"/>
      <c r="H21" s="650">
        <f>Nøgletal!J287/IF((Nøgletal!J286+Nøgletal!J287+Nøgletal!J284)&gt;0,(Nøgletal!J286+Nøgletal!J287+Nøgletal!J284),1)*(1-H24/2)</f>
        <v>0.39807738729531872</v>
      </c>
      <c r="I21" s="650"/>
      <c r="J21" s="650">
        <f>Nøgletal!L287/IF((Nøgletal!L286+Nøgletal!L287+Nøgletal!L284)&gt;0,(Nøgletal!L286+Nøgletal!L287+Nøgletal!L284),1)*(1-J24/2)</f>
        <v>0.42924787437877976</v>
      </c>
      <c r="K21" s="650"/>
      <c r="L21" s="650">
        <f>Nøgletal!N287/IF((Nøgletal!N286+Nøgletal!N287+Nøgletal!N284)&gt;0,(Nøgletal!N286+Nøgletal!N287+Nøgletal!N284),1)*(1-L24/2)</f>
        <v>0.46528720310227828</v>
      </c>
      <c r="M21" s="650"/>
      <c r="N21" s="650">
        <f>Nøgletal!P287/IF((Nøgletal!P286+Nøgletal!P287+Nøgletal!P284)&gt;0,(Nøgletal!P286+Nøgletal!P287+Nøgletal!P284),1)*(1-N24/2)</f>
        <v>0.47658777389617613</v>
      </c>
      <c r="O21" s="650"/>
      <c r="P21" s="598">
        <f>Nøgletal!R287/IF((Nøgletal!R286+Nøgletal!R287+Nøgletal!R284)&gt;0,(Nøgletal!R286+Nøgletal!R287+Nøgletal!R284),1)*(1-P24/2)</f>
        <v>0.47658777389617613</v>
      </c>
      <c r="Q21" s="598"/>
      <c r="R21" s="599">
        <v>0.47658777389617613</v>
      </c>
      <c r="S21" s="598"/>
      <c r="T21" s="599">
        <v>0.40094786729857818</v>
      </c>
      <c r="U21" s="598"/>
      <c r="V21" s="648">
        <f>'BF - transport'!O6</f>
        <v>0.40094786729857818</v>
      </c>
    </row>
    <row r="22" spans="1:26" x14ac:dyDescent="0.25">
      <c r="A22" s="604" t="s">
        <v>3</v>
      </c>
      <c r="B22" s="650">
        <f>Nøgletal!D635</f>
        <v>0</v>
      </c>
      <c r="C22" s="650"/>
      <c r="D22" s="650">
        <f>Nøgletal!F635</f>
        <v>0</v>
      </c>
      <c r="E22" s="650"/>
      <c r="F22" s="650">
        <f>Nøgletal!H635</f>
        <v>0</v>
      </c>
      <c r="G22" s="650"/>
      <c r="H22" s="650">
        <f>Nøgletal!J635</f>
        <v>0</v>
      </c>
      <c r="I22" s="650"/>
      <c r="J22" s="650">
        <f>Nøgletal!L635</f>
        <v>0</v>
      </c>
      <c r="K22" s="650"/>
      <c r="L22" s="650">
        <f>Nøgletal!N635</f>
        <v>0</v>
      </c>
      <c r="M22" s="650"/>
      <c r="N22" s="650">
        <f>Nøgletal!P635</f>
        <v>0</v>
      </c>
      <c r="O22" s="650"/>
      <c r="P22" s="598">
        <f>Nøgletal!R635</f>
        <v>0</v>
      </c>
      <c r="Q22" s="598"/>
      <c r="R22" s="599">
        <v>0</v>
      </c>
      <c r="S22" s="598"/>
      <c r="T22" s="599">
        <v>0</v>
      </c>
      <c r="U22" s="598"/>
      <c r="V22" s="648">
        <f>'BF - transport'!O7</f>
        <v>0</v>
      </c>
    </row>
    <row r="23" spans="1:26" x14ac:dyDescent="0.25">
      <c r="A23" s="604" t="s">
        <v>373</v>
      </c>
      <c r="B23" s="650">
        <f>Nøgletal!D636</f>
        <v>0</v>
      </c>
      <c r="C23" s="650"/>
      <c r="D23" s="650">
        <f>Nøgletal!F636</f>
        <v>0</v>
      </c>
      <c r="E23" s="650"/>
      <c r="F23" s="650">
        <f>Nøgletal!H636</f>
        <v>0</v>
      </c>
      <c r="G23" s="650"/>
      <c r="H23" s="650">
        <f>Nøgletal!J636</f>
        <v>0</v>
      </c>
      <c r="I23" s="650"/>
      <c r="J23" s="650">
        <f>Nøgletal!L636</f>
        <v>0</v>
      </c>
      <c r="K23" s="650"/>
      <c r="L23" s="650">
        <f>Nøgletal!N636</f>
        <v>0</v>
      </c>
      <c r="M23" s="650"/>
      <c r="N23" s="650">
        <f>Nøgletal!P636</f>
        <v>0</v>
      </c>
      <c r="O23" s="650"/>
      <c r="P23" s="598">
        <f>Nøgletal!R636</f>
        <v>0</v>
      </c>
      <c r="Q23" s="598"/>
      <c r="R23" s="599">
        <v>0</v>
      </c>
      <c r="S23" s="598"/>
      <c r="T23" s="599">
        <v>0</v>
      </c>
      <c r="U23" s="598"/>
      <c r="V23" s="648">
        <f>'BF - transport'!O11</f>
        <v>0</v>
      </c>
    </row>
    <row r="24" spans="1:26" x14ac:dyDescent="0.25">
      <c r="A24" s="604" t="s">
        <v>374</v>
      </c>
      <c r="B24" s="650">
        <f>Nøgletal!D637</f>
        <v>1.8999999999999996E-3</v>
      </c>
      <c r="C24" s="650"/>
      <c r="D24" s="650">
        <f>Nøgletal!F637</f>
        <v>2.8000000000000004E-3</v>
      </c>
      <c r="E24" s="650"/>
      <c r="F24" s="650">
        <f>Nøgletal!H637</f>
        <v>2.8E-3</v>
      </c>
      <c r="G24" s="650"/>
      <c r="H24" s="650">
        <f>Nøgletal!J637</f>
        <v>3.3300000000000003E-2</v>
      </c>
      <c r="I24" s="650"/>
      <c r="J24" s="650">
        <f>Nøgletal!L637</f>
        <v>5.5900000000000005E-2</v>
      </c>
      <c r="K24" s="650"/>
      <c r="L24" s="650">
        <f>Nøgletal!N637</f>
        <v>3.1E-2</v>
      </c>
      <c r="M24" s="650"/>
      <c r="N24" s="650">
        <f>Nøgletal!P637</f>
        <v>3.0999999999999996E-2</v>
      </c>
      <c r="O24" s="650"/>
      <c r="P24" s="598">
        <f>Nøgletal!R637</f>
        <v>3.0999999999999996E-2</v>
      </c>
      <c r="Q24" s="598"/>
      <c r="R24" s="599">
        <v>3.0999999999999996E-2</v>
      </c>
      <c r="S24" s="598"/>
      <c r="T24" s="599">
        <v>4.5497630331753552E-2</v>
      </c>
      <c r="U24" s="598"/>
      <c r="V24" s="648">
        <f>'BF - transport'!O10</f>
        <v>4.5497630331753552E-2</v>
      </c>
    </row>
    <row r="25" spans="1:26" x14ac:dyDescent="0.25">
      <c r="A25" s="604" t="s">
        <v>26</v>
      </c>
      <c r="B25" s="650">
        <f>Nøgletal!D638</f>
        <v>0</v>
      </c>
      <c r="C25" s="650"/>
      <c r="D25" s="650">
        <f>Nøgletal!F638</f>
        <v>0</v>
      </c>
      <c r="E25" s="650"/>
      <c r="F25" s="650">
        <f>Nøgletal!H638</f>
        <v>0</v>
      </c>
      <c r="G25" s="650"/>
      <c r="H25" s="650">
        <f>Nøgletal!J638</f>
        <v>0</v>
      </c>
      <c r="I25" s="650"/>
      <c r="J25" s="650">
        <f>Nøgletal!L638</f>
        <v>0</v>
      </c>
      <c r="K25" s="650"/>
      <c r="L25" s="650">
        <f>Nøgletal!N638</f>
        <v>0</v>
      </c>
      <c r="M25" s="650"/>
      <c r="N25" s="650">
        <f>Nøgletal!P638</f>
        <v>0</v>
      </c>
      <c r="O25" s="650"/>
      <c r="P25" s="598">
        <f>Nøgletal!R638</f>
        <v>0</v>
      </c>
      <c r="Q25" s="598"/>
      <c r="R25" s="599">
        <v>0</v>
      </c>
      <c r="S25" s="598"/>
      <c r="T25" s="599">
        <v>0</v>
      </c>
      <c r="U25" s="598"/>
      <c r="V25" s="648">
        <v>0</v>
      </c>
    </row>
    <row r="26" spans="1:26" x14ac:dyDescent="0.25">
      <c r="A26" s="604" t="s">
        <v>628</v>
      </c>
      <c r="B26" s="650">
        <f>Nøgletal!D639</f>
        <v>0</v>
      </c>
      <c r="C26" s="650"/>
      <c r="D26" s="650">
        <f>Nøgletal!F639</f>
        <v>0</v>
      </c>
      <c r="E26" s="650"/>
      <c r="F26" s="650">
        <f>Nøgletal!H639</f>
        <v>0</v>
      </c>
      <c r="G26" s="650"/>
      <c r="H26" s="650">
        <f>Nøgletal!J639</f>
        <v>0</v>
      </c>
      <c r="I26" s="650"/>
      <c r="J26" s="650">
        <f>Nøgletal!L639</f>
        <v>0</v>
      </c>
      <c r="K26" s="650"/>
      <c r="L26" s="650">
        <f>Nøgletal!N639</f>
        <v>0</v>
      </c>
      <c r="M26" s="650"/>
      <c r="N26" s="650">
        <f>Nøgletal!P639</f>
        <v>0</v>
      </c>
      <c r="O26" s="650"/>
      <c r="P26" s="598">
        <f>Nøgletal!R639</f>
        <v>0</v>
      </c>
      <c r="Q26" s="598"/>
      <c r="R26" s="599">
        <v>0</v>
      </c>
      <c r="S26" s="598"/>
      <c r="T26" s="599">
        <v>0</v>
      </c>
      <c r="U26" s="598"/>
      <c r="V26" s="648">
        <f>'BF - transport'!O9</f>
        <v>0</v>
      </c>
    </row>
    <row r="27" spans="1:26" x14ac:dyDescent="0.25">
      <c r="A27" s="604" t="s">
        <v>27</v>
      </c>
      <c r="B27" s="650">
        <f>Nøgletal!D640</f>
        <v>0</v>
      </c>
      <c r="C27" s="650"/>
      <c r="D27" s="650">
        <f>Nøgletal!F640</f>
        <v>0</v>
      </c>
      <c r="E27" s="650"/>
      <c r="F27" s="650">
        <f>Nøgletal!H640</f>
        <v>0</v>
      </c>
      <c r="G27" s="650"/>
      <c r="H27" s="650">
        <f>Nøgletal!J640</f>
        <v>0</v>
      </c>
      <c r="I27" s="650"/>
      <c r="J27" s="650">
        <f>Nøgletal!L640</f>
        <v>0</v>
      </c>
      <c r="K27" s="650"/>
      <c r="L27" s="650">
        <f>Nøgletal!N640</f>
        <v>0</v>
      </c>
      <c r="M27" s="650"/>
      <c r="N27" s="650">
        <f>Nøgletal!P640</f>
        <v>0</v>
      </c>
      <c r="O27" s="650"/>
      <c r="P27" s="598">
        <f>Nøgletal!R640</f>
        <v>0</v>
      </c>
      <c r="Q27" s="598"/>
      <c r="R27" s="599">
        <v>0</v>
      </c>
      <c r="S27" s="598"/>
      <c r="T27" s="599">
        <v>2.7488151658767772E-2</v>
      </c>
      <c r="U27" s="598"/>
      <c r="V27" s="648">
        <f>'BF - transport'!O8</f>
        <v>2.7488151658767772E-2</v>
      </c>
    </row>
    <row r="28" spans="1:26" x14ac:dyDescent="0.25">
      <c r="A28" s="629" t="s">
        <v>478</v>
      </c>
      <c r="B28" s="650"/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598"/>
      <c r="Q28" s="598"/>
      <c r="R28" s="598"/>
      <c r="S28" s="598"/>
      <c r="T28" s="598"/>
      <c r="U28" s="598"/>
      <c r="V28" s="667"/>
    </row>
    <row r="29" spans="1:26" x14ac:dyDescent="0.25">
      <c r="A29" s="604" t="s">
        <v>9</v>
      </c>
      <c r="B29" s="650">
        <f>Nøgletal!D650</f>
        <v>1</v>
      </c>
      <c r="C29" s="650"/>
      <c r="D29" s="650">
        <f>Nøgletal!F650</f>
        <v>0.99990000000000001</v>
      </c>
      <c r="E29" s="650"/>
      <c r="F29" s="650">
        <f>Nøgletal!H650</f>
        <v>0.99800000000000011</v>
      </c>
      <c r="G29" s="650"/>
      <c r="H29" s="650">
        <f>Nøgletal!J650</f>
        <v>0.96200000000000008</v>
      </c>
      <c r="I29" s="650"/>
      <c r="J29" s="650">
        <f>Nøgletal!L650</f>
        <v>0.93699999999999994</v>
      </c>
      <c r="K29" s="650"/>
      <c r="L29" s="650">
        <f>Nøgletal!N650</f>
        <v>0.92900000000000005</v>
      </c>
      <c r="M29" s="650"/>
      <c r="N29" s="650">
        <f>Nøgletal!P650</f>
        <v>0.93099999999999994</v>
      </c>
      <c r="O29" s="650"/>
      <c r="P29" s="598">
        <f>Nøgletal!R650</f>
        <v>0.93099999999999994</v>
      </c>
      <c r="Q29" s="598"/>
      <c r="R29" s="644">
        <f>1-R30-R31-R32-R33-R34-R36-R35</f>
        <v>0.93100000000000005</v>
      </c>
      <c r="S29" s="650"/>
      <c r="T29" s="644">
        <f>1-T30-T31-T32-T33-T34-T36-T35</f>
        <v>0.8915254237288136</v>
      </c>
      <c r="U29" s="598"/>
      <c r="V29" s="648">
        <f>'BF - transport'!O14</f>
        <v>0.89152542372881372</v>
      </c>
    </row>
    <row r="30" spans="1:26" x14ac:dyDescent="0.25">
      <c r="A30" s="604" t="s">
        <v>11</v>
      </c>
      <c r="B30" s="650">
        <f>Nøgletal!D651</f>
        <v>0</v>
      </c>
      <c r="C30" s="650"/>
      <c r="D30" s="650">
        <f>Nøgletal!F651</f>
        <v>0</v>
      </c>
      <c r="E30" s="650"/>
      <c r="F30" s="650">
        <f>Nøgletal!H651</f>
        <v>0</v>
      </c>
      <c r="G30" s="650"/>
      <c r="H30" s="650">
        <f>Nøgletal!J651</f>
        <v>0</v>
      </c>
      <c r="I30" s="650"/>
      <c r="J30" s="650">
        <f>Nøgletal!L651</f>
        <v>0</v>
      </c>
      <c r="K30" s="650"/>
      <c r="L30" s="650">
        <f>Nøgletal!N651</f>
        <v>0</v>
      </c>
      <c r="M30" s="650"/>
      <c r="N30" s="650">
        <f>Nøgletal!P651</f>
        <v>0</v>
      </c>
      <c r="O30" s="650"/>
      <c r="P30" s="598">
        <f>Nøgletal!R651</f>
        <v>0</v>
      </c>
      <c r="Q30" s="598"/>
      <c r="R30" s="599">
        <v>0</v>
      </c>
      <c r="S30" s="598"/>
      <c r="T30" s="599">
        <v>3.0508474576271191E-2</v>
      </c>
      <c r="U30" s="598"/>
      <c r="V30" s="648">
        <f>'BF - transport'!O13</f>
        <v>3.0508474576271191E-2</v>
      </c>
    </row>
    <row r="31" spans="1:26" x14ac:dyDescent="0.25">
      <c r="A31" s="604" t="s">
        <v>26</v>
      </c>
      <c r="B31" s="650">
        <f>Nøgletal!D652</f>
        <v>0</v>
      </c>
      <c r="C31" s="650"/>
      <c r="D31" s="650">
        <f>Nøgletal!F652</f>
        <v>0</v>
      </c>
      <c r="E31" s="650"/>
      <c r="F31" s="650">
        <f>Nøgletal!H652</f>
        <v>0</v>
      </c>
      <c r="G31" s="650"/>
      <c r="H31" s="650">
        <f>Nøgletal!J652</f>
        <v>0</v>
      </c>
      <c r="I31" s="650"/>
      <c r="J31" s="650">
        <f>Nøgletal!L652</f>
        <v>0</v>
      </c>
      <c r="K31" s="650"/>
      <c r="L31" s="650">
        <f>Nøgletal!N652</f>
        <v>0</v>
      </c>
      <c r="M31" s="650"/>
      <c r="N31" s="650">
        <f>Nøgletal!P652</f>
        <v>0</v>
      </c>
      <c r="O31" s="650"/>
      <c r="P31" s="598">
        <f>Nøgletal!R652</f>
        <v>0</v>
      </c>
      <c r="Q31" s="598"/>
      <c r="R31" s="599">
        <v>0</v>
      </c>
      <c r="S31" s="598"/>
      <c r="T31" s="599">
        <v>0</v>
      </c>
      <c r="U31" s="598"/>
      <c r="V31" s="648">
        <v>0</v>
      </c>
    </row>
    <row r="32" spans="1:26" x14ac:dyDescent="0.25">
      <c r="A32" s="604" t="s">
        <v>373</v>
      </c>
      <c r="B32" s="650">
        <f>Nøgletal!D653</f>
        <v>0</v>
      </c>
      <c r="C32" s="650"/>
      <c r="D32" s="650">
        <f>Nøgletal!F653</f>
        <v>0</v>
      </c>
      <c r="E32" s="650"/>
      <c r="F32" s="650">
        <f>Nøgletal!H653</f>
        <v>0</v>
      </c>
      <c r="G32" s="650"/>
      <c r="H32" s="650">
        <f>Nøgletal!J653</f>
        <v>0</v>
      </c>
      <c r="I32" s="650"/>
      <c r="J32" s="650">
        <f>Nøgletal!L653</f>
        <v>0</v>
      </c>
      <c r="K32" s="650"/>
      <c r="L32" s="650">
        <f>Nøgletal!N653</f>
        <v>0</v>
      </c>
      <c r="M32" s="650"/>
      <c r="N32" s="650">
        <f>Nøgletal!P653</f>
        <v>0</v>
      </c>
      <c r="O32" s="650"/>
      <c r="P32" s="598">
        <f>Nøgletal!R653</f>
        <v>0</v>
      </c>
      <c r="Q32" s="598"/>
      <c r="R32" s="599">
        <v>0</v>
      </c>
      <c r="S32" s="598"/>
      <c r="T32" s="599">
        <v>0</v>
      </c>
      <c r="U32" s="598"/>
      <c r="V32" s="648">
        <f>'BF - transport'!O18</f>
        <v>0</v>
      </c>
    </row>
    <row r="33" spans="1:22" x14ac:dyDescent="0.25">
      <c r="A33" s="604" t="s">
        <v>3</v>
      </c>
      <c r="B33" s="650">
        <f>Nøgletal!D654</f>
        <v>0</v>
      </c>
      <c r="C33" s="650"/>
      <c r="D33" s="650">
        <f>Nøgletal!F654</f>
        <v>0</v>
      </c>
      <c r="E33" s="650"/>
      <c r="F33" s="650">
        <f>Nøgletal!H654</f>
        <v>0</v>
      </c>
      <c r="G33" s="650"/>
      <c r="H33" s="650">
        <f>Nøgletal!J654</f>
        <v>0</v>
      </c>
      <c r="I33" s="650"/>
      <c r="J33" s="650">
        <f>Nøgletal!L654</f>
        <v>0</v>
      </c>
      <c r="K33" s="650"/>
      <c r="L33" s="650">
        <f>Nøgletal!N654</f>
        <v>0</v>
      </c>
      <c r="M33" s="650"/>
      <c r="N33" s="650">
        <f>Nøgletal!P654</f>
        <v>0</v>
      </c>
      <c r="O33" s="650"/>
      <c r="P33" s="598">
        <f>Nøgletal!R654</f>
        <v>0</v>
      </c>
      <c r="Q33" s="598"/>
      <c r="R33" s="599">
        <v>0</v>
      </c>
      <c r="S33" s="598"/>
      <c r="T33" s="599">
        <v>0</v>
      </c>
      <c r="U33" s="598"/>
      <c r="V33" s="648">
        <f>'BF - transport'!O15</f>
        <v>0</v>
      </c>
    </row>
    <row r="34" spans="1:22" x14ac:dyDescent="0.25">
      <c r="A34" s="604" t="s">
        <v>374</v>
      </c>
      <c r="B34" s="650">
        <f>Nøgletal!D655</f>
        <v>0</v>
      </c>
      <c r="C34" s="650"/>
      <c r="D34" s="650">
        <f>Nøgletal!F655</f>
        <v>1E-4</v>
      </c>
      <c r="E34" s="650"/>
      <c r="F34" s="650">
        <f>Nøgletal!H655</f>
        <v>2E-3</v>
      </c>
      <c r="G34" s="650"/>
      <c r="H34" s="650">
        <f>Nøgletal!J655</f>
        <v>3.7999999999999999E-2</v>
      </c>
      <c r="I34" s="650"/>
      <c r="J34" s="650">
        <f>Nøgletal!L655</f>
        <v>6.2999999999999987E-2</v>
      </c>
      <c r="K34" s="650"/>
      <c r="L34" s="650">
        <f>Nøgletal!N655</f>
        <v>7.0999999999999994E-2</v>
      </c>
      <c r="M34" s="650"/>
      <c r="N34" s="650">
        <f>Nøgletal!P655</f>
        <v>6.9000000000000006E-2</v>
      </c>
      <c r="O34" s="650"/>
      <c r="P34" s="598">
        <f>Nøgletal!R655</f>
        <v>6.9000000000000006E-2</v>
      </c>
      <c r="Q34" s="598"/>
      <c r="R34" s="599">
        <v>6.9000000000000006E-2</v>
      </c>
      <c r="S34" s="598"/>
      <c r="T34" s="599">
        <v>6.4406779661016961E-2</v>
      </c>
      <c r="U34" s="598"/>
      <c r="V34" s="648">
        <f>'BF - transport'!O17</f>
        <v>6.4406779661016961E-2</v>
      </c>
    </row>
    <row r="35" spans="1:22" x14ac:dyDescent="0.25">
      <c r="A35" s="604" t="s">
        <v>628</v>
      </c>
      <c r="B35" s="650">
        <f>Nøgletal!D656</f>
        <v>0</v>
      </c>
      <c r="C35" s="650"/>
      <c r="D35" s="650">
        <f>Nøgletal!F656</f>
        <v>0</v>
      </c>
      <c r="E35" s="650"/>
      <c r="F35" s="650">
        <f>Nøgletal!H656</f>
        <v>0</v>
      </c>
      <c r="G35" s="650"/>
      <c r="H35" s="650">
        <f>Nøgletal!J656</f>
        <v>0</v>
      </c>
      <c r="I35" s="650"/>
      <c r="J35" s="650">
        <f>Nøgletal!L656</f>
        <v>0</v>
      </c>
      <c r="K35" s="650"/>
      <c r="L35" s="650">
        <f>Nøgletal!N656</f>
        <v>0</v>
      </c>
      <c r="M35" s="650"/>
      <c r="N35" s="650">
        <f>Nøgletal!P656</f>
        <v>0</v>
      </c>
      <c r="O35" s="650"/>
      <c r="P35" s="598">
        <f>Nøgletal!R656</f>
        <v>0</v>
      </c>
      <c r="Q35" s="598"/>
      <c r="R35" s="599">
        <v>0</v>
      </c>
      <c r="S35" s="598"/>
      <c r="T35" s="599">
        <v>0</v>
      </c>
      <c r="U35" s="598"/>
      <c r="V35" s="648">
        <v>0</v>
      </c>
    </row>
    <row r="36" spans="1:22" x14ac:dyDescent="0.25">
      <c r="A36" s="604" t="s">
        <v>27</v>
      </c>
      <c r="B36" s="650">
        <f>Nøgletal!D657</f>
        <v>0</v>
      </c>
      <c r="C36" s="650"/>
      <c r="D36" s="650">
        <f>Nøgletal!F657</f>
        <v>0</v>
      </c>
      <c r="E36" s="650"/>
      <c r="F36" s="650">
        <f>Nøgletal!H657</f>
        <v>0</v>
      </c>
      <c r="G36" s="650"/>
      <c r="H36" s="650">
        <f>Nøgletal!J657</f>
        <v>0</v>
      </c>
      <c r="I36" s="650"/>
      <c r="J36" s="650">
        <f>Nøgletal!L657</f>
        <v>0</v>
      </c>
      <c r="K36" s="650"/>
      <c r="L36" s="650">
        <f>Nøgletal!N657</f>
        <v>0</v>
      </c>
      <c r="M36" s="650"/>
      <c r="N36" s="650">
        <f>Nøgletal!P657</f>
        <v>0</v>
      </c>
      <c r="O36" s="650"/>
      <c r="P36" s="598">
        <f>Nøgletal!R657</f>
        <v>0</v>
      </c>
      <c r="Q36" s="598"/>
      <c r="R36" s="599">
        <v>0</v>
      </c>
      <c r="S36" s="598"/>
      <c r="T36" s="599">
        <v>1.3559322033898308E-2</v>
      </c>
      <c r="U36" s="598"/>
      <c r="V36" s="648">
        <f>'BF - transport'!O16</f>
        <v>1.3559322033898308E-2</v>
      </c>
    </row>
    <row r="37" spans="1:22" x14ac:dyDescent="0.25">
      <c r="A37" s="629" t="s">
        <v>479</v>
      </c>
      <c r="B37" s="650"/>
      <c r="C37" s="650"/>
      <c r="D37" s="650"/>
      <c r="E37" s="650"/>
      <c r="F37" s="650"/>
      <c r="G37" s="650"/>
      <c r="H37" s="650"/>
      <c r="I37" s="650"/>
      <c r="J37" s="650"/>
      <c r="K37" s="650"/>
      <c r="L37" s="650"/>
      <c r="M37" s="650"/>
      <c r="N37" s="650"/>
      <c r="O37" s="650"/>
      <c r="P37" s="598"/>
      <c r="Q37" s="598"/>
      <c r="R37" s="598"/>
      <c r="S37" s="598"/>
      <c r="T37" s="598"/>
      <c r="U37" s="598"/>
      <c r="V37" s="667"/>
    </row>
    <row r="38" spans="1:22" x14ac:dyDescent="0.25">
      <c r="A38" s="604" t="s">
        <v>9</v>
      </c>
      <c r="B38" s="650">
        <f>Nøgletal!D659</f>
        <v>1</v>
      </c>
      <c r="C38" s="650"/>
      <c r="D38" s="650">
        <f>Nøgletal!F659</f>
        <v>0.99990000000000012</v>
      </c>
      <c r="E38" s="650"/>
      <c r="F38" s="650">
        <f>Nøgletal!H659</f>
        <v>0.998</v>
      </c>
      <c r="G38" s="650"/>
      <c r="H38" s="650">
        <f>Nøgletal!J659</f>
        <v>0.96200000000000008</v>
      </c>
      <c r="I38" s="650"/>
      <c r="J38" s="650">
        <f>Nøgletal!L659</f>
        <v>0.93700000000000006</v>
      </c>
      <c r="K38" s="650"/>
      <c r="L38" s="650">
        <f>Nøgletal!N659</f>
        <v>0.92900000000000016</v>
      </c>
      <c r="M38" s="650"/>
      <c r="N38" s="650">
        <f>Nøgletal!P659</f>
        <v>0.93099999999999994</v>
      </c>
      <c r="O38" s="650"/>
      <c r="P38" s="598">
        <f>Nøgletal!R659</f>
        <v>0.93099999999999994</v>
      </c>
      <c r="Q38" s="598"/>
      <c r="R38" s="644">
        <f>1-R39-R40-R41-R42-R44-R43</f>
        <v>0.93100000000000005</v>
      </c>
      <c r="S38" s="650"/>
      <c r="T38" s="644">
        <f>1-T39-T40-T41-T42-T44-T43</f>
        <v>0.625</v>
      </c>
      <c r="U38" s="598"/>
      <c r="V38" s="648">
        <f>'BF - transport'!O27</f>
        <v>0.625</v>
      </c>
    </row>
    <row r="39" spans="1:22" x14ac:dyDescent="0.25">
      <c r="A39" s="604" t="s">
        <v>26</v>
      </c>
      <c r="B39" s="650">
        <f>Nøgletal!D660</f>
        <v>0</v>
      </c>
      <c r="C39" s="650"/>
      <c r="D39" s="650">
        <f>Nøgletal!F660</f>
        <v>0</v>
      </c>
      <c r="E39" s="650"/>
      <c r="F39" s="650">
        <f>Nøgletal!H660</f>
        <v>0</v>
      </c>
      <c r="G39" s="650"/>
      <c r="H39" s="650">
        <f>Nøgletal!J660</f>
        <v>0</v>
      </c>
      <c r="I39" s="650"/>
      <c r="J39" s="650">
        <f>Nøgletal!L660</f>
        <v>0</v>
      </c>
      <c r="K39" s="650"/>
      <c r="L39" s="650">
        <f>Nøgletal!N660</f>
        <v>0</v>
      </c>
      <c r="M39" s="650"/>
      <c r="N39" s="650">
        <f>Nøgletal!P660</f>
        <v>0</v>
      </c>
      <c r="O39" s="650"/>
      <c r="P39" s="598">
        <f>Nøgletal!R660</f>
        <v>0</v>
      </c>
      <c r="Q39" s="598"/>
      <c r="R39" s="599">
        <v>0</v>
      </c>
      <c r="S39" s="598"/>
      <c r="T39" s="599">
        <v>0</v>
      </c>
      <c r="U39" s="598"/>
      <c r="V39" s="648">
        <v>0</v>
      </c>
    </row>
    <row r="40" spans="1:22" x14ac:dyDescent="0.25">
      <c r="A40" s="604" t="s">
        <v>373</v>
      </c>
      <c r="B40" s="650">
        <f>Nøgletal!D661</f>
        <v>0</v>
      </c>
      <c r="C40" s="650"/>
      <c r="D40" s="650">
        <f>Nøgletal!F661</f>
        <v>0</v>
      </c>
      <c r="E40" s="650"/>
      <c r="F40" s="650">
        <f>Nøgletal!H661</f>
        <v>0</v>
      </c>
      <c r="G40" s="650"/>
      <c r="H40" s="650">
        <f>Nøgletal!J661</f>
        <v>0</v>
      </c>
      <c r="I40" s="650"/>
      <c r="J40" s="650">
        <f>Nøgletal!L661</f>
        <v>0</v>
      </c>
      <c r="K40" s="650"/>
      <c r="L40" s="650">
        <f>Nøgletal!N661</f>
        <v>0</v>
      </c>
      <c r="M40" s="650"/>
      <c r="N40" s="650">
        <f>Nøgletal!P661</f>
        <v>0</v>
      </c>
      <c r="O40" s="650"/>
      <c r="P40" s="598">
        <f>Nøgletal!R661</f>
        <v>0</v>
      </c>
      <c r="Q40" s="598"/>
      <c r="R40" s="599">
        <v>0</v>
      </c>
      <c r="S40" s="598"/>
      <c r="T40" s="599">
        <v>0</v>
      </c>
      <c r="U40" s="598"/>
      <c r="V40" s="648">
        <f>'BF - transport'!O31</f>
        <v>0</v>
      </c>
    </row>
    <row r="41" spans="1:22" x14ac:dyDescent="0.25">
      <c r="A41" s="604" t="s">
        <v>3</v>
      </c>
      <c r="B41" s="650">
        <f>Nøgletal!D662</f>
        <v>0</v>
      </c>
      <c r="C41" s="650"/>
      <c r="D41" s="650">
        <f>Nøgletal!F662</f>
        <v>0</v>
      </c>
      <c r="E41" s="650"/>
      <c r="F41" s="650">
        <f>Nøgletal!H662</f>
        <v>0</v>
      </c>
      <c r="G41" s="650"/>
      <c r="H41" s="650">
        <f>Nøgletal!J662</f>
        <v>0</v>
      </c>
      <c r="I41" s="650"/>
      <c r="J41" s="650">
        <f>Nøgletal!L662</f>
        <v>0</v>
      </c>
      <c r="K41" s="650"/>
      <c r="L41" s="650">
        <f>Nøgletal!N662</f>
        <v>0</v>
      </c>
      <c r="M41" s="650"/>
      <c r="N41" s="650">
        <f>Nøgletal!P662</f>
        <v>0</v>
      </c>
      <c r="O41" s="650"/>
      <c r="P41" s="598">
        <f>Nøgletal!R662</f>
        <v>0</v>
      </c>
      <c r="Q41" s="598"/>
      <c r="R41" s="599">
        <v>0</v>
      </c>
      <c r="S41" s="598"/>
      <c r="T41" s="599">
        <v>7.8125E-2</v>
      </c>
      <c r="U41" s="598"/>
      <c r="V41" s="648">
        <f>'BF - transport'!O30</f>
        <v>7.8125E-2</v>
      </c>
    </row>
    <row r="42" spans="1:22" x14ac:dyDescent="0.25">
      <c r="A42" s="604" t="s">
        <v>374</v>
      </c>
      <c r="B42" s="650">
        <f>Nøgletal!D663</f>
        <v>0</v>
      </c>
      <c r="C42" s="650"/>
      <c r="D42" s="650">
        <f>Nøgletal!F663</f>
        <v>1E-4</v>
      </c>
      <c r="E42" s="650"/>
      <c r="F42" s="650">
        <f>Nøgletal!H663</f>
        <v>2E-3</v>
      </c>
      <c r="G42" s="650"/>
      <c r="H42" s="650">
        <f>Nøgletal!J663</f>
        <v>3.7999999999999999E-2</v>
      </c>
      <c r="I42" s="650"/>
      <c r="J42" s="650">
        <f>Nøgletal!L663</f>
        <v>6.3E-2</v>
      </c>
      <c r="K42" s="650"/>
      <c r="L42" s="650">
        <f>Nøgletal!N663</f>
        <v>7.0999999999999994E-2</v>
      </c>
      <c r="M42" s="650"/>
      <c r="N42" s="650">
        <f>Nøgletal!P663</f>
        <v>6.9000000000000006E-2</v>
      </c>
      <c r="O42" s="650"/>
      <c r="P42" s="598">
        <f>Nøgletal!R663</f>
        <v>6.9000000000000006E-2</v>
      </c>
      <c r="Q42" s="598"/>
      <c r="R42" s="599">
        <v>6.9000000000000006E-2</v>
      </c>
      <c r="S42" s="598"/>
      <c r="T42" s="599">
        <v>0.25</v>
      </c>
      <c r="U42" s="598"/>
      <c r="V42" s="648">
        <f>'BF - transport'!O29+'BF - transport'!O32</f>
        <v>0.25</v>
      </c>
    </row>
    <row r="43" spans="1:22" x14ac:dyDescent="0.25">
      <c r="A43" s="604" t="s">
        <v>628</v>
      </c>
      <c r="B43" s="650">
        <f>Nøgletal!D664</f>
        <v>0</v>
      </c>
      <c r="C43" s="650"/>
      <c r="D43" s="650">
        <f>Nøgletal!F664</f>
        <v>0</v>
      </c>
      <c r="E43" s="650"/>
      <c r="F43" s="650">
        <f>Nøgletal!H664</f>
        <v>0</v>
      </c>
      <c r="G43" s="650"/>
      <c r="H43" s="650">
        <f>Nøgletal!J664</f>
        <v>0</v>
      </c>
      <c r="I43" s="650"/>
      <c r="J43" s="650">
        <f>Nøgletal!L664</f>
        <v>0</v>
      </c>
      <c r="K43" s="650"/>
      <c r="L43" s="650">
        <f>Nøgletal!N664</f>
        <v>0</v>
      </c>
      <c r="M43" s="650"/>
      <c r="N43" s="650">
        <f>Nøgletal!P664</f>
        <v>0</v>
      </c>
      <c r="O43" s="650"/>
      <c r="P43" s="598">
        <f>Nøgletal!R664</f>
        <v>0</v>
      </c>
      <c r="Q43" s="598"/>
      <c r="R43" s="599">
        <v>0</v>
      </c>
      <c r="S43" s="598"/>
      <c r="T43" s="599">
        <v>0</v>
      </c>
      <c r="U43" s="598"/>
      <c r="V43" s="648">
        <f>'BF - transport'!O33</f>
        <v>0</v>
      </c>
    </row>
    <row r="44" spans="1:22" x14ac:dyDescent="0.25">
      <c r="A44" s="604" t="s">
        <v>27</v>
      </c>
      <c r="B44" s="650">
        <f>Nøgletal!D665</f>
        <v>0</v>
      </c>
      <c r="C44" s="650"/>
      <c r="D44" s="650">
        <f>Nøgletal!F665</f>
        <v>0</v>
      </c>
      <c r="E44" s="650"/>
      <c r="F44" s="650">
        <f>Nøgletal!H665</f>
        <v>0</v>
      </c>
      <c r="G44" s="650"/>
      <c r="H44" s="650">
        <f>Nøgletal!J665</f>
        <v>0</v>
      </c>
      <c r="I44" s="650"/>
      <c r="J44" s="650">
        <f>Nøgletal!L665</f>
        <v>0</v>
      </c>
      <c r="K44" s="650"/>
      <c r="L44" s="650">
        <f>Nøgletal!N665</f>
        <v>0</v>
      </c>
      <c r="M44" s="650"/>
      <c r="N44" s="650">
        <f>Nøgletal!P665</f>
        <v>0</v>
      </c>
      <c r="O44" s="650"/>
      <c r="P44" s="598">
        <f>Nøgletal!R665</f>
        <v>0</v>
      </c>
      <c r="Q44" s="598"/>
      <c r="R44" s="599">
        <v>0</v>
      </c>
      <c r="S44" s="598"/>
      <c r="T44" s="599">
        <v>4.6875E-2</v>
      </c>
      <c r="U44" s="598"/>
      <c r="V44" s="648">
        <f>'BF - transport'!O28</f>
        <v>4.6875E-2</v>
      </c>
    </row>
    <row r="45" spans="1:22" x14ac:dyDescent="0.25">
      <c r="A45" s="629" t="s">
        <v>480</v>
      </c>
      <c r="B45" s="650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598"/>
      <c r="Q45" s="598"/>
      <c r="R45" s="598"/>
      <c r="S45" s="598"/>
      <c r="T45" s="598"/>
      <c r="U45" s="598"/>
      <c r="V45" s="667"/>
    </row>
    <row r="46" spans="1:22" x14ac:dyDescent="0.25">
      <c r="A46" s="604" t="s">
        <v>9</v>
      </c>
      <c r="B46" s="650">
        <f>Nøgletal!D667</f>
        <v>1</v>
      </c>
      <c r="C46" s="650"/>
      <c r="D46" s="650">
        <f>Nøgletal!F667</f>
        <v>0.99990000000000001</v>
      </c>
      <c r="E46" s="650"/>
      <c r="F46" s="650">
        <f>Nøgletal!H667</f>
        <v>0.99840000000000007</v>
      </c>
      <c r="G46" s="650"/>
      <c r="H46" s="650">
        <f>Nøgletal!J667</f>
        <v>0.96229999999999993</v>
      </c>
      <c r="I46" s="650"/>
      <c r="J46" s="650">
        <f>Nøgletal!L667</f>
        <v>0.93670000000000009</v>
      </c>
      <c r="K46" s="650"/>
      <c r="L46" s="650">
        <f>Nøgletal!N667</f>
        <v>0.92900000000000005</v>
      </c>
      <c r="M46" s="650"/>
      <c r="N46" s="650">
        <f>Nøgletal!P667</f>
        <v>0.93099999999999994</v>
      </c>
      <c r="O46" s="650"/>
      <c r="P46" s="598">
        <f>Nøgletal!R667</f>
        <v>0.93099999999999994</v>
      </c>
      <c r="Q46" s="598"/>
      <c r="R46" s="644">
        <f>1-R47-R48-R49-R50-R52-R51</f>
        <v>0.93100000000000005</v>
      </c>
      <c r="S46" s="650"/>
      <c r="T46" s="644">
        <f>1-T47-T48-T49-T50-T52-T51</f>
        <v>0.93518518518518523</v>
      </c>
      <c r="U46" s="598"/>
      <c r="V46" s="648">
        <f>'BF - transport'!O20</f>
        <v>0.93518518518518523</v>
      </c>
    </row>
    <row r="47" spans="1:22" x14ac:dyDescent="0.25">
      <c r="A47" s="604" t="s">
        <v>26</v>
      </c>
      <c r="B47" s="650">
        <f>Nøgletal!D668</f>
        <v>0</v>
      </c>
      <c r="C47" s="650"/>
      <c r="D47" s="650">
        <f>Nøgletal!F668</f>
        <v>0</v>
      </c>
      <c r="E47" s="650"/>
      <c r="F47" s="650">
        <f>Nøgletal!H668</f>
        <v>0</v>
      </c>
      <c r="G47" s="650"/>
      <c r="H47" s="650">
        <f>Nøgletal!J668</f>
        <v>0</v>
      </c>
      <c r="I47" s="650"/>
      <c r="J47" s="650">
        <f>Nøgletal!L668</f>
        <v>0</v>
      </c>
      <c r="K47" s="650"/>
      <c r="L47" s="650">
        <f>Nøgletal!N668</f>
        <v>0</v>
      </c>
      <c r="M47" s="650"/>
      <c r="N47" s="650">
        <f>Nøgletal!P668</f>
        <v>0</v>
      </c>
      <c r="O47" s="650"/>
      <c r="P47" s="598">
        <f>Nøgletal!R668</f>
        <v>0</v>
      </c>
      <c r="Q47" s="598"/>
      <c r="R47" s="599">
        <v>0</v>
      </c>
      <c r="S47" s="598"/>
      <c r="T47" s="599">
        <v>0</v>
      </c>
      <c r="U47" s="598"/>
      <c r="V47" s="648">
        <v>0</v>
      </c>
    </row>
    <row r="48" spans="1:22" x14ac:dyDescent="0.25">
      <c r="A48" s="604" t="s">
        <v>373</v>
      </c>
      <c r="B48" s="650">
        <f>Nøgletal!D669</f>
        <v>0</v>
      </c>
      <c r="C48" s="650"/>
      <c r="D48" s="650">
        <f>Nøgletal!F669</f>
        <v>0</v>
      </c>
      <c r="E48" s="650"/>
      <c r="F48" s="650">
        <f>Nøgletal!H669</f>
        <v>0</v>
      </c>
      <c r="G48" s="650"/>
      <c r="H48" s="650">
        <f>Nøgletal!J669</f>
        <v>0</v>
      </c>
      <c r="I48" s="650"/>
      <c r="J48" s="650">
        <f>Nøgletal!L669</f>
        <v>0</v>
      </c>
      <c r="K48" s="650"/>
      <c r="L48" s="650">
        <f>Nøgletal!N669</f>
        <v>0</v>
      </c>
      <c r="M48" s="650"/>
      <c r="N48" s="650">
        <f>Nøgletal!P669</f>
        <v>0</v>
      </c>
      <c r="O48" s="650"/>
      <c r="P48" s="598">
        <f>Nøgletal!R669</f>
        <v>0</v>
      </c>
      <c r="Q48" s="598"/>
      <c r="R48" s="599">
        <v>0</v>
      </c>
      <c r="S48" s="598"/>
      <c r="T48" s="599">
        <v>0</v>
      </c>
      <c r="U48" s="598"/>
      <c r="V48" s="648">
        <f>'BF - transport'!O23</f>
        <v>0</v>
      </c>
    </row>
    <row r="49" spans="1:22" x14ac:dyDescent="0.25">
      <c r="A49" s="604" t="s">
        <v>3</v>
      </c>
      <c r="B49" s="650">
        <f>Nøgletal!D670</f>
        <v>0</v>
      </c>
      <c r="C49" s="650"/>
      <c r="D49" s="650">
        <f>Nøgletal!F670</f>
        <v>0</v>
      </c>
      <c r="E49" s="650"/>
      <c r="F49" s="650">
        <f>Nøgletal!H670</f>
        <v>0</v>
      </c>
      <c r="G49" s="650"/>
      <c r="H49" s="650">
        <f>Nøgletal!J670</f>
        <v>0</v>
      </c>
      <c r="I49" s="650"/>
      <c r="J49" s="650">
        <f>Nøgletal!L670</f>
        <v>0</v>
      </c>
      <c r="K49" s="650"/>
      <c r="L49" s="650">
        <f>Nøgletal!N670</f>
        <v>0</v>
      </c>
      <c r="M49" s="650"/>
      <c r="N49" s="650">
        <f>Nøgletal!P670</f>
        <v>0</v>
      </c>
      <c r="O49" s="650"/>
      <c r="P49" s="598">
        <f>Nøgletal!R670</f>
        <v>0</v>
      </c>
      <c r="Q49" s="598"/>
      <c r="R49" s="599">
        <v>0</v>
      </c>
      <c r="S49" s="598"/>
      <c r="T49" s="599">
        <v>0</v>
      </c>
      <c r="U49" s="598"/>
      <c r="V49" s="648">
        <f>'BF - transport'!O21</f>
        <v>0</v>
      </c>
    </row>
    <row r="50" spans="1:22" x14ac:dyDescent="0.25">
      <c r="A50" s="604" t="s">
        <v>374</v>
      </c>
      <c r="B50" s="650">
        <f>Nøgletal!D671</f>
        <v>0</v>
      </c>
      <c r="C50" s="650"/>
      <c r="D50" s="650">
        <f>Nøgletal!F671</f>
        <v>1.0000000000000002E-4</v>
      </c>
      <c r="E50" s="650"/>
      <c r="F50" s="650">
        <f>Nøgletal!H671</f>
        <v>1.6000000000000003E-3</v>
      </c>
      <c r="G50" s="650"/>
      <c r="H50" s="650">
        <f>Nøgletal!J671</f>
        <v>3.7699999999999997E-2</v>
      </c>
      <c r="I50" s="650"/>
      <c r="J50" s="650">
        <f>Nøgletal!L671</f>
        <v>6.3299999999999995E-2</v>
      </c>
      <c r="K50" s="650"/>
      <c r="L50" s="650">
        <f>Nøgletal!N671</f>
        <v>7.0999999999999994E-2</v>
      </c>
      <c r="M50" s="650"/>
      <c r="N50" s="650">
        <f>Nøgletal!P671</f>
        <v>6.8999999999999992E-2</v>
      </c>
      <c r="O50" s="650"/>
      <c r="P50" s="598">
        <f>Nøgletal!R671</f>
        <v>6.8999999999999992E-2</v>
      </c>
      <c r="Q50" s="598"/>
      <c r="R50" s="599">
        <v>6.8999999999999992E-2</v>
      </c>
      <c r="S50" s="598"/>
      <c r="T50" s="599">
        <v>6.4814814814814811E-2</v>
      </c>
      <c r="U50" s="598"/>
      <c r="V50" s="648">
        <f>'BF - transport'!O22</f>
        <v>6.4814814814814811E-2</v>
      </c>
    </row>
    <row r="51" spans="1:22" x14ac:dyDescent="0.25">
      <c r="A51" s="604" t="s">
        <v>628</v>
      </c>
      <c r="B51" s="650">
        <f>Nøgletal!D672</f>
        <v>0</v>
      </c>
      <c r="C51" s="650"/>
      <c r="D51" s="650">
        <f>Nøgletal!F672</f>
        <v>0</v>
      </c>
      <c r="E51" s="650"/>
      <c r="F51" s="650">
        <f>Nøgletal!H672</f>
        <v>0</v>
      </c>
      <c r="G51" s="650"/>
      <c r="H51" s="650">
        <f>Nøgletal!J672</f>
        <v>0</v>
      </c>
      <c r="I51" s="650"/>
      <c r="J51" s="650">
        <f>Nøgletal!L672</f>
        <v>0</v>
      </c>
      <c r="K51" s="650"/>
      <c r="L51" s="650">
        <f>Nøgletal!N672</f>
        <v>0</v>
      </c>
      <c r="M51" s="650"/>
      <c r="N51" s="650">
        <f>Nøgletal!P672</f>
        <v>0</v>
      </c>
      <c r="O51" s="650"/>
      <c r="P51" s="598">
        <f>Nøgletal!R672</f>
        <v>0</v>
      </c>
      <c r="Q51" s="598"/>
      <c r="R51" s="599">
        <v>0</v>
      </c>
      <c r="S51" s="598"/>
      <c r="T51" s="599">
        <v>0</v>
      </c>
      <c r="U51" s="598"/>
      <c r="V51" s="648">
        <f>'BF - transport'!O25</f>
        <v>0</v>
      </c>
    </row>
    <row r="52" spans="1:22" x14ac:dyDescent="0.25">
      <c r="A52" s="604" t="s">
        <v>27</v>
      </c>
      <c r="B52" s="650">
        <f>Nøgletal!D673</f>
        <v>0</v>
      </c>
      <c r="C52" s="650"/>
      <c r="D52" s="650">
        <f>Nøgletal!F673</f>
        <v>0</v>
      </c>
      <c r="E52" s="650"/>
      <c r="F52" s="650">
        <f>Nøgletal!H673</f>
        <v>0</v>
      </c>
      <c r="G52" s="650"/>
      <c r="H52" s="650">
        <f>Nøgletal!J673</f>
        <v>0</v>
      </c>
      <c r="I52" s="650"/>
      <c r="J52" s="650">
        <f>Nøgletal!L673</f>
        <v>0</v>
      </c>
      <c r="K52" s="650"/>
      <c r="L52" s="650">
        <f>Nøgletal!N673</f>
        <v>0</v>
      </c>
      <c r="M52" s="650"/>
      <c r="N52" s="650">
        <f>Nøgletal!P673</f>
        <v>0</v>
      </c>
      <c r="O52" s="650"/>
      <c r="P52" s="598">
        <f>Nøgletal!R673</f>
        <v>0</v>
      </c>
      <c r="Q52" s="598"/>
      <c r="R52" s="599">
        <v>0</v>
      </c>
      <c r="S52" s="598"/>
      <c r="T52" s="599">
        <v>0</v>
      </c>
      <c r="U52" s="598"/>
      <c r="V52" s="648">
        <f>'BF - transport'!O24</f>
        <v>0</v>
      </c>
    </row>
    <row r="53" spans="1:22" x14ac:dyDescent="0.25">
      <c r="A53" s="629" t="s">
        <v>482</v>
      </c>
      <c r="B53" s="650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598"/>
      <c r="Q53" s="598"/>
      <c r="R53" s="598"/>
      <c r="S53" s="598"/>
      <c r="T53" s="598"/>
      <c r="U53" s="598"/>
      <c r="V53" s="667"/>
    </row>
    <row r="54" spans="1:22" x14ac:dyDescent="0.25">
      <c r="A54" s="604" t="s">
        <v>9</v>
      </c>
      <c r="B54" s="650">
        <f>Nøgletal!D675</f>
        <v>1</v>
      </c>
      <c r="C54" s="650"/>
      <c r="D54" s="650">
        <f>Nøgletal!F675</f>
        <v>1</v>
      </c>
      <c r="E54" s="650"/>
      <c r="F54" s="650">
        <f>Nøgletal!H675</f>
        <v>1</v>
      </c>
      <c r="G54" s="650"/>
      <c r="H54" s="650">
        <f>Nøgletal!J675</f>
        <v>1</v>
      </c>
      <c r="I54" s="650"/>
      <c r="J54" s="650">
        <f>Nøgletal!L675</f>
        <v>1</v>
      </c>
      <c r="K54" s="650"/>
      <c r="L54" s="650">
        <f>Nøgletal!N675</f>
        <v>1</v>
      </c>
      <c r="M54" s="650"/>
      <c r="N54" s="650">
        <f>Nøgletal!P675</f>
        <v>1</v>
      </c>
      <c r="O54" s="650"/>
      <c r="P54" s="598">
        <f>Nøgletal!R675</f>
        <v>1</v>
      </c>
      <c r="Q54" s="598"/>
      <c r="R54" s="644">
        <f>1-R55-R57-R56</f>
        <v>1</v>
      </c>
      <c r="S54" s="650"/>
      <c r="T54" s="644">
        <f>1-T55-T57-T56</f>
        <v>0.19148936170212771</v>
      </c>
      <c r="U54" s="598"/>
      <c r="V54" s="648">
        <f>'BF - transport'!O40</f>
        <v>0.19148936170212766</v>
      </c>
    </row>
    <row r="55" spans="1:22" x14ac:dyDescent="0.25">
      <c r="A55" s="604" t="s">
        <v>374</v>
      </c>
      <c r="B55" s="650">
        <f>Nøgletal!D676</f>
        <v>0</v>
      </c>
      <c r="C55" s="650"/>
      <c r="D55" s="650">
        <f>Nøgletal!F676</f>
        <v>0</v>
      </c>
      <c r="E55" s="650"/>
      <c r="F55" s="650">
        <f>Nøgletal!H676</f>
        <v>0</v>
      </c>
      <c r="G55" s="650"/>
      <c r="H55" s="650">
        <f>Nøgletal!J676</f>
        <v>0</v>
      </c>
      <c r="I55" s="650"/>
      <c r="J55" s="650">
        <f>Nøgletal!L676</f>
        <v>0</v>
      </c>
      <c r="K55" s="650"/>
      <c r="L55" s="650">
        <f>Nøgletal!N676</f>
        <v>0</v>
      </c>
      <c r="M55" s="650"/>
      <c r="N55" s="650">
        <f>Nøgletal!P676</f>
        <v>0</v>
      </c>
      <c r="O55" s="650"/>
      <c r="P55" s="598">
        <f>Nøgletal!R676</f>
        <v>0</v>
      </c>
      <c r="Q55" s="598"/>
      <c r="R55" s="599">
        <v>0</v>
      </c>
      <c r="S55" s="598"/>
      <c r="T55" s="599">
        <v>0</v>
      </c>
      <c r="U55" s="598"/>
      <c r="V55" s="648">
        <v>0</v>
      </c>
    </row>
    <row r="56" spans="1:22" x14ac:dyDescent="0.25">
      <c r="A56" s="604" t="s">
        <v>628</v>
      </c>
      <c r="B56" s="650">
        <f>Nøgletal!D677</f>
        <v>0</v>
      </c>
      <c r="C56" s="650"/>
      <c r="D56" s="650">
        <f>Nøgletal!F677</f>
        <v>0</v>
      </c>
      <c r="E56" s="650"/>
      <c r="F56" s="650">
        <f>Nøgletal!H677</f>
        <v>0</v>
      </c>
      <c r="G56" s="650"/>
      <c r="H56" s="650">
        <f>Nøgletal!J677</f>
        <v>0</v>
      </c>
      <c r="I56" s="650"/>
      <c r="J56" s="650">
        <f>Nøgletal!L677</f>
        <v>0</v>
      </c>
      <c r="K56" s="650"/>
      <c r="L56" s="650">
        <f>Nøgletal!N677</f>
        <v>0</v>
      </c>
      <c r="M56" s="650"/>
      <c r="N56" s="650">
        <f>Nøgletal!P677</f>
        <v>0</v>
      </c>
      <c r="O56" s="650"/>
      <c r="P56" s="598">
        <f>Nøgletal!R677</f>
        <v>0</v>
      </c>
      <c r="Q56" s="598"/>
      <c r="R56" s="599">
        <v>0</v>
      </c>
      <c r="S56" s="598"/>
      <c r="T56" s="599">
        <v>0</v>
      </c>
      <c r="U56" s="598"/>
      <c r="V56" s="648">
        <v>0</v>
      </c>
    </row>
    <row r="57" spans="1:22" x14ac:dyDescent="0.25">
      <c r="A57" s="604" t="s">
        <v>27</v>
      </c>
      <c r="B57" s="650">
        <f>Nøgletal!D678</f>
        <v>0</v>
      </c>
      <c r="C57" s="650"/>
      <c r="D57" s="650">
        <f>Nøgletal!F678</f>
        <v>0</v>
      </c>
      <c r="E57" s="650"/>
      <c r="F57" s="650">
        <f>Nøgletal!H678</f>
        <v>0</v>
      </c>
      <c r="G57" s="650"/>
      <c r="H57" s="650">
        <f>Nøgletal!J678</f>
        <v>0</v>
      </c>
      <c r="I57" s="650"/>
      <c r="J57" s="650">
        <f>Nøgletal!L678</f>
        <v>0</v>
      </c>
      <c r="K57" s="650"/>
      <c r="L57" s="650">
        <f>Nøgletal!N678</f>
        <v>0</v>
      </c>
      <c r="M57" s="650"/>
      <c r="N57" s="650">
        <f>Nøgletal!P678</f>
        <v>0</v>
      </c>
      <c r="O57" s="650"/>
      <c r="P57" s="598">
        <f>Nøgletal!R678</f>
        <v>0</v>
      </c>
      <c r="Q57" s="598"/>
      <c r="R57" s="599">
        <v>0</v>
      </c>
      <c r="S57" s="598"/>
      <c r="T57" s="599">
        <v>0.80851063829787229</v>
      </c>
      <c r="U57" s="598"/>
      <c r="V57" s="648">
        <f>'BF - transport'!O41</f>
        <v>0.80851063829787229</v>
      </c>
    </row>
    <row r="58" spans="1:22" x14ac:dyDescent="0.25">
      <c r="A58" s="629" t="s">
        <v>483</v>
      </c>
      <c r="B58" s="650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598"/>
      <c r="Q58" s="598"/>
      <c r="R58" s="598"/>
      <c r="S58" s="598"/>
      <c r="T58" s="598"/>
      <c r="U58" s="598"/>
      <c r="V58" s="667"/>
    </row>
    <row r="59" spans="1:22" x14ac:dyDescent="0.25">
      <c r="A59" s="604" t="s">
        <v>10</v>
      </c>
      <c r="B59" s="650">
        <f>Nøgletal!D680</f>
        <v>0.99745331069609511</v>
      </c>
      <c r="C59" s="650"/>
      <c r="D59" s="650">
        <f>Nøgletal!F680</f>
        <v>0.99750000000000005</v>
      </c>
      <c r="E59" s="650"/>
      <c r="F59" s="650">
        <f>Nøgletal!H680</f>
        <v>0.99749216300940424</v>
      </c>
      <c r="G59" s="650"/>
      <c r="H59" s="650">
        <f>Nøgletal!J680</f>
        <v>0.99825885084155541</v>
      </c>
      <c r="I59" s="650"/>
      <c r="J59" s="650">
        <f>Nøgletal!L680</f>
        <v>0.9981388649807047</v>
      </c>
      <c r="K59" s="650"/>
      <c r="L59" s="650">
        <f>Nøgletal!N680</f>
        <v>0.99856774563162409</v>
      </c>
      <c r="M59" s="650"/>
      <c r="N59" s="650">
        <f>Nøgletal!P680</f>
        <v>0.99930011923894446</v>
      </c>
      <c r="O59" s="650"/>
      <c r="P59" s="598">
        <f>Nøgletal!R680</f>
        <v>0.99930011923894446</v>
      </c>
      <c r="Q59" s="598"/>
      <c r="R59" s="644">
        <f>1-R60-R61-R63-R62</f>
        <v>0.99930011923894446</v>
      </c>
      <c r="S59" s="650"/>
      <c r="T59" s="644">
        <f>1-T60-T61-T63-T62</f>
        <v>1</v>
      </c>
      <c r="U59" s="598"/>
      <c r="V59" s="648">
        <f>'BF - transport'!P46</f>
        <v>1</v>
      </c>
    </row>
    <row r="60" spans="1:22" x14ac:dyDescent="0.25">
      <c r="A60" s="604" t="s">
        <v>11</v>
      </c>
      <c r="B60" s="650">
        <f>Nøgletal!D681</f>
        <v>2.5466893039049238E-3</v>
      </c>
      <c r="C60" s="650"/>
      <c r="D60" s="650">
        <f>Nøgletal!F681</f>
        <v>2.5000000000000001E-3</v>
      </c>
      <c r="E60" s="650"/>
      <c r="F60" s="650">
        <f>Nøgletal!H681</f>
        <v>2.507836990595611E-3</v>
      </c>
      <c r="G60" s="650"/>
      <c r="H60" s="650">
        <f>Nøgletal!J681</f>
        <v>1.7411491584445732E-3</v>
      </c>
      <c r="I60" s="650"/>
      <c r="J60" s="650">
        <f>Nøgletal!L681</f>
        <v>1.8611350192953547E-3</v>
      </c>
      <c r="K60" s="650"/>
      <c r="L60" s="650">
        <f>Nøgletal!N681</f>
        <v>1.4322543683758233E-3</v>
      </c>
      <c r="M60" s="650"/>
      <c r="N60" s="650">
        <f>Nøgletal!P681</f>
        <v>6.9988076105552399E-4</v>
      </c>
      <c r="O60" s="650"/>
      <c r="P60" s="598">
        <f>Nøgletal!R681</f>
        <v>6.9988076105552399E-4</v>
      </c>
      <c r="Q60" s="598"/>
      <c r="R60" s="599">
        <v>6.9988076105552399E-4</v>
      </c>
      <c r="S60" s="598"/>
      <c r="T60" s="599">
        <v>0</v>
      </c>
      <c r="U60" s="598"/>
      <c r="V60" s="648">
        <f>'BF - transport'!P48+'BF - transport'!P45</f>
        <v>0</v>
      </c>
    </row>
    <row r="61" spans="1:22" x14ac:dyDescent="0.25">
      <c r="A61" s="604" t="s">
        <v>374</v>
      </c>
      <c r="B61" s="650">
        <f>Nøgletal!D682</f>
        <v>0</v>
      </c>
      <c r="C61" s="650"/>
      <c r="D61" s="650">
        <f>Nøgletal!F682</f>
        <v>0</v>
      </c>
      <c r="E61" s="650"/>
      <c r="F61" s="650">
        <f>Nøgletal!H682</f>
        <v>0</v>
      </c>
      <c r="G61" s="650"/>
      <c r="H61" s="650">
        <f>Nøgletal!J682</f>
        <v>0</v>
      </c>
      <c r="I61" s="650"/>
      <c r="J61" s="650">
        <f>Nøgletal!L682</f>
        <v>0</v>
      </c>
      <c r="K61" s="650"/>
      <c r="L61" s="650">
        <f>Nøgletal!N682</f>
        <v>0</v>
      </c>
      <c r="M61" s="650"/>
      <c r="N61" s="650">
        <f>Nøgletal!P682</f>
        <v>0</v>
      </c>
      <c r="O61" s="650"/>
      <c r="P61" s="598">
        <f>Nøgletal!R682</f>
        <v>0</v>
      </c>
      <c r="Q61" s="598"/>
      <c r="R61" s="599">
        <v>0</v>
      </c>
      <c r="S61" s="598"/>
      <c r="T61" s="599">
        <v>0</v>
      </c>
      <c r="U61" s="598"/>
      <c r="V61" s="648">
        <f>'BF - transport'!P47</f>
        <v>0</v>
      </c>
    </row>
    <row r="62" spans="1:22" x14ac:dyDescent="0.25">
      <c r="A62" s="604" t="s">
        <v>628</v>
      </c>
      <c r="B62" s="650">
        <f>Nøgletal!D683</f>
        <v>0</v>
      </c>
      <c r="C62" s="650"/>
      <c r="D62" s="650">
        <f>Nøgletal!F683</f>
        <v>0</v>
      </c>
      <c r="E62" s="650"/>
      <c r="F62" s="650">
        <f>Nøgletal!H683</f>
        <v>0</v>
      </c>
      <c r="G62" s="650"/>
      <c r="H62" s="650">
        <f>Nøgletal!J683</f>
        <v>0</v>
      </c>
      <c r="I62" s="650"/>
      <c r="J62" s="650">
        <f>Nøgletal!L683</f>
        <v>0</v>
      </c>
      <c r="K62" s="650"/>
      <c r="L62" s="650">
        <f>Nøgletal!N683</f>
        <v>0</v>
      </c>
      <c r="M62" s="650"/>
      <c r="N62" s="650">
        <f>Nøgletal!P683</f>
        <v>0</v>
      </c>
      <c r="O62" s="650"/>
      <c r="P62" s="598">
        <f>Nøgletal!R683</f>
        <v>0</v>
      </c>
      <c r="Q62" s="598"/>
      <c r="R62" s="599">
        <v>0</v>
      </c>
      <c r="S62" s="598"/>
      <c r="T62" s="599">
        <v>0</v>
      </c>
      <c r="U62" s="598"/>
      <c r="V62" s="648">
        <v>0</v>
      </c>
    </row>
    <row r="63" spans="1:22" x14ac:dyDescent="0.25">
      <c r="A63" s="604" t="s">
        <v>27</v>
      </c>
      <c r="B63" s="650">
        <f>Nøgletal!D684</f>
        <v>0</v>
      </c>
      <c r="C63" s="650"/>
      <c r="D63" s="650">
        <f>Nøgletal!F684</f>
        <v>0</v>
      </c>
      <c r="E63" s="650"/>
      <c r="F63" s="650">
        <f>Nøgletal!H684</f>
        <v>0</v>
      </c>
      <c r="G63" s="650"/>
      <c r="H63" s="650">
        <f>Nøgletal!J684</f>
        <v>0</v>
      </c>
      <c r="I63" s="650"/>
      <c r="J63" s="650">
        <f>Nøgletal!L684</f>
        <v>0</v>
      </c>
      <c r="K63" s="650"/>
      <c r="L63" s="650">
        <f>Nøgletal!N684</f>
        <v>0</v>
      </c>
      <c r="M63" s="650"/>
      <c r="N63" s="650">
        <f>Nøgletal!P684</f>
        <v>0</v>
      </c>
      <c r="O63" s="650"/>
      <c r="P63" s="598">
        <f>Nøgletal!R684</f>
        <v>0</v>
      </c>
      <c r="Q63" s="598"/>
      <c r="R63" s="599">
        <v>0</v>
      </c>
      <c r="S63" s="598"/>
      <c r="T63" s="599">
        <v>0</v>
      </c>
      <c r="U63" s="598"/>
      <c r="V63" s="648">
        <v>0</v>
      </c>
    </row>
    <row r="64" spans="1:22" x14ac:dyDescent="0.25">
      <c r="A64" s="629" t="s">
        <v>484</v>
      </c>
      <c r="B64" s="650"/>
      <c r="C64" s="650"/>
      <c r="D64" s="650"/>
      <c r="E64" s="650"/>
      <c r="F64" s="650"/>
      <c r="G64" s="650"/>
      <c r="H64" s="650"/>
      <c r="I64" s="650"/>
      <c r="J64" s="650"/>
      <c r="K64" s="650"/>
      <c r="L64" s="650"/>
      <c r="M64" s="650"/>
      <c r="N64" s="650"/>
      <c r="O64" s="650"/>
      <c r="P64" s="598"/>
      <c r="Q64" s="598"/>
      <c r="R64" s="598"/>
      <c r="S64" s="598"/>
      <c r="T64" s="598"/>
      <c r="U64" s="598"/>
      <c r="V64" s="667"/>
    </row>
    <row r="65" spans="1:22" x14ac:dyDescent="0.25">
      <c r="A65" s="654" t="s">
        <v>7</v>
      </c>
      <c r="B65" s="650">
        <f>Nøgletal!D686</f>
        <v>0.17602427921092564</v>
      </c>
      <c r="C65" s="650"/>
      <c r="D65" s="650">
        <f>Nøgletal!F686</f>
        <v>0.14324693042291953</v>
      </c>
      <c r="E65" s="650"/>
      <c r="F65" s="650">
        <f>Nøgletal!H686</f>
        <v>0.13843888070692192</v>
      </c>
      <c r="G65" s="650"/>
      <c r="H65" s="650">
        <f>Nøgletal!J686</f>
        <v>0.11478260869565216</v>
      </c>
      <c r="I65" s="650"/>
      <c r="J65" s="650">
        <f>Nøgletal!L686</f>
        <v>0.12315825938826877</v>
      </c>
      <c r="K65" s="650"/>
      <c r="L65" s="650">
        <f>Nøgletal!N686</f>
        <v>7.9051383399209481E-3</v>
      </c>
      <c r="M65" s="650"/>
      <c r="N65" s="650">
        <f>Nøgletal!P686</f>
        <v>0</v>
      </c>
      <c r="O65" s="650"/>
      <c r="P65" s="598">
        <f>Nøgletal!R686</f>
        <v>0</v>
      </c>
      <c r="Q65" s="598"/>
      <c r="R65" s="644">
        <f>1-R66-R67-R69-R68</f>
        <v>0</v>
      </c>
      <c r="S65" s="650"/>
      <c r="T65" s="644">
        <f>1-T66-T67-T69-T68</f>
        <v>-5.8980598183211441E-17</v>
      </c>
      <c r="U65" s="598"/>
      <c r="V65" s="648">
        <f>'BF - transport'!O57</f>
        <v>0</v>
      </c>
    </row>
    <row r="66" spans="1:22" x14ac:dyDescent="0.25">
      <c r="A66" s="604" t="s">
        <v>9</v>
      </c>
      <c r="B66" s="650">
        <f>Nøgletal!D687</f>
        <v>0.82397572078907433</v>
      </c>
      <c r="C66" s="650"/>
      <c r="D66" s="650">
        <f>Nøgletal!F687</f>
        <v>0.85675306957708053</v>
      </c>
      <c r="E66" s="650"/>
      <c r="F66" s="650">
        <f>Nøgletal!H687</f>
        <v>0.86156111929307788</v>
      </c>
      <c r="G66" s="650"/>
      <c r="H66" s="650">
        <f>Nøgletal!J687</f>
        <v>0.88521739130434784</v>
      </c>
      <c r="I66" s="650"/>
      <c r="J66" s="650">
        <f>Nøgletal!L687</f>
        <v>0.87684174061173115</v>
      </c>
      <c r="K66" s="650"/>
      <c r="L66" s="650">
        <f>Nøgletal!N687</f>
        <v>0.99209486166007921</v>
      </c>
      <c r="M66" s="650"/>
      <c r="N66" s="650">
        <f>Nøgletal!P687</f>
        <v>1</v>
      </c>
      <c r="O66" s="650"/>
      <c r="P66" s="598">
        <f>Nøgletal!R687</f>
        <v>1</v>
      </c>
      <c r="Q66" s="598"/>
      <c r="R66" s="599">
        <v>1</v>
      </c>
      <c r="S66" s="598"/>
      <c r="T66" s="599">
        <v>0.98333333333333339</v>
      </c>
      <c r="U66" s="598"/>
      <c r="V66" s="648">
        <f>'BF - transport'!O58</f>
        <v>0.98333333333333339</v>
      </c>
    </row>
    <row r="67" spans="1:22" x14ac:dyDescent="0.25">
      <c r="A67" s="604" t="s">
        <v>374</v>
      </c>
      <c r="B67" s="650">
        <f>Nøgletal!D688</f>
        <v>0</v>
      </c>
      <c r="C67" s="650"/>
      <c r="D67" s="650">
        <f>Nøgletal!F688</f>
        <v>0</v>
      </c>
      <c r="E67" s="650"/>
      <c r="F67" s="650">
        <f>Nøgletal!H688</f>
        <v>0</v>
      </c>
      <c r="G67" s="650"/>
      <c r="H67" s="650">
        <f>Nøgletal!J688</f>
        <v>0</v>
      </c>
      <c r="I67" s="650"/>
      <c r="J67" s="650">
        <f>Nøgletal!L688</f>
        <v>0</v>
      </c>
      <c r="K67" s="650"/>
      <c r="L67" s="650">
        <f>Nøgletal!N688</f>
        <v>0</v>
      </c>
      <c r="M67" s="650"/>
      <c r="N67" s="650">
        <f>Nøgletal!P688</f>
        <v>0</v>
      </c>
      <c r="O67" s="650"/>
      <c r="P67" s="598">
        <f>Nøgletal!R688</f>
        <v>0</v>
      </c>
      <c r="Q67" s="598"/>
      <c r="R67" s="599">
        <v>0</v>
      </c>
      <c r="S67" s="598"/>
      <c r="T67" s="599">
        <v>0</v>
      </c>
      <c r="U67" s="598"/>
      <c r="V67" s="648">
        <v>0</v>
      </c>
    </row>
    <row r="68" spans="1:22" x14ac:dyDescent="0.25">
      <c r="A68" s="604" t="s">
        <v>628</v>
      </c>
      <c r="B68" s="650">
        <f>Nøgletal!D689</f>
        <v>0</v>
      </c>
      <c r="C68" s="650"/>
      <c r="D68" s="650">
        <f>Nøgletal!F689</f>
        <v>0</v>
      </c>
      <c r="E68" s="650"/>
      <c r="F68" s="650">
        <f>Nøgletal!H689</f>
        <v>0</v>
      </c>
      <c r="G68" s="650"/>
      <c r="H68" s="650">
        <f>Nøgletal!J689</f>
        <v>0</v>
      </c>
      <c r="I68" s="650"/>
      <c r="J68" s="650">
        <f>Nøgletal!L689</f>
        <v>0</v>
      </c>
      <c r="K68" s="650"/>
      <c r="L68" s="650">
        <f>Nøgletal!N689</f>
        <v>0</v>
      </c>
      <c r="M68" s="650"/>
      <c r="N68" s="650">
        <f>Nøgletal!P689</f>
        <v>0</v>
      </c>
      <c r="O68" s="650"/>
      <c r="P68" s="598">
        <f>Nøgletal!R689</f>
        <v>0</v>
      </c>
      <c r="Q68" s="598"/>
      <c r="R68" s="599">
        <v>0</v>
      </c>
      <c r="S68" s="598"/>
      <c r="T68" s="599">
        <v>0</v>
      </c>
      <c r="U68" s="598"/>
      <c r="V68" s="648">
        <v>0</v>
      </c>
    </row>
    <row r="69" spans="1:22" x14ac:dyDescent="0.25">
      <c r="A69" s="604" t="s">
        <v>27</v>
      </c>
      <c r="B69" s="650">
        <f>Nøgletal!D690</f>
        <v>0</v>
      </c>
      <c r="C69" s="650"/>
      <c r="D69" s="650">
        <f>Nøgletal!F690</f>
        <v>0</v>
      </c>
      <c r="E69" s="650"/>
      <c r="F69" s="650">
        <f>Nøgletal!H690</f>
        <v>0</v>
      </c>
      <c r="G69" s="650"/>
      <c r="H69" s="650">
        <f>Nøgletal!J690</f>
        <v>0</v>
      </c>
      <c r="I69" s="650"/>
      <c r="J69" s="650">
        <f>Nøgletal!L690</f>
        <v>0</v>
      </c>
      <c r="K69" s="650"/>
      <c r="L69" s="650">
        <f>Nøgletal!N690</f>
        <v>0</v>
      </c>
      <c r="M69" s="650"/>
      <c r="N69" s="650">
        <f>Nøgletal!P690</f>
        <v>0</v>
      </c>
      <c r="O69" s="650"/>
      <c r="P69" s="598">
        <f>Nøgletal!R690</f>
        <v>0</v>
      </c>
      <c r="Q69" s="598"/>
      <c r="R69" s="599">
        <v>0</v>
      </c>
      <c r="S69" s="598"/>
      <c r="T69" s="599">
        <v>1.6666666666666666E-2</v>
      </c>
      <c r="U69" s="598"/>
      <c r="V69" s="648">
        <f>'BF - transport'!O59</f>
        <v>1.6666666666666666E-2</v>
      </c>
    </row>
    <row r="70" spans="1:22" x14ac:dyDescent="0.25">
      <c r="A70" s="629" t="s">
        <v>481</v>
      </c>
      <c r="B70" s="650"/>
      <c r="C70" s="650"/>
      <c r="D70" s="650"/>
      <c r="E70" s="650"/>
      <c r="F70" s="650"/>
      <c r="G70" s="650"/>
      <c r="H70" s="650"/>
      <c r="I70" s="650"/>
      <c r="J70" s="650"/>
      <c r="K70" s="650"/>
      <c r="L70" s="650"/>
      <c r="M70" s="650"/>
      <c r="N70" s="650"/>
      <c r="O70" s="650"/>
      <c r="P70" s="598"/>
      <c r="Q70" s="598"/>
      <c r="R70" s="598"/>
      <c r="S70" s="598"/>
      <c r="T70" s="598"/>
      <c r="U70" s="598"/>
      <c r="V70" s="667"/>
    </row>
    <row r="71" spans="1:22" x14ac:dyDescent="0.25">
      <c r="A71" s="604" t="s">
        <v>9</v>
      </c>
      <c r="B71" s="650">
        <f>Nøgletal!D692</f>
        <v>1</v>
      </c>
      <c r="C71" s="650"/>
      <c r="D71" s="650">
        <f>Nøgletal!F692</f>
        <v>0.99990000000000012</v>
      </c>
      <c r="E71" s="650"/>
      <c r="F71" s="650">
        <f>Nøgletal!H692</f>
        <v>0.99840000000000018</v>
      </c>
      <c r="G71" s="650"/>
      <c r="H71" s="650">
        <f>Nøgletal!J692</f>
        <v>0.96230000000000004</v>
      </c>
      <c r="I71" s="650"/>
      <c r="J71" s="650">
        <f>Nøgletal!L692</f>
        <v>1</v>
      </c>
      <c r="K71" s="650"/>
      <c r="L71" s="650">
        <f>Nøgletal!N692</f>
        <v>1</v>
      </c>
      <c r="M71" s="650"/>
      <c r="N71" s="650">
        <f>Nøgletal!P692</f>
        <v>1</v>
      </c>
      <c r="O71" s="650"/>
      <c r="P71" s="598">
        <f>Nøgletal!R692</f>
        <v>1</v>
      </c>
      <c r="Q71" s="598"/>
      <c r="R71" s="644">
        <f>1-R72-R73-R74-R75-R76-R77</f>
        <v>1</v>
      </c>
      <c r="S71" s="650"/>
      <c r="T71" s="644">
        <f>1-T72-T73-T74-T75-T76-T77</f>
        <v>1</v>
      </c>
      <c r="U71" s="598"/>
      <c r="V71" s="648"/>
    </row>
    <row r="72" spans="1:22" x14ac:dyDescent="0.25">
      <c r="A72" s="604" t="s">
        <v>11</v>
      </c>
      <c r="B72" s="650">
        <f>Nøgletal!D693</f>
        <v>0</v>
      </c>
      <c r="C72" s="650"/>
      <c r="D72" s="650">
        <f>Nøgletal!F693</f>
        <v>0</v>
      </c>
      <c r="E72" s="650"/>
      <c r="F72" s="650">
        <f>Nøgletal!H693</f>
        <v>0</v>
      </c>
      <c r="G72" s="650"/>
      <c r="H72" s="650">
        <f>Nøgletal!J693</f>
        <v>0</v>
      </c>
      <c r="I72" s="650"/>
      <c r="J72" s="650">
        <f>Nøgletal!L693</f>
        <v>0</v>
      </c>
      <c r="K72" s="650"/>
      <c r="L72" s="650">
        <f>Nøgletal!N693</f>
        <v>0</v>
      </c>
      <c r="M72" s="650"/>
      <c r="N72" s="650">
        <f>Nøgletal!P693</f>
        <v>0</v>
      </c>
      <c r="O72" s="650"/>
      <c r="P72" s="598">
        <f>Nøgletal!R693</f>
        <v>0</v>
      </c>
      <c r="Q72" s="598"/>
      <c r="R72" s="599">
        <v>0</v>
      </c>
      <c r="S72" s="598"/>
      <c r="T72" s="599">
        <v>0</v>
      </c>
      <c r="U72" s="598"/>
      <c r="V72" s="648"/>
    </row>
    <row r="73" spans="1:22" x14ac:dyDescent="0.25">
      <c r="A73" s="604" t="s">
        <v>26</v>
      </c>
      <c r="B73" s="650">
        <f>Nøgletal!D694</f>
        <v>0</v>
      </c>
      <c r="C73" s="650"/>
      <c r="D73" s="650">
        <f>Nøgletal!F694</f>
        <v>0</v>
      </c>
      <c r="E73" s="650"/>
      <c r="F73" s="650">
        <f>Nøgletal!H694</f>
        <v>0</v>
      </c>
      <c r="G73" s="650"/>
      <c r="H73" s="650">
        <f>Nøgletal!J694</f>
        <v>0</v>
      </c>
      <c r="I73" s="650"/>
      <c r="J73" s="650">
        <f>Nøgletal!L694</f>
        <v>0</v>
      </c>
      <c r="K73" s="650"/>
      <c r="L73" s="650">
        <f>Nøgletal!N694</f>
        <v>0</v>
      </c>
      <c r="M73" s="650"/>
      <c r="N73" s="650">
        <f>Nøgletal!P694</f>
        <v>0</v>
      </c>
      <c r="O73" s="650"/>
      <c r="P73" s="598">
        <f>Nøgletal!R694</f>
        <v>0</v>
      </c>
      <c r="Q73" s="598"/>
      <c r="R73" s="599">
        <v>0</v>
      </c>
      <c r="S73" s="598"/>
      <c r="T73" s="599">
        <v>0</v>
      </c>
      <c r="U73" s="598"/>
      <c r="V73" s="648"/>
    </row>
    <row r="74" spans="1:22" x14ac:dyDescent="0.25">
      <c r="A74" s="604" t="s">
        <v>373</v>
      </c>
      <c r="B74" s="650">
        <f>Nøgletal!D695</f>
        <v>0</v>
      </c>
      <c r="C74" s="650"/>
      <c r="D74" s="650">
        <f>Nøgletal!F695</f>
        <v>0</v>
      </c>
      <c r="E74" s="650"/>
      <c r="F74" s="650">
        <f>Nøgletal!H695</f>
        <v>0</v>
      </c>
      <c r="G74" s="650"/>
      <c r="H74" s="650">
        <f>Nøgletal!J695</f>
        <v>0</v>
      </c>
      <c r="I74" s="650"/>
      <c r="J74" s="650">
        <f>Nøgletal!L695</f>
        <v>0</v>
      </c>
      <c r="K74" s="650"/>
      <c r="L74" s="650">
        <f>Nøgletal!N695</f>
        <v>0</v>
      </c>
      <c r="M74" s="650"/>
      <c r="N74" s="650">
        <f>Nøgletal!P695</f>
        <v>0</v>
      </c>
      <c r="O74" s="650"/>
      <c r="P74" s="598">
        <f>Nøgletal!R695</f>
        <v>0</v>
      </c>
      <c r="Q74" s="598"/>
      <c r="R74" s="599">
        <v>0</v>
      </c>
      <c r="S74" s="598"/>
      <c r="T74" s="599">
        <v>0</v>
      </c>
      <c r="U74" s="598"/>
      <c r="V74" s="648"/>
    </row>
    <row r="75" spans="1:22" x14ac:dyDescent="0.25">
      <c r="A75" s="604" t="s">
        <v>3</v>
      </c>
      <c r="B75" s="650">
        <f>Nøgletal!D696</f>
        <v>0</v>
      </c>
      <c r="C75" s="650"/>
      <c r="D75" s="650">
        <f>Nøgletal!F696</f>
        <v>0</v>
      </c>
      <c r="E75" s="650"/>
      <c r="F75" s="650">
        <f>Nøgletal!H696</f>
        <v>0</v>
      </c>
      <c r="G75" s="650"/>
      <c r="H75" s="650">
        <f>Nøgletal!J696</f>
        <v>0</v>
      </c>
      <c r="I75" s="650"/>
      <c r="J75" s="650">
        <f>Nøgletal!L696</f>
        <v>0</v>
      </c>
      <c r="K75" s="650"/>
      <c r="L75" s="650">
        <f>Nøgletal!N696</f>
        <v>0</v>
      </c>
      <c r="M75" s="650"/>
      <c r="N75" s="650">
        <f>Nøgletal!P696</f>
        <v>0</v>
      </c>
      <c r="O75" s="650"/>
      <c r="P75" s="598">
        <f>Nøgletal!R696</f>
        <v>0</v>
      </c>
      <c r="Q75" s="598"/>
      <c r="R75" s="599">
        <v>0</v>
      </c>
      <c r="S75" s="598"/>
      <c r="T75" s="599">
        <v>0</v>
      </c>
      <c r="U75" s="598"/>
      <c r="V75" s="648"/>
    </row>
    <row r="76" spans="1:22" x14ac:dyDescent="0.25">
      <c r="A76" s="604" t="s">
        <v>374</v>
      </c>
      <c r="B76" s="650">
        <f>Nøgletal!D697</f>
        <v>0</v>
      </c>
      <c r="C76" s="650"/>
      <c r="D76" s="650">
        <f>Nøgletal!F697</f>
        <v>1E-4</v>
      </c>
      <c r="E76" s="650"/>
      <c r="F76" s="650">
        <f>Nøgletal!H697</f>
        <v>1.6000000000000005E-3</v>
      </c>
      <c r="G76" s="650"/>
      <c r="H76" s="650">
        <f>Nøgletal!J697</f>
        <v>3.7700000000000004E-2</v>
      </c>
      <c r="I76" s="650"/>
      <c r="J76" s="650">
        <f>Nøgletal!L697</f>
        <v>0</v>
      </c>
      <c r="K76" s="650"/>
      <c r="L76" s="650">
        <f>Nøgletal!N697</f>
        <v>0</v>
      </c>
      <c r="M76" s="650"/>
      <c r="N76" s="650">
        <f>Nøgletal!P697</f>
        <v>0</v>
      </c>
      <c r="O76" s="650"/>
      <c r="P76" s="598">
        <f>Nøgletal!R697</f>
        <v>0</v>
      </c>
      <c r="Q76" s="598"/>
      <c r="R76" s="599">
        <v>0</v>
      </c>
      <c r="S76" s="598"/>
      <c r="T76" s="599">
        <v>0</v>
      </c>
      <c r="U76" s="598"/>
      <c r="V76" s="648"/>
    </row>
    <row r="77" spans="1:22" x14ac:dyDescent="0.25">
      <c r="A77" s="604" t="s">
        <v>27</v>
      </c>
      <c r="B77" s="650">
        <f>Nøgletal!D698</f>
        <v>0</v>
      </c>
      <c r="C77" s="650"/>
      <c r="D77" s="650">
        <f>Nøgletal!F698</f>
        <v>0</v>
      </c>
      <c r="E77" s="650"/>
      <c r="F77" s="650">
        <f>Nøgletal!H698</f>
        <v>0</v>
      </c>
      <c r="G77" s="650"/>
      <c r="H77" s="650">
        <f>Nøgletal!J698</f>
        <v>0</v>
      </c>
      <c r="I77" s="650"/>
      <c r="J77" s="650">
        <f>Nøgletal!L698</f>
        <v>0</v>
      </c>
      <c r="K77" s="650"/>
      <c r="L77" s="650">
        <f>Nøgletal!N698</f>
        <v>0</v>
      </c>
      <c r="M77" s="650"/>
      <c r="N77" s="650">
        <f>Nøgletal!P698</f>
        <v>0</v>
      </c>
      <c r="O77" s="650"/>
      <c r="P77" s="598">
        <f>Nøgletal!R698</f>
        <v>0</v>
      </c>
      <c r="Q77" s="598"/>
      <c r="R77" s="599">
        <v>0</v>
      </c>
      <c r="S77" s="598"/>
      <c r="T77" s="599">
        <v>0</v>
      </c>
      <c r="U77" s="598"/>
      <c r="V77" s="648"/>
    </row>
    <row r="78" spans="1:22" x14ac:dyDescent="0.25">
      <c r="A78" s="654"/>
      <c r="B78" s="604"/>
      <c r="C78" s="604"/>
      <c r="D78" s="604"/>
      <c r="E78" s="604"/>
      <c r="F78" s="604"/>
      <c r="G78" s="604"/>
      <c r="H78" s="604"/>
      <c r="I78" s="604"/>
      <c r="J78" s="604"/>
      <c r="K78" s="604"/>
      <c r="L78" s="604"/>
      <c r="M78" s="604"/>
      <c r="N78" s="604"/>
      <c r="O78" s="604"/>
    </row>
    <row r="79" spans="1:22" x14ac:dyDescent="0.25">
      <c r="A79" s="671"/>
      <c r="B79" s="604"/>
      <c r="C79" s="604"/>
      <c r="D79" s="604"/>
      <c r="E79" s="604"/>
      <c r="F79" s="604"/>
      <c r="G79" s="604"/>
      <c r="H79" s="604"/>
      <c r="I79" s="604"/>
      <c r="J79" s="604"/>
      <c r="K79" s="604"/>
      <c r="L79" s="604"/>
      <c r="M79" s="604"/>
      <c r="N79" s="604"/>
      <c r="O79" s="604"/>
    </row>
    <row r="80" spans="1:22" x14ac:dyDescent="0.25">
      <c r="A80" s="671"/>
      <c r="B80" s="604"/>
      <c r="C80" s="604"/>
      <c r="D80" s="604"/>
      <c r="E80" s="604"/>
      <c r="F80" s="604"/>
      <c r="G80" s="604"/>
      <c r="H80" s="604"/>
      <c r="I80" s="604"/>
      <c r="J80" s="604"/>
      <c r="K80" s="604"/>
      <c r="L80" s="604"/>
      <c r="M80" s="604"/>
      <c r="N80" s="604"/>
      <c r="O80" s="604"/>
    </row>
    <row r="81" spans="1:15" x14ac:dyDescent="0.25">
      <c r="A81" s="673"/>
      <c r="B81" s="604"/>
      <c r="C81" s="604"/>
      <c r="D81" s="604"/>
      <c r="E81" s="604"/>
      <c r="F81" s="604"/>
      <c r="G81" s="604"/>
      <c r="H81" s="604"/>
      <c r="I81" s="604"/>
      <c r="J81" s="604"/>
      <c r="K81" s="604"/>
      <c r="L81" s="604"/>
      <c r="M81" s="604"/>
      <c r="N81" s="604"/>
      <c r="O81" s="604"/>
    </row>
    <row r="82" spans="1:15" x14ac:dyDescent="0.25">
      <c r="A82" s="673"/>
      <c r="B82" s="604"/>
      <c r="C82" s="604"/>
      <c r="D82" s="604"/>
      <c r="E82" s="604"/>
      <c r="F82" s="604"/>
      <c r="G82" s="604"/>
      <c r="H82" s="604"/>
      <c r="I82" s="604"/>
      <c r="J82" s="604"/>
      <c r="K82" s="604"/>
      <c r="L82" s="604"/>
      <c r="M82" s="604"/>
      <c r="N82" s="604"/>
      <c r="O82" s="604"/>
    </row>
    <row r="83" spans="1:15" x14ac:dyDescent="0.25">
      <c r="A83" s="673"/>
      <c r="B83" s="604"/>
      <c r="C83" s="604"/>
      <c r="D83" s="604"/>
      <c r="E83" s="604"/>
      <c r="F83" s="604"/>
      <c r="G83" s="604"/>
      <c r="H83" s="604"/>
      <c r="I83" s="604"/>
      <c r="J83" s="604"/>
      <c r="K83" s="604"/>
      <c r="L83" s="604"/>
      <c r="M83" s="604"/>
      <c r="N83" s="604"/>
      <c r="O83" s="604"/>
    </row>
    <row r="84" spans="1:15" x14ac:dyDescent="0.25">
      <c r="A84" s="663"/>
    </row>
    <row r="85" spans="1:15" x14ac:dyDescent="0.25">
      <c r="A85" s="663"/>
    </row>
    <row r="86" spans="1:15" x14ac:dyDescent="0.25">
      <c r="A86" s="663"/>
    </row>
    <row r="87" spans="1:15" x14ac:dyDescent="0.25">
      <c r="A87" s="663"/>
    </row>
    <row r="88" spans="1:15" x14ac:dyDescent="0.25">
      <c r="A88" s="663"/>
    </row>
    <row r="89" spans="1:15" x14ac:dyDescent="0.25">
      <c r="A89" s="663"/>
    </row>
    <row r="90" spans="1:15" x14ac:dyDescent="0.25">
      <c r="A90" s="663"/>
    </row>
    <row r="91" spans="1:15" x14ac:dyDescent="0.25">
      <c r="A91" s="663"/>
    </row>
  </sheetData>
  <sheetProtection algorithmName="SHA-512" hashValue="2gNs55QPDrHn97mTifHAo1CTSMvd22fNrXnLWKDkwjTmlEBRlSYxNFy0lvjnvuGEk+BLg5Py3dv5Q4Jjdt5XfA==" saltValue="aRmb7/7E7W1PLq2pBfInDg==" spinCount="100000" sheet="1" objects="1" scenarios="1"/>
  <protectedRanges>
    <protectedRange algorithmName="SHA-512" hashValue="4V/CCtTTne0mXTQZ0qNAGPsEv5yF5kRRE1iH67QkIm0TXQfMnZ61tpXfkpQCYj3xZbSuiYsmb8gmiijiNXNKdQ==" saltValue="mt0HFsIlEHJ5uX3olUh+1g==" spinCount="100000" sqref="A1:Q1048576" name="Område12"/>
    <protectedRange algorithmName="SHA-512" hashValue="VDaO/JpVnWj+0WmoIRn6YOKWbuP7fk7u7nkm2P3qwECVECyhaR3NuDLIGHb9sK6V8Vu0Ylyn2mjsdKI/AlwYLw==" saltValue="VbkqTuLcEgEblXgXroJgMw==" spinCount="100000" sqref="R65:T65" name="Område10"/>
    <protectedRange algorithmName="SHA-512" hashValue="XGxknbfzcgQTLz/SC56ryM1P3ox3z8CBynNll65MPsnf9VeHVWdjw99/wathDXFjgAnChUqs199/SRl2VkbJZw==" saltValue="9r0v/GgSV0KqVaVMfVUNTQ==" spinCount="100000" sqref="R54:T54" name="Område8"/>
    <protectedRange algorithmName="SHA-512" hashValue="WOklmGU13OhHUOshEnKqMkk317ZOSqCe9qmIFqUUOnWV2/xMTUyaWHfBdXOsjqgyXFroj2CBWvLQGB1l34Of+g==" saltValue="UqrcI1oHan2PoHMy+7c45g==" spinCount="100000" sqref="R38:T38" name="Område6"/>
    <protectedRange algorithmName="SHA-512" hashValue="bSwVxqTrrN2k3BJwuhKs9pEaButndO38RbR11KCugFipRdJCRSGRWlvx8EyNfxWL3qiOq0lL0EBvxjS515GSTA==" saltValue="FDPifWcqNTkMgCN8PRxttQ==" spinCount="100000" sqref="R20:T20" name="Område4"/>
    <protectedRange algorithmName="SHA-512" hashValue="Gt9Orix60IKa3vtqFhB5UmXMoiT6VhRPy3IWe7Aqkn5hl2uowObcNVheGzWOpNDV1qdnKWWKmK3dRR7Sc6I5Sg==" saltValue="NAD5aDmrPNGBejlVkaVUEQ==" spinCount="100000" sqref="V8:V77" name="Område2"/>
    <protectedRange algorithmName="SHA-512" hashValue="9bmabp2Px3CSSsbftd7rODBD4fAvntwWK2kSTuKadB7ClsxW8wuihrAnY29bApS2VNb9hMUlZ6YQJkfFHJSFoA==" saltValue="VdRr4ILx5QUhjOE7fCWfSQ==" spinCount="100000" sqref="R1:Z4" name="Område1"/>
    <protectedRange algorithmName="SHA-512" hashValue="jayzVSDqgULi7CClPsvPrh562/xKj9BUH+p1xFDRFvPHvJw90wjKoCI2teOouxgywRKQi8f6IOo6KZaoZ05EEA==" saltValue="wMskgOYtTxYZy8P6U0FKew==" spinCount="100000" sqref="R11:T11" name="Område3"/>
    <protectedRange algorithmName="SHA-512" hashValue="iYQx9ne4izY9mM9Nh9FuscZ9gvdn3/RBDGj/d1EkSd1K9keXHCbnBsZggWzmg8/R2z8HehjsdeSbSxs4QClgHg==" saltValue="oI1dDS7tshl4sLoiDv35SA==" spinCount="100000" sqref="R29:T29" name="Område5"/>
    <protectedRange algorithmName="SHA-512" hashValue="7G7etig5LK3w8/IFSNReCoS90SVpJHEHp6DlxOAp+sJGlgcYXzD8a48pijI6YHXzx3rRrb4wmG+avs6amle08w==" saltValue="9+aJKhqA7fHqk/3JGMwi3w==" spinCount="100000" sqref="R46:T46" name="Område7"/>
    <protectedRange algorithmName="SHA-512" hashValue="r+BMnPCSBa55PmdEy7gOtVfT1iQdWuPeT7s0FpZ3JdgIszwqg8uzT4bu6y6Hfwds1JEGaMfJReHD8sk0OufRvg==" saltValue="nen7snYlPJAFonHYteY+8g==" spinCount="100000" sqref="R59:T59" name="Område9"/>
    <protectedRange algorithmName="SHA-512" hashValue="JBBGcJ9sC+mlS4wZItxOfObxhWBGuMwjwQkjxa3mwhw6Ng5AxUwA5e0NZPgbgreoFl4qdViuiB6KTHn4WnA2/g==" saltValue="/rJOXEbmwEZ3g5ucAFZyVA==" spinCount="100000" sqref="R71:T71" name="Område11"/>
  </protectedRanges>
  <mergeCells count="32">
    <mergeCell ref="H4:I4"/>
    <mergeCell ref="J3:K3"/>
    <mergeCell ref="J4:K4"/>
    <mergeCell ref="L3:M3"/>
    <mergeCell ref="L4:M4"/>
    <mergeCell ref="H3:I3"/>
    <mergeCell ref="B4:C4"/>
    <mergeCell ref="D3:E3"/>
    <mergeCell ref="D4:E4"/>
    <mergeCell ref="F3:G3"/>
    <mergeCell ref="F4:G4"/>
    <mergeCell ref="B3:C3"/>
    <mergeCell ref="B2:C2"/>
    <mergeCell ref="D2:E2"/>
    <mergeCell ref="F2:G2"/>
    <mergeCell ref="H2:I2"/>
    <mergeCell ref="J2:K2"/>
    <mergeCell ref="R1:S1"/>
    <mergeCell ref="T1:U1"/>
    <mergeCell ref="P4:Q4"/>
    <mergeCell ref="L2:M2"/>
    <mergeCell ref="N2:O2"/>
    <mergeCell ref="T2:U2"/>
    <mergeCell ref="T3:U3"/>
    <mergeCell ref="T4:U4"/>
    <mergeCell ref="R4:S4"/>
    <mergeCell ref="R2:S2"/>
    <mergeCell ref="R3:S3"/>
    <mergeCell ref="N3:O3"/>
    <mergeCell ref="N4:O4"/>
    <mergeCell ref="P2:Q2"/>
    <mergeCell ref="P3:Q3"/>
  </mergeCells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18"/>
  <sheetViews>
    <sheetView workbookViewId="0">
      <pane xSplit="11" topLeftCell="L1" activePane="topRight" state="frozen"/>
      <selection pane="topRight" activeCell="AA29" sqref="AA29"/>
    </sheetView>
  </sheetViews>
  <sheetFormatPr defaultRowHeight="15" x14ac:dyDescent="0.25"/>
  <cols>
    <col min="1" max="1" width="40.28515625" style="582" customWidth="1"/>
    <col min="2" max="2" width="12.28515625" style="582" hidden="1" customWidth="1"/>
    <col min="3" max="3" width="9.140625" style="582" hidden="1" customWidth="1"/>
    <col min="4" max="4" width="12.85546875" style="582" hidden="1" customWidth="1"/>
    <col min="5" max="5" width="13.28515625" style="582" hidden="1" customWidth="1"/>
    <col min="6" max="6" width="13" style="582" hidden="1" customWidth="1"/>
    <col min="7" max="7" width="13.5703125" style="582" hidden="1" customWidth="1"/>
    <col min="8" max="8" width="13.28515625" style="582" hidden="1" customWidth="1"/>
    <col min="9" max="9" width="13.7109375" style="582" hidden="1" customWidth="1"/>
    <col min="10" max="10" width="12.7109375" style="582" customWidth="1"/>
    <col min="11" max="11" width="13.7109375" style="582" customWidth="1"/>
    <col min="12" max="12" width="11.85546875" style="582" customWidth="1"/>
    <col min="13" max="13" width="12" style="582" customWidth="1"/>
    <col min="14" max="15" width="9.140625" style="582" customWidth="1"/>
    <col min="16" max="16" width="12.7109375" style="582" hidden="1" customWidth="1"/>
    <col min="17" max="17" width="15.140625" style="582" hidden="1" customWidth="1"/>
    <col min="18" max="18" width="12.7109375" style="582" customWidth="1"/>
    <col min="19" max="19" width="15.140625" style="582" customWidth="1"/>
    <col min="20" max="20" width="11" style="582" customWidth="1"/>
    <col min="21" max="21" width="13.42578125" style="582" customWidth="1"/>
    <col min="22" max="22" width="18.28515625" style="582" customWidth="1"/>
    <col min="23" max="16384" width="9.140625" style="582"/>
  </cols>
  <sheetData>
    <row r="1" spans="1:25" x14ac:dyDescent="0.25">
      <c r="A1" s="604" t="s">
        <v>674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R1" s="778">
        <f>Nøgletal!$T2</f>
        <v>379.27115877733439</v>
      </c>
      <c r="S1" s="779"/>
      <c r="T1" s="778">
        <f>Nøgletal!$V2</f>
        <v>255.10348315360176</v>
      </c>
      <c r="U1" s="778"/>
      <c r="V1" s="604" t="s">
        <v>675</v>
      </c>
      <c r="W1" s="661">
        <f>Nøgletal!R2*0.75</f>
        <v>285.01312241748644</v>
      </c>
      <c r="X1" s="582" t="s">
        <v>676</v>
      </c>
      <c r="Y1" s="634">
        <f>Nøgletal!R2*0.4</f>
        <v>152.00699862265944</v>
      </c>
    </row>
    <row r="2" spans="1:25" x14ac:dyDescent="0.25">
      <c r="A2" s="604"/>
      <c r="B2" s="784">
        <v>2006</v>
      </c>
      <c r="C2" s="784"/>
      <c r="D2" s="784">
        <v>2008</v>
      </c>
      <c r="E2" s="784"/>
      <c r="F2" s="784">
        <v>2009</v>
      </c>
      <c r="G2" s="784"/>
      <c r="H2" s="784">
        <v>2011</v>
      </c>
      <c r="I2" s="784"/>
      <c r="J2" s="784">
        <v>2013</v>
      </c>
      <c r="K2" s="784"/>
      <c r="L2" s="766">
        <v>2015</v>
      </c>
      <c r="M2" s="766"/>
      <c r="N2" s="766">
        <v>2017</v>
      </c>
      <c r="O2" s="766"/>
      <c r="P2" s="787">
        <v>2017</v>
      </c>
      <c r="Q2" s="787"/>
      <c r="R2" s="779">
        <v>2025</v>
      </c>
      <c r="S2" s="779"/>
      <c r="T2" s="779">
        <v>2030</v>
      </c>
      <c r="U2" s="779"/>
      <c r="V2" s="604"/>
      <c r="W2" s="604"/>
    </row>
    <row r="3" spans="1:25" ht="18" x14ac:dyDescent="0.35">
      <c r="A3" s="604" t="s">
        <v>540</v>
      </c>
      <c r="B3" s="782">
        <f>Nøgletal!D10</f>
        <v>202.41293727989864</v>
      </c>
      <c r="C3" s="782"/>
      <c r="D3" s="782">
        <f>Nøgletal!F10</f>
        <v>252.2648892481912</v>
      </c>
      <c r="E3" s="782"/>
      <c r="F3" s="782">
        <f>Nøgletal!H10</f>
        <v>228.40741718623633</v>
      </c>
      <c r="G3" s="782"/>
      <c r="H3" s="782">
        <f>Nøgletal!J10</f>
        <v>183.08914459765987</v>
      </c>
      <c r="I3" s="782"/>
      <c r="J3" s="782">
        <f>Nøgletal!L10</f>
        <v>190.37376274957305</v>
      </c>
      <c r="K3" s="782"/>
      <c r="L3" s="768">
        <f>Nøgletal!N10</f>
        <v>272.10840863882743</v>
      </c>
      <c r="M3" s="768"/>
      <c r="N3" s="768">
        <f>Nøgletal!P10</f>
        <v>138.17821723743663</v>
      </c>
      <c r="O3" s="768"/>
      <c r="P3" s="788">
        <f>Nøgletal!R10</f>
        <v>138.17821723743663</v>
      </c>
      <c r="Q3" s="788"/>
      <c r="R3" s="780">
        <f>Nøgletal!T10</f>
        <v>138.12312914332858</v>
      </c>
      <c r="S3" s="780"/>
      <c r="T3" s="780">
        <f>Nøgletal!V10</f>
        <v>35.753427221932895</v>
      </c>
      <c r="U3" s="780"/>
      <c r="V3" s="604"/>
      <c r="W3" s="604"/>
    </row>
    <row r="4" spans="1:25" ht="18" x14ac:dyDescent="0.35">
      <c r="A4" s="604" t="s">
        <v>539</v>
      </c>
      <c r="B4" s="783">
        <f>Nøgletal!E10</f>
        <v>0.44067373405902682</v>
      </c>
      <c r="C4" s="783"/>
      <c r="D4" s="783">
        <f>Nøgletal!G10</f>
        <v>0.49043973204393021</v>
      </c>
      <c r="E4" s="783"/>
      <c r="F4" s="783">
        <f>Nøgletal!I10</f>
        <v>0.46138723225480893</v>
      </c>
      <c r="G4" s="783"/>
      <c r="H4" s="783">
        <f>Nøgletal!K10</f>
        <v>0.42568229917808975</v>
      </c>
      <c r="I4" s="783"/>
      <c r="J4" s="783">
        <f>Nøgletal!M10</f>
        <v>0.44630765590360799</v>
      </c>
      <c r="K4" s="783"/>
      <c r="L4" s="769">
        <f>Nøgletal!O10</f>
        <v>0.66617587197666028</v>
      </c>
      <c r="M4" s="769"/>
      <c r="N4" s="769">
        <f>Nøgletal!Q10</f>
        <v>0.36361014555770232</v>
      </c>
      <c r="O4" s="769"/>
      <c r="P4" s="789">
        <f>Nøgletal!S10</f>
        <v>0.36361014555770232</v>
      </c>
      <c r="Q4" s="789"/>
      <c r="R4" s="781">
        <f>Nøgletal!U10</f>
        <v>0.36418041801174511</v>
      </c>
      <c r="S4" s="781"/>
      <c r="T4" s="781">
        <f>Nøgletal!W10</f>
        <v>0.14015264229224655</v>
      </c>
      <c r="U4" s="781"/>
      <c r="V4" s="604"/>
      <c r="W4" s="604"/>
    </row>
    <row r="5" spans="1:25" ht="18.75" customHeight="1" x14ac:dyDescent="0.25">
      <c r="A5" s="629" t="s">
        <v>502</v>
      </c>
      <c r="B5" s="650">
        <f>Nøgletal!D294</f>
        <v>7.2999999999999954E-2</v>
      </c>
      <c r="C5" s="650"/>
      <c r="D5" s="650">
        <f>Nøgletal!F294</f>
        <v>7.2999999999999954E-2</v>
      </c>
      <c r="E5" s="650"/>
      <c r="F5" s="650">
        <f>Nøgletal!H294</f>
        <v>7.2999999999999954E-2</v>
      </c>
      <c r="G5" s="650"/>
      <c r="H5" s="650">
        <f>Nøgletal!J294</f>
        <v>7.9200000000000048E-2</v>
      </c>
      <c r="I5" s="650"/>
      <c r="J5" s="650">
        <f>Nøgletal!L294</f>
        <v>7.5885400065788922E-2</v>
      </c>
      <c r="K5" s="650"/>
      <c r="L5" s="650">
        <f>Nøgletal!N294</f>
        <v>7.9599999999999893E-2</v>
      </c>
      <c r="M5" s="650"/>
      <c r="N5" s="790">
        <f>Nøgletal!P294</f>
        <v>8.1600000000000006E-2</v>
      </c>
      <c r="O5" s="790"/>
      <c r="P5" s="791">
        <f>Nøgletal!R294</f>
        <v>8.1600000000000006E-2</v>
      </c>
      <c r="Q5" s="792"/>
      <c r="R5" s="657">
        <v>7.9599999999999893E-2</v>
      </c>
      <c r="S5" s="598"/>
      <c r="T5" s="657">
        <v>7.9599999999999893E-2</v>
      </c>
      <c r="U5" s="598"/>
      <c r="V5" s="648">
        <f>'BF - overblik beregning'!B41</f>
        <v>6.2411438876722916E-2</v>
      </c>
    </row>
    <row r="6" spans="1:25" x14ac:dyDescent="0.25">
      <c r="A6" s="604"/>
      <c r="B6" s="604"/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  <c r="V6" s="604"/>
    </row>
    <row r="7" spans="1:25" x14ac:dyDescent="0.25">
      <c r="A7" s="629" t="s">
        <v>509</v>
      </c>
      <c r="B7" s="645" t="s">
        <v>529</v>
      </c>
      <c r="C7" s="645"/>
      <c r="D7" s="645" t="s">
        <v>529</v>
      </c>
      <c r="E7" s="645" t="s">
        <v>491</v>
      </c>
      <c r="F7" s="645" t="s">
        <v>529</v>
      </c>
      <c r="G7" s="645" t="s">
        <v>491</v>
      </c>
      <c r="H7" s="645" t="s">
        <v>529</v>
      </c>
      <c r="I7" s="645" t="s">
        <v>491</v>
      </c>
      <c r="J7" s="645" t="s">
        <v>529</v>
      </c>
      <c r="K7" s="645" t="s">
        <v>491</v>
      </c>
      <c r="L7" s="645" t="s">
        <v>529</v>
      </c>
      <c r="M7" s="645" t="s">
        <v>491</v>
      </c>
      <c r="N7" s="645"/>
      <c r="O7" s="645"/>
      <c r="P7" s="635"/>
      <c r="Q7" s="635"/>
      <c r="R7" s="635" t="s">
        <v>529</v>
      </c>
      <c r="S7" s="635" t="s">
        <v>491</v>
      </c>
      <c r="T7" s="635" t="s">
        <v>529</v>
      </c>
      <c r="U7" s="635" t="s">
        <v>491</v>
      </c>
      <c r="V7" s="604"/>
    </row>
    <row r="8" spans="1:25" x14ac:dyDescent="0.25">
      <c r="A8" s="633" t="s">
        <v>510</v>
      </c>
      <c r="B8" s="668">
        <f>Nøgletal!D275</f>
        <v>2.8519999999999999</v>
      </c>
      <c r="C8" s="668"/>
      <c r="D8" s="668">
        <f>Nøgletal!F275</f>
        <v>0.82911503999999991</v>
      </c>
      <c r="E8" s="669">
        <f>Nøgletal!G275</f>
        <v>-0.35464322580645158</v>
      </c>
      <c r="F8" s="668">
        <f>Nøgletal!H275</f>
        <v>2.3220000000000001</v>
      </c>
      <c r="G8" s="669">
        <f>Nøgletal!I275</f>
        <v>1.8005763832242148</v>
      </c>
      <c r="H8" s="668">
        <f>Nøgletal!J275</f>
        <v>2.7692000000000001</v>
      </c>
      <c r="I8" s="669">
        <f>Nøgletal!K275</f>
        <v>9.6296296296296297E-2</v>
      </c>
      <c r="J8" s="668">
        <f>Nøgletal!L275</f>
        <v>0.90300000000000014</v>
      </c>
      <c r="K8" s="645">
        <f>Nøgletal!M275</f>
        <v>-0.33695652173913043</v>
      </c>
      <c r="L8" s="668">
        <f>Nøgletal!N275</f>
        <v>0</v>
      </c>
      <c r="M8" s="645">
        <f>Nøgletal!O275</f>
        <v>-0.5</v>
      </c>
      <c r="N8" s="668">
        <f>Nøgletal!P275</f>
        <v>0</v>
      </c>
      <c r="O8" s="645">
        <f>Nøgletal!Q275</f>
        <v>0</v>
      </c>
      <c r="P8" s="637">
        <f>Nøgletal!R275</f>
        <v>0</v>
      </c>
      <c r="Q8" s="635">
        <f>Nøgletal!S275</f>
        <v>0</v>
      </c>
      <c r="R8" s="594">
        <f>P8*(1+S8)^(R$2-P$2)</f>
        <v>0</v>
      </c>
      <c r="S8" s="592">
        <v>0</v>
      </c>
      <c r="T8" s="594">
        <f>P8*(1+U8)^(T$2-P$2)</f>
        <v>0</v>
      </c>
      <c r="U8" s="592">
        <v>0</v>
      </c>
      <c r="V8" s="662">
        <v>0</v>
      </c>
    </row>
    <row r="9" spans="1:25" x14ac:dyDescent="0.25">
      <c r="A9" s="629" t="s">
        <v>511</v>
      </c>
      <c r="B9" s="668">
        <f>Nøgletal!D276</f>
        <v>0</v>
      </c>
      <c r="C9" s="668"/>
      <c r="D9" s="668">
        <f>Nøgletal!F276</f>
        <v>0</v>
      </c>
      <c r="E9" s="669">
        <f>Nøgletal!G276</f>
        <v>0</v>
      </c>
      <c r="F9" s="668">
        <f>Nøgletal!H276</f>
        <v>0</v>
      </c>
      <c r="G9" s="669">
        <f>Nøgletal!I276</f>
        <v>0</v>
      </c>
      <c r="H9" s="668">
        <f>Nøgletal!J276</f>
        <v>0</v>
      </c>
      <c r="I9" s="669">
        <f>Nøgletal!K276</f>
        <v>0</v>
      </c>
      <c r="J9" s="668">
        <f>Nøgletal!L276</f>
        <v>0</v>
      </c>
      <c r="K9" s="645">
        <f>Nøgletal!M276</f>
        <v>0</v>
      </c>
      <c r="L9" s="668">
        <f>Nøgletal!N276</f>
        <v>0</v>
      </c>
      <c r="M9" s="645">
        <f>Nøgletal!O276</f>
        <v>0</v>
      </c>
      <c r="N9" s="668">
        <f>Nøgletal!P276</f>
        <v>0</v>
      </c>
      <c r="O9" s="645">
        <f>Nøgletal!Q276</f>
        <v>0</v>
      </c>
      <c r="P9" s="637">
        <f>Nøgletal!R276</f>
        <v>0</v>
      </c>
      <c r="Q9" s="635">
        <f>Nøgletal!S276</f>
        <v>0</v>
      </c>
      <c r="R9" s="594">
        <f t="shared" ref="R9:R13" si="0">P9*(1+S9)^(R$2-P$2)</f>
        <v>0</v>
      </c>
      <c r="S9" s="592">
        <v>0</v>
      </c>
      <c r="T9" s="594">
        <f t="shared" ref="T9:T13" si="1">P9*(1+U9)^(T$2-P$2)</f>
        <v>0</v>
      </c>
      <c r="U9" s="592">
        <v>0</v>
      </c>
      <c r="V9" s="662">
        <v>0</v>
      </c>
    </row>
    <row r="10" spans="1:25" x14ac:dyDescent="0.25">
      <c r="A10" s="629" t="s">
        <v>512</v>
      </c>
      <c r="B10" s="668">
        <f>Nøgletal!D277</f>
        <v>13.507999999999999</v>
      </c>
      <c r="C10" s="668"/>
      <c r="D10" s="668">
        <f>Nøgletal!F277</f>
        <v>16.11</v>
      </c>
      <c r="E10" s="669">
        <f>Nøgletal!G277</f>
        <v>9.6313295824696499E-2</v>
      </c>
      <c r="F10" s="668">
        <f>Nøgletal!H277</f>
        <v>25</v>
      </c>
      <c r="G10" s="669">
        <f>Nøgletal!I277</f>
        <v>0.55183116076970828</v>
      </c>
      <c r="H10" s="668">
        <f>Nøgletal!J277</f>
        <v>35</v>
      </c>
      <c r="I10" s="669">
        <f>Nøgletal!K277</f>
        <v>0.2</v>
      </c>
      <c r="J10" s="668">
        <f>Nøgletal!L277</f>
        <v>50</v>
      </c>
      <c r="K10" s="645">
        <f>Nøgletal!M277</f>
        <v>0.21428571428571427</v>
      </c>
      <c r="L10" s="668">
        <f>Nøgletal!N277</f>
        <v>70</v>
      </c>
      <c r="M10" s="645">
        <f>Nøgletal!O277</f>
        <v>0.2</v>
      </c>
      <c r="N10" s="668">
        <f>Nøgletal!P277</f>
        <v>80</v>
      </c>
      <c r="O10" s="645">
        <f>Nøgletal!Q277</f>
        <v>7.1428571428571425E-2</v>
      </c>
      <c r="P10" s="637">
        <f>Nøgletal!R277</f>
        <v>80</v>
      </c>
      <c r="Q10" s="635">
        <f>Nøgletal!S277</f>
        <v>0</v>
      </c>
      <c r="R10" s="594">
        <f t="shared" si="0"/>
        <v>80</v>
      </c>
      <c r="S10" s="592">
        <v>0</v>
      </c>
      <c r="T10" s="594">
        <f t="shared" si="1"/>
        <v>205.40171410137933</v>
      </c>
      <c r="U10" s="592">
        <v>7.5229281216496524E-2</v>
      </c>
      <c r="V10" s="662">
        <f>'BF - overblik beregning'!B42</f>
        <v>7.5229281216496524E-2</v>
      </c>
    </row>
    <row r="11" spans="1:25" x14ac:dyDescent="0.25">
      <c r="A11" s="629" t="s">
        <v>513</v>
      </c>
      <c r="B11" s="668">
        <f>Nøgletal!D278</f>
        <v>0</v>
      </c>
      <c r="C11" s="668"/>
      <c r="D11" s="668">
        <f>Nøgletal!F278</f>
        <v>0</v>
      </c>
      <c r="E11" s="669">
        <f>Nøgletal!G278</f>
        <v>0</v>
      </c>
      <c r="F11" s="668">
        <f>Nøgletal!H278</f>
        <v>0</v>
      </c>
      <c r="G11" s="669">
        <f>Nøgletal!I278</f>
        <v>0</v>
      </c>
      <c r="H11" s="668">
        <f>Nøgletal!J278</f>
        <v>0</v>
      </c>
      <c r="I11" s="669">
        <f>Nøgletal!K278</f>
        <v>0</v>
      </c>
      <c r="J11" s="668">
        <f>Nøgletal!L278</f>
        <v>0</v>
      </c>
      <c r="K11" s="645">
        <f>Nøgletal!M278</f>
        <v>0</v>
      </c>
      <c r="L11" s="668">
        <f>Nøgletal!N278</f>
        <v>0</v>
      </c>
      <c r="M11" s="645">
        <f>Nøgletal!O278</f>
        <v>0</v>
      </c>
      <c r="N11" s="668">
        <f>Nøgletal!P278</f>
        <v>0</v>
      </c>
      <c r="O11" s="645">
        <f>Nøgletal!Q278</f>
        <v>0</v>
      </c>
      <c r="P11" s="637">
        <f>Nøgletal!R278</f>
        <v>0</v>
      </c>
      <c r="Q11" s="635">
        <f>Nøgletal!S278</f>
        <v>0</v>
      </c>
      <c r="R11" s="594">
        <f t="shared" si="0"/>
        <v>0</v>
      </c>
      <c r="S11" s="592">
        <v>0</v>
      </c>
      <c r="T11" s="594">
        <f t="shared" si="1"/>
        <v>0</v>
      </c>
      <c r="U11" s="592">
        <v>7.5229281216496524E-2</v>
      </c>
      <c r="V11" s="662">
        <f>'BF - overblik beregning'!B42</f>
        <v>7.5229281216496524E-2</v>
      </c>
    </row>
    <row r="12" spans="1:25" x14ac:dyDescent="0.25">
      <c r="A12" s="629" t="s">
        <v>514</v>
      </c>
      <c r="B12" s="668">
        <f>Nøgletal!D279</f>
        <v>0</v>
      </c>
      <c r="C12" s="668"/>
      <c r="D12" s="668">
        <f>Nøgletal!F279</f>
        <v>0</v>
      </c>
      <c r="E12" s="669">
        <f>Nøgletal!G279</f>
        <v>0</v>
      </c>
      <c r="F12" s="668">
        <f>Nøgletal!H279</f>
        <v>0</v>
      </c>
      <c r="G12" s="669">
        <f>Nøgletal!I279</f>
        <v>0</v>
      </c>
      <c r="H12" s="668">
        <f>Nøgletal!J279</f>
        <v>0.1</v>
      </c>
      <c r="I12" s="669">
        <f>Nøgletal!K279</f>
        <v>0.05</v>
      </c>
      <c r="J12" s="668">
        <f>Nøgletal!L279</f>
        <v>15.6</v>
      </c>
      <c r="K12" s="645">
        <f>Nøgletal!M279</f>
        <v>77.5</v>
      </c>
      <c r="L12" s="668">
        <f>Nøgletal!N279</f>
        <v>24.9</v>
      </c>
      <c r="M12" s="645">
        <f>Nøgletal!O279</f>
        <v>0.29807692307692307</v>
      </c>
      <c r="N12" s="668">
        <f>Nøgletal!P279</f>
        <v>18.670000000000002</v>
      </c>
      <c r="O12" s="645">
        <f>Nøgletal!Q279</f>
        <v>-0.12510040160642566</v>
      </c>
      <c r="P12" s="637">
        <f>Nøgletal!R279</f>
        <v>18.670000000000002</v>
      </c>
      <c r="Q12" s="635">
        <f>Nøgletal!S279</f>
        <v>0</v>
      </c>
      <c r="R12" s="594">
        <f t="shared" si="0"/>
        <v>18.670000000000002</v>
      </c>
      <c r="S12" s="592">
        <v>0</v>
      </c>
      <c r="T12" s="594">
        <f t="shared" si="1"/>
        <v>157.22073706279593</v>
      </c>
      <c r="U12" s="592">
        <v>0.17809947460285969</v>
      </c>
      <c r="V12" s="662">
        <f>'BF - overblik beregning'!B43</f>
        <v>0.17809947460285969</v>
      </c>
    </row>
    <row r="13" spans="1:25" x14ac:dyDescent="0.25">
      <c r="A13" s="629" t="s">
        <v>515</v>
      </c>
      <c r="B13" s="668">
        <f>Nøgletal!D280</f>
        <v>0</v>
      </c>
      <c r="C13" s="668"/>
      <c r="D13" s="668">
        <f>Nøgletal!F280</f>
        <v>0</v>
      </c>
      <c r="E13" s="669">
        <f>Nøgletal!G280</f>
        <v>0</v>
      </c>
      <c r="F13" s="668">
        <f>Nøgletal!H280</f>
        <v>64.093484992816258</v>
      </c>
      <c r="G13" s="669">
        <f>Nøgletal!I280</f>
        <v>64.093484992816258</v>
      </c>
      <c r="H13" s="668">
        <f>Nøgletal!J280</f>
        <v>0</v>
      </c>
      <c r="I13" s="669">
        <f>Nøgletal!K280</f>
        <v>-0.5</v>
      </c>
      <c r="J13" s="668">
        <f>Nøgletal!L280</f>
        <v>0</v>
      </c>
      <c r="K13" s="645">
        <f>Nøgletal!M280</f>
        <v>0</v>
      </c>
      <c r="L13" s="668">
        <f>Nøgletal!N280</f>
        <v>0</v>
      </c>
      <c r="M13" s="645">
        <f>Nøgletal!O280</f>
        <v>0</v>
      </c>
      <c r="N13" s="668">
        <f>Nøgletal!P280</f>
        <v>0</v>
      </c>
      <c r="O13" s="645">
        <f>Nøgletal!Q280</f>
        <v>0</v>
      </c>
      <c r="P13" s="637">
        <f>Nøgletal!R280</f>
        <v>0</v>
      </c>
      <c r="Q13" s="635">
        <f>Nøgletal!S280</f>
        <v>0</v>
      </c>
      <c r="R13" s="594">
        <f t="shared" si="0"/>
        <v>0</v>
      </c>
      <c r="S13" s="592">
        <v>0</v>
      </c>
      <c r="T13" s="594">
        <f t="shared" si="1"/>
        <v>0</v>
      </c>
      <c r="U13" s="658">
        <v>0</v>
      </c>
      <c r="V13" s="662">
        <v>0</v>
      </c>
    </row>
    <row r="14" spans="1:25" x14ac:dyDescent="0.25">
      <c r="A14" s="629" t="s">
        <v>531</v>
      </c>
      <c r="B14" s="668">
        <f>Nøgletal!D281</f>
        <v>411.11631919703404</v>
      </c>
      <c r="C14" s="670"/>
      <c r="D14" s="668">
        <f>Nøgletal!F281</f>
        <v>612.62574075942723</v>
      </c>
      <c r="E14" s="669">
        <f>Nøgletal!G281</f>
        <v>0.2450759215250424</v>
      </c>
      <c r="F14" s="668">
        <f>Nøgletal!H281</f>
        <v>539.2463229567519</v>
      </c>
      <c r="G14" s="669">
        <f>Nøgletal!I281</f>
        <v>-0.11977854164552774</v>
      </c>
      <c r="H14" s="668">
        <f>Nøgletal!J281</f>
        <v>418.35262204702235</v>
      </c>
      <c r="I14" s="669">
        <f>Nøgletal!K281</f>
        <v>-0.1120950628340449</v>
      </c>
      <c r="J14" s="668">
        <f>Nøgletal!L281</f>
        <v>530.03641278869748</v>
      </c>
      <c r="K14" s="645">
        <f>Nøgletal!M281</f>
        <v>0.1334804478996692</v>
      </c>
      <c r="L14" s="668">
        <f>Nøgletal!N281</f>
        <v>664.18924240641434</v>
      </c>
      <c r="M14" s="645">
        <f>Nøgletal!O281</f>
        <v>0.12655057877240386</v>
      </c>
      <c r="N14" s="668">
        <f>Nøgletal!P281</f>
        <v>615.98219800377046</v>
      </c>
      <c r="O14" s="645">
        <f>Nøgletal!Q281</f>
        <v>-3.6290142420845023E-2</v>
      </c>
      <c r="P14" s="637">
        <f>Nøgletal!R281</f>
        <v>615.98219800377046</v>
      </c>
      <c r="Q14" s="635">
        <f>Nøgletal!S281</f>
        <v>0</v>
      </c>
      <c r="R14" s="642">
        <f>IF('2025'!BR10&gt;0,'2025'!BR10,'2025'!AC69)</f>
        <v>610.29970039764976</v>
      </c>
      <c r="S14" s="628"/>
      <c r="T14" s="642">
        <f>IF('2030 '!BR10&gt;0,'2030 '!BR10,'2030 '!AC69)</f>
        <v>775.08375751959375</v>
      </c>
      <c r="U14" s="586"/>
    </row>
    <row r="15" spans="1:25" x14ac:dyDescent="0.25">
      <c r="A15" s="604"/>
      <c r="B15" s="671"/>
      <c r="C15" s="671"/>
      <c r="D15" s="671"/>
      <c r="E15" s="671"/>
      <c r="F15" s="671"/>
      <c r="G15" s="671"/>
      <c r="H15" s="671"/>
      <c r="I15" s="671"/>
      <c r="J15" s="671"/>
      <c r="K15" s="654"/>
      <c r="L15" s="671"/>
      <c r="M15" s="654"/>
      <c r="N15" s="671"/>
      <c r="O15" s="654"/>
      <c r="P15" s="640"/>
      <c r="Q15" s="640"/>
    </row>
    <row r="16" spans="1:25" ht="18" x14ac:dyDescent="0.35">
      <c r="A16" s="629" t="s">
        <v>554</v>
      </c>
      <c r="B16" s="672">
        <f>Nøgletal!D13</f>
        <v>0.11092</v>
      </c>
      <c r="C16" s="671"/>
      <c r="D16" s="672">
        <f>Nøgletal!F13</f>
        <v>0.11092</v>
      </c>
      <c r="E16" s="671"/>
      <c r="F16" s="672">
        <f>Nøgletal!H13</f>
        <v>0.11092</v>
      </c>
      <c r="G16" s="671"/>
      <c r="H16" s="672">
        <f>Nøgletal!J13</f>
        <v>0.11092</v>
      </c>
      <c r="I16" s="671"/>
      <c r="J16" s="672">
        <f>Nøgletal!L13</f>
        <v>0.11092</v>
      </c>
      <c r="K16" s="654"/>
      <c r="L16" s="672">
        <f>Nøgletal!N13</f>
        <v>0.11092</v>
      </c>
      <c r="M16" s="654"/>
      <c r="N16" s="672">
        <f>Nøgletal!P13</f>
        <v>0.11092</v>
      </c>
      <c r="O16" s="604"/>
      <c r="P16" s="659">
        <f>Nøgletal!R13</f>
        <v>0.11092</v>
      </c>
      <c r="R16" s="660">
        <v>0.111</v>
      </c>
      <c r="T16" s="660">
        <v>0</v>
      </c>
    </row>
    <row r="17" spans="5:16" x14ac:dyDescent="0.25">
      <c r="E17" s="640"/>
      <c r="G17" s="640"/>
      <c r="I17" s="640"/>
      <c r="M17" s="640"/>
      <c r="P17" s="640"/>
    </row>
    <row r="18" spans="5:16" x14ac:dyDescent="0.25">
      <c r="G18" s="640"/>
    </row>
  </sheetData>
  <sheetProtection algorithmName="SHA-512" hashValue="AI0OT7KyXEKkPQVW814VTaTM056/ypXBLLWKb5BoGwRImI61XIE8qhAZeZRbppLhcjIRcdG1brPTblHTqrJ9vw==" saltValue="dbbzZN20sOK16b1yaTKziw==" spinCount="100000" sheet="1" objects="1" scenarios="1"/>
  <protectedRanges>
    <protectedRange algorithmName="SHA-512" hashValue="bWlSglsC8qbWU3QQcDAnZLl152gWReoXLVu9I1PZqYjFUXtHs6fE09fwn2eBVmp/gftX4yS15N6mXAynzLSFzg==" saltValue="1yWzF5IT+THmS3qLp2GKCQ==" spinCount="100000" sqref="A1:Q1048576" name="Område5"/>
    <protectedRange algorithmName="SHA-512" hashValue="LLFazzi1DSNfl9HGbR0X82nRx6dAMzNbm15JNjuwcClGC2hHPAXfbBaSQvvxBfSsjNwfZjZhR2ZO1EJPxx0fmA==" saltValue="XRHJj60prO+ZuYIepHHw+g==" spinCount="100000" sqref="V13" name="Område3"/>
    <protectedRange algorithmName="SHA-512" hashValue="oeZ8dJQ1sn4aunaiOxAxx/aLpz2+5Yj9/zdrp+F/2fJ0IX+XoVksy4HTJ7V+hthrrhmyYclekkKoj3uh7iYGKw==" saltValue="GUw+4pIYK08c2xb769Pz+w==" spinCount="100000" sqref="R1:U4" name="Område1"/>
    <protectedRange algorithmName="SHA-512" hashValue="YorXVyNxhsvuSNoIjt/vAlSR3APUl+u9KuPI2AQ/swtwTKKHxpD1YRpCpArqlGS8EkhUOMOo5MMBRCSdymVsPQ==" saltValue="+l7TeKmwoSYCH4nyHeryVA==" spinCount="100000" sqref="V1:Y12" name="Område2"/>
    <protectedRange algorithmName="SHA-512" hashValue="4Itf1S80UJ+sG0sj6rkhUAPPhOZNKfSB6KUgo2SvxbRFFJ0WYpGrfHOAy3h0TybRGIcmcLCllJbftJ0tl4gtiw==" saltValue="A8bDiPhwMR8OImskEIGcPA==" spinCount="100000" sqref="R14:T14" name="Område4"/>
  </protectedRanges>
  <mergeCells count="34">
    <mergeCell ref="L4:M4"/>
    <mergeCell ref="N4:O4"/>
    <mergeCell ref="R4:S4"/>
    <mergeCell ref="R3:S3"/>
    <mergeCell ref="L2:M2"/>
    <mergeCell ref="N2:O2"/>
    <mergeCell ref="R2:S2"/>
    <mergeCell ref="L3:M3"/>
    <mergeCell ref="N3:O3"/>
    <mergeCell ref="B4:C4"/>
    <mergeCell ref="D4:E4"/>
    <mergeCell ref="F4:G4"/>
    <mergeCell ref="H4:I4"/>
    <mergeCell ref="J4:K4"/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  <mergeCell ref="R1:S1"/>
    <mergeCell ref="T1:U1"/>
    <mergeCell ref="N5:O5"/>
    <mergeCell ref="P2:Q2"/>
    <mergeCell ref="P3:Q3"/>
    <mergeCell ref="P4:Q4"/>
    <mergeCell ref="P5:Q5"/>
    <mergeCell ref="T2:U2"/>
    <mergeCell ref="T3:U3"/>
    <mergeCell ref="T4:U4"/>
  </mergeCells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265"/>
  <sheetViews>
    <sheetView workbookViewId="0">
      <pane ySplit="1" topLeftCell="A2" activePane="bottomLeft" state="frozen"/>
      <selection pane="bottomLeft" activeCell="J210" sqref="J210"/>
    </sheetView>
  </sheetViews>
  <sheetFormatPr defaultRowHeight="15" x14ac:dyDescent="0.25"/>
  <cols>
    <col min="1" max="1" width="67.28515625" style="582" customWidth="1"/>
    <col min="2" max="2" width="14.85546875" style="582" hidden="1" customWidth="1"/>
    <col min="3" max="4" width="13.140625" style="582" hidden="1" customWidth="1"/>
    <col min="5" max="5" width="13.85546875" style="582" hidden="1" customWidth="1"/>
    <col min="6" max="9" width="13.140625" style="582" customWidth="1"/>
    <col min="10" max="10" width="13" style="582" customWidth="1"/>
    <col min="11" max="11" width="30.140625" style="582" customWidth="1"/>
    <col min="12" max="12" width="13" style="582" customWidth="1"/>
    <col min="13" max="13" width="30.140625" style="582" customWidth="1"/>
    <col min="14" max="14" width="9.140625" style="582"/>
    <col min="15" max="15" width="15.42578125" style="582" customWidth="1"/>
    <col min="16" max="16384" width="9.140625" style="582"/>
  </cols>
  <sheetData>
    <row r="1" spans="1:17" x14ac:dyDescent="0.25">
      <c r="A1" s="604" t="s">
        <v>792</v>
      </c>
      <c r="B1" s="604"/>
      <c r="C1" s="604"/>
      <c r="D1" s="604"/>
      <c r="E1" s="604"/>
      <c r="F1" s="604"/>
      <c r="G1" s="604"/>
      <c r="H1" s="604"/>
      <c r="I1" s="604"/>
      <c r="J1" s="642">
        <f>Nøgletal!$T2</f>
        <v>379.27115877733439</v>
      </c>
      <c r="K1" s="694"/>
      <c r="L1" s="642">
        <f>Nøgletal!$V2</f>
        <v>255.10348315360176</v>
      </c>
      <c r="M1" s="604"/>
      <c r="N1" s="603"/>
      <c r="O1" s="604" t="s">
        <v>796</v>
      </c>
      <c r="P1" s="641">
        <f>Nøgletal!$R2*0.4</f>
        <v>152.00699862265944</v>
      </c>
      <c r="Q1" s="582" t="s">
        <v>798</v>
      </c>
    </row>
    <row r="2" spans="1:17" x14ac:dyDescent="0.25">
      <c r="A2" s="654"/>
      <c r="B2" s="701">
        <v>2006</v>
      </c>
      <c r="C2" s="701">
        <v>2008</v>
      </c>
      <c r="D2" s="701">
        <v>2009</v>
      </c>
      <c r="E2" s="701">
        <v>2011</v>
      </c>
      <c r="F2" s="701">
        <v>2013</v>
      </c>
      <c r="G2" s="624">
        <v>2015</v>
      </c>
      <c r="H2" s="624">
        <v>2017</v>
      </c>
      <c r="I2" s="624">
        <v>2017</v>
      </c>
      <c r="J2" s="694">
        <v>2025</v>
      </c>
      <c r="K2" s="694"/>
      <c r="L2" s="694">
        <v>2030</v>
      </c>
      <c r="M2" s="624"/>
      <c r="N2" s="604"/>
      <c r="O2" s="604"/>
      <c r="P2" s="604"/>
    </row>
    <row r="3" spans="1:17" ht="18" x14ac:dyDescent="0.35">
      <c r="A3" s="604" t="s">
        <v>805</v>
      </c>
      <c r="B3" s="702">
        <f>Nøgletal!D7</f>
        <v>184.76418928479998</v>
      </c>
      <c r="C3" s="702">
        <f>Nøgletal!F7</f>
        <v>204.79414686080003</v>
      </c>
      <c r="D3" s="702">
        <f>Nøgletal!H7</f>
        <v>210.46023067199999</v>
      </c>
      <c r="E3" s="702">
        <f>Nøgletal!J7</f>
        <v>191.36203342199994</v>
      </c>
      <c r="F3" s="702">
        <f>Nøgletal!L7</f>
        <v>180.24940267834504</v>
      </c>
      <c r="G3" s="626">
        <f>Nøgletal!N7</f>
        <v>163.71986881149905</v>
      </c>
      <c r="H3" s="626">
        <f>Nøgletal!P7</f>
        <v>120.52031368859997</v>
      </c>
      <c r="I3" s="626">
        <f>Nøgletal!R7</f>
        <v>120.52031368859997</v>
      </c>
      <c r="J3" s="695">
        <f>Nøgletal!T7</f>
        <v>121.34537540250889</v>
      </c>
      <c r="K3" s="695"/>
      <c r="L3" s="695">
        <f>Nøgletal!V7</f>
        <v>93.107883390450226</v>
      </c>
      <c r="M3" s="696"/>
      <c r="N3" s="604"/>
      <c r="O3" s="604"/>
      <c r="P3" s="604"/>
    </row>
    <row r="4" spans="1:17" ht="18" x14ac:dyDescent="0.35">
      <c r="A4" s="604" t="s">
        <v>539</v>
      </c>
      <c r="B4" s="703">
        <f>Nøgletal!E7</f>
        <v>0.40225059873486368</v>
      </c>
      <c r="C4" s="703">
        <f>Nøgletal!G7</f>
        <v>0.3981496862679087</v>
      </c>
      <c r="D4" s="703">
        <f>Nøgletal!I7</f>
        <v>0.42513358158718373</v>
      </c>
      <c r="E4" s="703">
        <f>Nøgletal!K7</f>
        <v>0.4449167674111934</v>
      </c>
      <c r="F4" s="703">
        <f>Nøgletal!M7</f>
        <v>0.42257235044106994</v>
      </c>
      <c r="G4" s="628">
        <f>Nøgletal!O7</f>
        <v>0.40081902250279094</v>
      </c>
      <c r="H4" s="628">
        <f>Nøgletal!Q7</f>
        <v>0.31714411778572993</v>
      </c>
      <c r="I4" s="628">
        <f>Nøgletal!S7</f>
        <v>0.31714411778572993</v>
      </c>
      <c r="J4" s="697">
        <f>Nøgletal!U7</f>
        <v>0.31994358810116991</v>
      </c>
      <c r="K4" s="697"/>
      <c r="L4" s="697">
        <f>Nøgletal!W7</f>
        <v>0.36498083930272535</v>
      </c>
      <c r="M4" s="698"/>
      <c r="N4" s="604"/>
      <c r="O4" s="604"/>
      <c r="P4" s="604"/>
    </row>
    <row r="5" spans="1:17" x14ac:dyDescent="0.25">
      <c r="A5" s="604"/>
      <c r="B5" s="666" t="s">
        <v>527</v>
      </c>
      <c r="C5" s="666" t="s">
        <v>527</v>
      </c>
      <c r="D5" s="666" t="s">
        <v>527</v>
      </c>
      <c r="E5" s="666" t="s">
        <v>527</v>
      </c>
      <c r="F5" s="666" t="s">
        <v>527</v>
      </c>
      <c r="G5" s="666" t="s">
        <v>527</v>
      </c>
      <c r="H5" s="666" t="s">
        <v>527</v>
      </c>
      <c r="I5" s="666" t="s">
        <v>527</v>
      </c>
      <c r="J5" s="655" t="s">
        <v>527</v>
      </c>
      <c r="K5" s="655" t="s">
        <v>516</v>
      </c>
      <c r="L5" s="655" t="s">
        <v>527</v>
      </c>
      <c r="M5" s="655" t="s">
        <v>516</v>
      </c>
    </row>
    <row r="6" spans="1:17" s="640" customFormat="1" x14ac:dyDescent="0.25">
      <c r="A6" s="631" t="s">
        <v>528</v>
      </c>
      <c r="B6" s="651"/>
      <c r="C6" s="651"/>
      <c r="D6" s="651"/>
      <c r="E6" s="651"/>
      <c r="F6" s="651"/>
      <c r="G6" s="651"/>
      <c r="H6" s="651"/>
      <c r="I6" s="651"/>
    </row>
    <row r="7" spans="1:17" s="640" customFormat="1" x14ac:dyDescent="0.25">
      <c r="A7" s="631" t="s">
        <v>351</v>
      </c>
      <c r="B7" s="704">
        <f>Nøgletal!D261</f>
        <v>0</v>
      </c>
      <c r="C7" s="704">
        <f>Nøgletal!F261</f>
        <v>0</v>
      </c>
      <c r="D7" s="704">
        <f>Nøgletal!H261</f>
        <v>0</v>
      </c>
      <c r="E7" s="704">
        <f>Nøgletal!J261</f>
        <v>0</v>
      </c>
      <c r="F7" s="704">
        <f>Nøgletal!L261</f>
        <v>0</v>
      </c>
      <c r="G7" s="704">
        <f>Nøgletal!N261</f>
        <v>0</v>
      </c>
      <c r="H7" s="704">
        <f>Nøgletal!P261</f>
        <v>0</v>
      </c>
      <c r="I7" s="704">
        <f>Nøgletal!R261</f>
        <v>0</v>
      </c>
      <c r="J7" s="599">
        <v>0</v>
      </c>
      <c r="K7" s="635"/>
      <c r="L7" s="599">
        <v>0</v>
      </c>
      <c r="M7" s="635"/>
    </row>
    <row r="8" spans="1:17" s="640" customFormat="1" x14ac:dyDescent="0.25">
      <c r="A8" s="631" t="s">
        <v>352</v>
      </c>
      <c r="B8" s="704">
        <f>Nøgletal!D262</f>
        <v>0</v>
      </c>
      <c r="C8" s="704">
        <f>Nøgletal!F262</f>
        <v>0</v>
      </c>
      <c r="D8" s="704">
        <f>Nøgletal!H262</f>
        <v>0</v>
      </c>
      <c r="E8" s="704">
        <f>Nøgletal!J262</f>
        <v>0</v>
      </c>
      <c r="F8" s="704">
        <f>Nøgletal!L262</f>
        <v>0</v>
      </c>
      <c r="G8" s="704">
        <f>Nøgletal!N262</f>
        <v>0</v>
      </c>
      <c r="H8" s="704">
        <f>Nøgletal!P262</f>
        <v>0</v>
      </c>
      <c r="I8" s="704">
        <f>Nøgletal!R262</f>
        <v>0</v>
      </c>
      <c r="J8" s="599">
        <v>0</v>
      </c>
      <c r="K8" s="635"/>
      <c r="L8" s="599">
        <v>0</v>
      </c>
      <c r="M8" s="635"/>
    </row>
    <row r="9" spans="1:17" s="640" customFormat="1" x14ac:dyDescent="0.25">
      <c r="A9" s="631" t="s">
        <v>353</v>
      </c>
      <c r="B9" s="704">
        <f>Nøgletal!D263</f>
        <v>0</v>
      </c>
      <c r="C9" s="704">
        <f>Nøgletal!F263</f>
        <v>0</v>
      </c>
      <c r="D9" s="704">
        <f>Nøgletal!H263</f>
        <v>0</v>
      </c>
      <c r="E9" s="704">
        <f>Nøgletal!J263</f>
        <v>0</v>
      </c>
      <c r="F9" s="704">
        <f>Nøgletal!L263</f>
        <v>0</v>
      </c>
      <c r="G9" s="704">
        <f>Nøgletal!N263</f>
        <v>0</v>
      </c>
      <c r="H9" s="704">
        <f>Nøgletal!P263</f>
        <v>0</v>
      </c>
      <c r="I9" s="704">
        <f>Nøgletal!R263</f>
        <v>0</v>
      </c>
      <c r="J9" s="599">
        <v>0</v>
      </c>
      <c r="K9" s="635"/>
      <c r="L9" s="599">
        <v>0</v>
      </c>
      <c r="M9" s="635"/>
    </row>
    <row r="10" spans="1:17" s="640" customFormat="1" x14ac:dyDescent="0.25">
      <c r="A10" s="631" t="s">
        <v>354</v>
      </c>
      <c r="B10" s="704">
        <f>Nøgletal!D264</f>
        <v>0</v>
      </c>
      <c r="C10" s="704">
        <f>Nøgletal!F264</f>
        <v>0</v>
      </c>
      <c r="D10" s="704">
        <f>Nøgletal!H264</f>
        <v>0</v>
      </c>
      <c r="E10" s="704">
        <f>Nøgletal!J264</f>
        <v>0</v>
      </c>
      <c r="F10" s="704">
        <f>Nøgletal!L264</f>
        <v>0</v>
      </c>
      <c r="G10" s="704">
        <f>Nøgletal!N264</f>
        <v>0</v>
      </c>
      <c r="H10" s="704">
        <f>Nøgletal!P264</f>
        <v>0</v>
      </c>
      <c r="I10" s="704">
        <f>Nøgletal!R264</f>
        <v>0</v>
      </c>
      <c r="J10" s="599">
        <v>0</v>
      </c>
      <c r="K10" s="635"/>
      <c r="L10" s="599">
        <v>0</v>
      </c>
      <c r="M10" s="635"/>
    </row>
    <row r="11" spans="1:17" s="640" customFormat="1" x14ac:dyDescent="0.25">
      <c r="A11" s="631" t="s">
        <v>199</v>
      </c>
      <c r="B11" s="704">
        <f>Nøgletal!D265</f>
        <v>0.80201498808706628</v>
      </c>
      <c r="C11" s="704">
        <f>Nøgletal!F265</f>
        <v>0.82968314293276568</v>
      </c>
      <c r="D11" s="704">
        <f>Nøgletal!H265</f>
        <v>0.84029857568292787</v>
      </c>
      <c r="E11" s="704">
        <f>Nøgletal!J265</f>
        <v>0.84428002689278991</v>
      </c>
      <c r="F11" s="704">
        <f>Nøgletal!L265</f>
        <v>0.84952884213808333</v>
      </c>
      <c r="G11" s="704">
        <f>Nøgletal!N265</f>
        <v>0.80918601530058065</v>
      </c>
      <c r="H11" s="704">
        <f>Nøgletal!P265</f>
        <v>0.81418118308542342</v>
      </c>
      <c r="I11" s="704">
        <f>Nøgletal!R265</f>
        <v>0.81418118308542342</v>
      </c>
      <c r="J11" s="644">
        <f>1-J12-J7-J8-J9-J10</f>
        <v>0.81422293248102273</v>
      </c>
      <c r="K11" s="645"/>
      <c r="L11" s="644">
        <f>1-L12-L7-L8-L9-L10</f>
        <v>0.81422293248102273</v>
      </c>
      <c r="M11" s="635"/>
    </row>
    <row r="12" spans="1:17" s="640" customFormat="1" x14ac:dyDescent="0.25">
      <c r="A12" s="631" t="s">
        <v>493</v>
      </c>
      <c r="B12" s="704">
        <f>Nøgletal!D266</f>
        <v>0.19798501191293399</v>
      </c>
      <c r="C12" s="704">
        <f>Nøgletal!F266</f>
        <v>0.17031685706723423</v>
      </c>
      <c r="D12" s="704">
        <f>Nøgletal!H266</f>
        <v>0.1597014243170721</v>
      </c>
      <c r="E12" s="704">
        <f>Nøgletal!J266</f>
        <v>0.15571997310721003</v>
      </c>
      <c r="F12" s="704">
        <f>Nøgletal!L266</f>
        <v>0.15047115786191656</v>
      </c>
      <c r="G12" s="704">
        <f>Nøgletal!N266</f>
        <v>0.19081398469941935</v>
      </c>
      <c r="H12" s="704">
        <f>Nøgletal!P266</f>
        <v>0.18581881691457663</v>
      </c>
      <c r="I12" s="704">
        <f>Nøgletal!R266</f>
        <v>0.18581881691457663</v>
      </c>
      <c r="J12" s="599">
        <v>0.18577706751897727</v>
      </c>
      <c r="K12" s="635"/>
      <c r="L12" s="599">
        <v>0.18577706751897727</v>
      </c>
      <c r="M12" s="635"/>
    </row>
    <row r="13" spans="1:17" x14ac:dyDescent="0.25">
      <c r="A13" s="604"/>
      <c r="B13" s="604"/>
      <c r="C13" s="604"/>
      <c r="D13" s="604"/>
      <c r="E13" s="604"/>
      <c r="F13" s="604"/>
      <c r="G13" s="604"/>
      <c r="H13" s="604"/>
      <c r="I13" s="604"/>
    </row>
    <row r="14" spans="1:17" ht="18" hidden="1" x14ac:dyDescent="0.35">
      <c r="A14" s="705" t="s">
        <v>661</v>
      </c>
      <c r="B14" s="667"/>
      <c r="C14" s="667"/>
      <c r="D14" s="667"/>
      <c r="E14" s="667"/>
      <c r="F14" s="667"/>
      <c r="G14" s="667"/>
      <c r="H14" s="667"/>
      <c r="I14" s="667"/>
      <c r="J14" s="689">
        <v>0</v>
      </c>
      <c r="L14" s="689">
        <v>0</v>
      </c>
    </row>
    <row r="15" spans="1:17" hidden="1" x14ac:dyDescent="0.25">
      <c r="A15" s="629" t="s">
        <v>357</v>
      </c>
      <c r="B15" s="706"/>
      <c r="C15" s="706"/>
      <c r="D15" s="706"/>
      <c r="E15" s="706"/>
      <c r="F15" s="706"/>
      <c r="G15" s="706"/>
      <c r="H15" s="706"/>
      <c r="I15" s="706"/>
      <c r="J15" s="690"/>
      <c r="K15" s="691"/>
      <c r="L15" s="690"/>
      <c r="M15" s="691"/>
    </row>
    <row r="16" spans="1:17" hidden="1" x14ac:dyDescent="0.25">
      <c r="A16" s="604" t="s">
        <v>145</v>
      </c>
      <c r="B16" s="650">
        <f>Nøgletal!D303</f>
        <v>0</v>
      </c>
      <c r="C16" s="650">
        <f>Nøgletal!F303</f>
        <v>0</v>
      </c>
      <c r="D16" s="650">
        <f>Nøgletal!H303</f>
        <v>0</v>
      </c>
      <c r="E16" s="650">
        <f>Nøgletal!J303</f>
        <v>0</v>
      </c>
      <c r="F16" s="650">
        <f>Nøgletal!L303</f>
        <v>0</v>
      </c>
      <c r="G16" s="650">
        <f>Nøgletal!N303</f>
        <v>0</v>
      </c>
      <c r="H16" s="650">
        <f>Nøgletal!P303</f>
        <v>0</v>
      </c>
      <c r="I16" s="650">
        <f>Nøgletal!R303</f>
        <v>0</v>
      </c>
      <c r="J16" s="599">
        <v>0</v>
      </c>
      <c r="K16" s="598"/>
      <c r="L16" s="599">
        <v>0</v>
      </c>
      <c r="M16" s="598"/>
    </row>
    <row r="17" spans="1:13" hidden="1" x14ac:dyDescent="0.25">
      <c r="A17" s="604" t="s">
        <v>147</v>
      </c>
      <c r="B17" s="650">
        <f>Nøgletal!D304</f>
        <v>0</v>
      </c>
      <c r="C17" s="650">
        <f>Nøgletal!F304</f>
        <v>0</v>
      </c>
      <c r="D17" s="650">
        <f>Nøgletal!H304</f>
        <v>0</v>
      </c>
      <c r="E17" s="650">
        <f>Nøgletal!J304</f>
        <v>0</v>
      </c>
      <c r="F17" s="650">
        <f>Nøgletal!L304</f>
        <v>0</v>
      </c>
      <c r="G17" s="650">
        <f>Nøgletal!N304</f>
        <v>0</v>
      </c>
      <c r="H17" s="650">
        <f>Nøgletal!P304</f>
        <v>0</v>
      </c>
      <c r="I17" s="650">
        <f>Nøgletal!R304</f>
        <v>0</v>
      </c>
      <c r="J17" s="599">
        <v>0</v>
      </c>
      <c r="K17" s="598"/>
      <c r="L17" s="599">
        <v>0</v>
      </c>
      <c r="M17" s="598"/>
    </row>
    <row r="18" spans="1:13" hidden="1" x14ac:dyDescent="0.25">
      <c r="A18" s="604" t="s">
        <v>149</v>
      </c>
      <c r="B18" s="650">
        <f>Nøgletal!D305</f>
        <v>0</v>
      </c>
      <c r="C18" s="650">
        <f>Nøgletal!F305</f>
        <v>0</v>
      </c>
      <c r="D18" s="650">
        <f>Nøgletal!H305</f>
        <v>0</v>
      </c>
      <c r="E18" s="650">
        <f>Nøgletal!J305</f>
        <v>0</v>
      </c>
      <c r="F18" s="650">
        <f>Nøgletal!L305</f>
        <v>0</v>
      </c>
      <c r="G18" s="650">
        <f>Nøgletal!N305</f>
        <v>0</v>
      </c>
      <c r="H18" s="650">
        <f>Nøgletal!P305</f>
        <v>0</v>
      </c>
      <c r="I18" s="650">
        <f>Nøgletal!R305</f>
        <v>0</v>
      </c>
      <c r="J18" s="599">
        <v>0</v>
      </c>
      <c r="K18" s="598"/>
      <c r="L18" s="599">
        <v>0</v>
      </c>
      <c r="M18" s="598"/>
    </row>
    <row r="19" spans="1:13" hidden="1" x14ac:dyDescent="0.25">
      <c r="A19" s="604" t="s">
        <v>151</v>
      </c>
      <c r="B19" s="650">
        <f>Nøgletal!D306</f>
        <v>0</v>
      </c>
      <c r="C19" s="650">
        <f>Nøgletal!F306</f>
        <v>0</v>
      </c>
      <c r="D19" s="650">
        <f>Nøgletal!H306</f>
        <v>0</v>
      </c>
      <c r="E19" s="650">
        <f>Nøgletal!J306</f>
        <v>0</v>
      </c>
      <c r="F19" s="650">
        <f>Nøgletal!L306</f>
        <v>0</v>
      </c>
      <c r="G19" s="650">
        <f>Nøgletal!N306</f>
        <v>0</v>
      </c>
      <c r="H19" s="650">
        <f>Nøgletal!P306</f>
        <v>0</v>
      </c>
      <c r="I19" s="650">
        <f>Nøgletal!R306</f>
        <v>0</v>
      </c>
      <c r="J19" s="599">
        <v>0</v>
      </c>
      <c r="K19" s="598"/>
      <c r="L19" s="599">
        <v>0</v>
      </c>
      <c r="M19" s="598"/>
    </row>
    <row r="20" spans="1:13" hidden="1" x14ac:dyDescent="0.25">
      <c r="A20" s="604" t="s">
        <v>153</v>
      </c>
      <c r="B20" s="650">
        <f>Nøgletal!D307</f>
        <v>0</v>
      </c>
      <c r="C20" s="650">
        <f>Nøgletal!F307</f>
        <v>0</v>
      </c>
      <c r="D20" s="650">
        <f>Nøgletal!H307</f>
        <v>0</v>
      </c>
      <c r="E20" s="650">
        <f>Nøgletal!J307</f>
        <v>0</v>
      </c>
      <c r="F20" s="650">
        <f>Nøgletal!L307</f>
        <v>0</v>
      </c>
      <c r="G20" s="650">
        <f>Nøgletal!N307</f>
        <v>0</v>
      </c>
      <c r="H20" s="650">
        <f>Nøgletal!P307</f>
        <v>0</v>
      </c>
      <c r="I20" s="650">
        <f>Nøgletal!R307</f>
        <v>0</v>
      </c>
      <c r="J20" s="599">
        <v>0</v>
      </c>
      <c r="K20" s="598"/>
      <c r="L20" s="599">
        <v>0</v>
      </c>
      <c r="M20" s="598"/>
    </row>
    <row r="21" spans="1:13" hidden="1" x14ac:dyDescent="0.25">
      <c r="A21" s="604" t="s">
        <v>155</v>
      </c>
      <c r="B21" s="650">
        <f>Nøgletal!D308</f>
        <v>0</v>
      </c>
      <c r="C21" s="650">
        <f>Nøgletal!F308</f>
        <v>0</v>
      </c>
      <c r="D21" s="650">
        <f>Nøgletal!H308</f>
        <v>0</v>
      </c>
      <c r="E21" s="650">
        <f>Nøgletal!J308</f>
        <v>0</v>
      </c>
      <c r="F21" s="650">
        <f>Nøgletal!L308</f>
        <v>0</v>
      </c>
      <c r="G21" s="650">
        <f>Nøgletal!N308</f>
        <v>0</v>
      </c>
      <c r="H21" s="650">
        <f>Nøgletal!P308</f>
        <v>0</v>
      </c>
      <c r="I21" s="650">
        <f>Nøgletal!R308</f>
        <v>0</v>
      </c>
      <c r="J21" s="644">
        <f>IF(J7&gt;0,1-J16-J17-J18-J19-J20,0)</f>
        <v>0</v>
      </c>
      <c r="K21" s="650"/>
      <c r="L21" s="644">
        <f>IF(L7&gt;0,1-L16-L17-L18-L19-L20,0)</f>
        <v>0</v>
      </c>
      <c r="M21" s="598"/>
    </row>
    <row r="22" spans="1:13" ht="18" hidden="1" x14ac:dyDescent="0.35">
      <c r="A22" s="705" t="s">
        <v>656</v>
      </c>
      <c r="B22" s="650"/>
      <c r="C22" s="650"/>
      <c r="D22" s="650"/>
      <c r="E22" s="650"/>
      <c r="F22" s="650"/>
      <c r="G22" s="650"/>
      <c r="H22" s="650"/>
      <c r="I22" s="650"/>
      <c r="J22" s="689">
        <v>0</v>
      </c>
      <c r="K22" s="598"/>
      <c r="L22" s="689">
        <v>0</v>
      </c>
      <c r="M22" s="598"/>
    </row>
    <row r="23" spans="1:13" ht="15" hidden="1" customHeight="1" x14ac:dyDescent="0.25">
      <c r="A23" s="629" t="s">
        <v>358</v>
      </c>
      <c r="B23" s="706">
        <f>Nøgletal!D311</f>
        <v>0</v>
      </c>
      <c r="C23" s="706">
        <f>Nøgletal!F311</f>
        <v>0</v>
      </c>
      <c r="D23" s="706">
        <f>Nøgletal!H311</f>
        <v>0</v>
      </c>
      <c r="E23" s="706">
        <f>Nøgletal!J311</f>
        <v>0</v>
      </c>
      <c r="F23" s="706">
        <f>Nøgletal!L311</f>
        <v>0</v>
      </c>
      <c r="G23" s="706">
        <f>Nøgletal!N311</f>
        <v>0</v>
      </c>
      <c r="H23" s="706">
        <f>Nøgletal!P311</f>
        <v>0</v>
      </c>
      <c r="I23" s="706">
        <f>Nøgletal!R311</f>
        <v>0</v>
      </c>
      <c r="J23" s="690">
        <v>0</v>
      </c>
      <c r="K23" s="690"/>
      <c r="L23" s="690">
        <v>0</v>
      </c>
      <c r="M23" s="690"/>
    </row>
    <row r="24" spans="1:13" ht="15" hidden="1" customHeight="1" x14ac:dyDescent="0.25">
      <c r="A24" s="604" t="s">
        <v>163</v>
      </c>
      <c r="B24" s="650">
        <f>Nøgletal!D312</f>
        <v>0</v>
      </c>
      <c r="C24" s="650">
        <f>Nøgletal!F312</f>
        <v>0</v>
      </c>
      <c r="D24" s="650">
        <f>Nøgletal!H312</f>
        <v>0</v>
      </c>
      <c r="E24" s="650">
        <f>Nøgletal!J312</f>
        <v>0</v>
      </c>
      <c r="F24" s="650">
        <f>Nøgletal!L312</f>
        <v>0</v>
      </c>
      <c r="G24" s="650">
        <f>Nøgletal!N312</f>
        <v>0</v>
      </c>
      <c r="H24" s="650">
        <f>Nøgletal!P312</f>
        <v>0</v>
      </c>
      <c r="I24" s="650">
        <f>Nøgletal!R312</f>
        <v>0</v>
      </c>
      <c r="J24" s="599">
        <v>0</v>
      </c>
      <c r="K24" s="598"/>
      <c r="L24" s="599">
        <v>0</v>
      </c>
      <c r="M24" s="598"/>
    </row>
    <row r="25" spans="1:13" ht="15" hidden="1" customHeight="1" x14ac:dyDescent="0.25">
      <c r="A25" s="604" t="s">
        <v>165</v>
      </c>
      <c r="B25" s="650">
        <f>Nøgletal!D313</f>
        <v>0</v>
      </c>
      <c r="C25" s="650">
        <f>Nøgletal!F313</f>
        <v>0</v>
      </c>
      <c r="D25" s="650">
        <f>Nøgletal!H313</f>
        <v>0</v>
      </c>
      <c r="E25" s="650">
        <f>Nøgletal!J313</f>
        <v>0</v>
      </c>
      <c r="F25" s="650">
        <f>Nøgletal!L313</f>
        <v>0</v>
      </c>
      <c r="G25" s="650">
        <f>Nøgletal!N313</f>
        <v>0</v>
      </c>
      <c r="H25" s="650">
        <f>Nøgletal!P313</f>
        <v>0</v>
      </c>
      <c r="I25" s="650">
        <f>Nøgletal!R313</f>
        <v>0</v>
      </c>
      <c r="J25" s="599">
        <v>0</v>
      </c>
      <c r="K25" s="598"/>
      <c r="L25" s="599">
        <v>0</v>
      </c>
      <c r="M25" s="598"/>
    </row>
    <row r="26" spans="1:13" ht="15" hidden="1" customHeight="1" x14ac:dyDescent="0.25">
      <c r="A26" s="604" t="s">
        <v>167</v>
      </c>
      <c r="B26" s="650">
        <f>Nøgletal!D314</f>
        <v>0</v>
      </c>
      <c r="C26" s="650">
        <f>Nøgletal!F314</f>
        <v>0</v>
      </c>
      <c r="D26" s="650">
        <f>Nøgletal!H314</f>
        <v>0</v>
      </c>
      <c r="E26" s="650">
        <f>Nøgletal!J314</f>
        <v>0</v>
      </c>
      <c r="F26" s="650">
        <f>Nøgletal!L314</f>
        <v>0</v>
      </c>
      <c r="G26" s="650">
        <f>Nøgletal!N314</f>
        <v>0</v>
      </c>
      <c r="H26" s="650">
        <f>Nøgletal!P314</f>
        <v>0</v>
      </c>
      <c r="I26" s="650">
        <f>Nøgletal!R314</f>
        <v>0</v>
      </c>
      <c r="J26" s="644">
        <f>IF(J8&gt;0,1-J24-J25,0)</f>
        <v>0</v>
      </c>
      <c r="K26" s="650"/>
      <c r="L26" s="644">
        <f>IF(L8&gt;0,1-L24-L25,0)</f>
        <v>0</v>
      </c>
      <c r="M26" s="598"/>
    </row>
    <row r="27" spans="1:13" ht="18" hidden="1" x14ac:dyDescent="0.35">
      <c r="A27" s="705" t="s">
        <v>657</v>
      </c>
      <c r="B27" s="650"/>
      <c r="C27" s="650"/>
      <c r="D27" s="650"/>
      <c r="E27" s="650"/>
      <c r="F27" s="650"/>
      <c r="G27" s="650"/>
      <c r="H27" s="650"/>
      <c r="I27" s="650"/>
      <c r="J27" s="689">
        <v>0</v>
      </c>
      <c r="K27" s="598"/>
      <c r="L27" s="689">
        <v>0</v>
      </c>
      <c r="M27" s="598"/>
    </row>
    <row r="28" spans="1:13" ht="15" hidden="1" customHeight="1" x14ac:dyDescent="0.25">
      <c r="A28" s="629" t="s">
        <v>359</v>
      </c>
      <c r="B28" s="706">
        <f>Nøgletal!D316</f>
        <v>0</v>
      </c>
      <c r="C28" s="706">
        <f>Nøgletal!F316</f>
        <v>0</v>
      </c>
      <c r="D28" s="706">
        <f>Nøgletal!H316</f>
        <v>0</v>
      </c>
      <c r="E28" s="706">
        <f>Nøgletal!J316</f>
        <v>0</v>
      </c>
      <c r="F28" s="706">
        <f>Nøgletal!L316</f>
        <v>0</v>
      </c>
      <c r="G28" s="706">
        <f>Nøgletal!N316</f>
        <v>0</v>
      </c>
      <c r="H28" s="706">
        <f>Nøgletal!P316</f>
        <v>0</v>
      </c>
      <c r="I28" s="706">
        <f>Nøgletal!R316</f>
        <v>0</v>
      </c>
      <c r="J28" s="690">
        <v>0</v>
      </c>
      <c r="K28" s="690"/>
      <c r="L28" s="690">
        <v>0</v>
      </c>
      <c r="M28" s="690"/>
    </row>
    <row r="29" spans="1:13" ht="15" hidden="1" customHeight="1" x14ac:dyDescent="0.25">
      <c r="A29" s="604" t="s">
        <v>173</v>
      </c>
      <c r="B29" s="650">
        <f>Nøgletal!D317</f>
        <v>0</v>
      </c>
      <c r="C29" s="650">
        <f>Nøgletal!F317</f>
        <v>0</v>
      </c>
      <c r="D29" s="650">
        <f>Nøgletal!H317</f>
        <v>0</v>
      </c>
      <c r="E29" s="650">
        <f>Nøgletal!J317</f>
        <v>0</v>
      </c>
      <c r="F29" s="650">
        <f>Nøgletal!L317</f>
        <v>0</v>
      </c>
      <c r="G29" s="650">
        <f>Nøgletal!N317</f>
        <v>0</v>
      </c>
      <c r="H29" s="650">
        <f>Nøgletal!P317</f>
        <v>0</v>
      </c>
      <c r="I29" s="650">
        <f>Nøgletal!R317</f>
        <v>0</v>
      </c>
      <c r="J29" s="644">
        <f>IF(J9&gt;0,1-J30-J31-J32-J33-J34-J35-J36,0)</f>
        <v>0</v>
      </c>
      <c r="K29" s="650"/>
      <c r="L29" s="644">
        <f>IF(L9&gt;0,1-L30-L31-L32-L33-L34-L35-L36,0)</f>
        <v>0</v>
      </c>
      <c r="M29" s="598"/>
    </row>
    <row r="30" spans="1:13" ht="15" hidden="1" customHeight="1" x14ac:dyDescent="0.25">
      <c r="A30" s="604" t="s">
        <v>175</v>
      </c>
      <c r="B30" s="650">
        <f>Nøgletal!D318</f>
        <v>0</v>
      </c>
      <c r="C30" s="650">
        <f>Nøgletal!F318</f>
        <v>0</v>
      </c>
      <c r="D30" s="650">
        <f>Nøgletal!H318</f>
        <v>0</v>
      </c>
      <c r="E30" s="650">
        <f>Nøgletal!J318</f>
        <v>0</v>
      </c>
      <c r="F30" s="650">
        <f>Nøgletal!L318</f>
        <v>0</v>
      </c>
      <c r="G30" s="650">
        <f>Nøgletal!N318</f>
        <v>0</v>
      </c>
      <c r="H30" s="650">
        <f>Nøgletal!P318</f>
        <v>0</v>
      </c>
      <c r="I30" s="650">
        <f>Nøgletal!R318</f>
        <v>0</v>
      </c>
      <c r="J30" s="599">
        <v>0</v>
      </c>
      <c r="K30" s="598"/>
      <c r="L30" s="599">
        <v>0</v>
      </c>
      <c r="M30" s="598"/>
    </row>
    <row r="31" spans="1:13" ht="15" hidden="1" customHeight="1" x14ac:dyDescent="0.25">
      <c r="A31" s="604" t="s">
        <v>177</v>
      </c>
      <c r="B31" s="650">
        <f>Nøgletal!D319</f>
        <v>0</v>
      </c>
      <c r="C31" s="650">
        <f>Nøgletal!F319</f>
        <v>0</v>
      </c>
      <c r="D31" s="650">
        <f>Nøgletal!H319</f>
        <v>0</v>
      </c>
      <c r="E31" s="650">
        <f>Nøgletal!J319</f>
        <v>0</v>
      </c>
      <c r="F31" s="650">
        <f>Nøgletal!L319</f>
        <v>0</v>
      </c>
      <c r="G31" s="650">
        <f>Nøgletal!N319</f>
        <v>0</v>
      </c>
      <c r="H31" s="650">
        <f>Nøgletal!P319</f>
        <v>0</v>
      </c>
      <c r="I31" s="650">
        <f>Nøgletal!R319</f>
        <v>0</v>
      </c>
      <c r="J31" s="599">
        <v>0</v>
      </c>
      <c r="K31" s="598"/>
      <c r="L31" s="599">
        <v>0</v>
      </c>
      <c r="M31" s="598"/>
    </row>
    <row r="32" spans="1:13" ht="15" hidden="1" customHeight="1" x14ac:dyDescent="0.25">
      <c r="A32" s="604" t="s">
        <v>179</v>
      </c>
      <c r="B32" s="650">
        <f>Nøgletal!D320</f>
        <v>0</v>
      </c>
      <c r="C32" s="650">
        <f>Nøgletal!F320</f>
        <v>0</v>
      </c>
      <c r="D32" s="650">
        <f>Nøgletal!H320</f>
        <v>0</v>
      </c>
      <c r="E32" s="650">
        <f>Nøgletal!J320</f>
        <v>0</v>
      </c>
      <c r="F32" s="650">
        <f>Nøgletal!L320</f>
        <v>0</v>
      </c>
      <c r="G32" s="650">
        <f>Nøgletal!N320</f>
        <v>0</v>
      </c>
      <c r="H32" s="650">
        <f>Nøgletal!P320</f>
        <v>0</v>
      </c>
      <c r="I32" s="650">
        <f>Nøgletal!R320</f>
        <v>0</v>
      </c>
      <c r="J32" s="599">
        <v>0</v>
      </c>
      <c r="K32" s="598"/>
      <c r="L32" s="599">
        <v>0</v>
      </c>
      <c r="M32" s="598"/>
    </row>
    <row r="33" spans="1:13" ht="15" hidden="1" customHeight="1" x14ac:dyDescent="0.25">
      <c r="A33" s="604" t="s">
        <v>181</v>
      </c>
      <c r="B33" s="650">
        <f>Nøgletal!D321</f>
        <v>0</v>
      </c>
      <c r="C33" s="650">
        <f>Nøgletal!F321</f>
        <v>0</v>
      </c>
      <c r="D33" s="650">
        <f>Nøgletal!H321</f>
        <v>0</v>
      </c>
      <c r="E33" s="650">
        <f>Nøgletal!J321</f>
        <v>0</v>
      </c>
      <c r="F33" s="650">
        <f>Nøgletal!L321</f>
        <v>0</v>
      </c>
      <c r="G33" s="650">
        <f>Nøgletal!N321</f>
        <v>0</v>
      </c>
      <c r="H33" s="650">
        <f>Nøgletal!P321</f>
        <v>0</v>
      </c>
      <c r="I33" s="650">
        <f>Nøgletal!R321</f>
        <v>0</v>
      </c>
      <c r="J33" s="599">
        <v>0</v>
      </c>
      <c r="K33" s="598"/>
      <c r="L33" s="599">
        <v>0</v>
      </c>
      <c r="M33" s="598"/>
    </row>
    <row r="34" spans="1:13" ht="15" hidden="1" customHeight="1" x14ac:dyDescent="0.25">
      <c r="A34" s="604" t="s">
        <v>183</v>
      </c>
      <c r="B34" s="650">
        <f>Nøgletal!D322</f>
        <v>0</v>
      </c>
      <c r="C34" s="650">
        <f>Nøgletal!F322</f>
        <v>0</v>
      </c>
      <c r="D34" s="650">
        <f>Nøgletal!H322</f>
        <v>0</v>
      </c>
      <c r="E34" s="650">
        <f>Nøgletal!J322</f>
        <v>0</v>
      </c>
      <c r="F34" s="650">
        <f>Nøgletal!L322</f>
        <v>0</v>
      </c>
      <c r="G34" s="650">
        <f>Nøgletal!N322</f>
        <v>0</v>
      </c>
      <c r="H34" s="650">
        <f>Nøgletal!P322</f>
        <v>0</v>
      </c>
      <c r="I34" s="650">
        <f>Nøgletal!R322</f>
        <v>0</v>
      </c>
      <c r="J34" s="599">
        <v>0</v>
      </c>
      <c r="K34" s="598"/>
      <c r="L34" s="599">
        <v>0</v>
      </c>
      <c r="M34" s="598"/>
    </row>
    <row r="35" spans="1:13" ht="15" hidden="1" customHeight="1" x14ac:dyDescent="0.25">
      <c r="A35" s="604" t="s">
        <v>185</v>
      </c>
      <c r="B35" s="650">
        <f>Nøgletal!D323</f>
        <v>0</v>
      </c>
      <c r="C35" s="650">
        <f>Nøgletal!F323</f>
        <v>0</v>
      </c>
      <c r="D35" s="650">
        <f>Nøgletal!H323</f>
        <v>0</v>
      </c>
      <c r="E35" s="650">
        <f>Nøgletal!J323</f>
        <v>0</v>
      </c>
      <c r="F35" s="650">
        <f>Nøgletal!L323</f>
        <v>0</v>
      </c>
      <c r="G35" s="650">
        <f>Nøgletal!N323</f>
        <v>0</v>
      </c>
      <c r="H35" s="650">
        <f>Nøgletal!P323</f>
        <v>0</v>
      </c>
      <c r="I35" s="650">
        <f>Nøgletal!R323</f>
        <v>0</v>
      </c>
      <c r="J35" s="599">
        <v>0</v>
      </c>
      <c r="K35" s="598"/>
      <c r="L35" s="599">
        <v>0</v>
      </c>
      <c r="M35" s="598"/>
    </row>
    <row r="36" spans="1:13" ht="15" hidden="1" customHeight="1" x14ac:dyDescent="0.25">
      <c r="A36" s="604" t="s">
        <v>187</v>
      </c>
      <c r="B36" s="650">
        <f>Nøgletal!D324</f>
        <v>0</v>
      </c>
      <c r="C36" s="650">
        <f>Nøgletal!F324</f>
        <v>0</v>
      </c>
      <c r="D36" s="650">
        <f>Nøgletal!H324</f>
        <v>0</v>
      </c>
      <c r="E36" s="650">
        <f>Nøgletal!J324</f>
        <v>0</v>
      </c>
      <c r="F36" s="650">
        <f>Nøgletal!L324</f>
        <v>0</v>
      </c>
      <c r="G36" s="650">
        <f>Nøgletal!N324</f>
        <v>0</v>
      </c>
      <c r="H36" s="650">
        <f>Nøgletal!P324</f>
        <v>0</v>
      </c>
      <c r="I36" s="650">
        <f>Nøgletal!R324</f>
        <v>0</v>
      </c>
      <c r="J36" s="599">
        <v>0</v>
      </c>
      <c r="K36" s="598"/>
      <c r="L36" s="599">
        <v>0</v>
      </c>
      <c r="M36" s="598"/>
    </row>
    <row r="37" spans="1:13" ht="18" hidden="1" x14ac:dyDescent="0.35">
      <c r="A37" s="705" t="s">
        <v>658</v>
      </c>
      <c r="B37" s="650"/>
      <c r="C37" s="650"/>
      <c r="D37" s="650"/>
      <c r="E37" s="650"/>
      <c r="F37" s="650"/>
      <c r="G37" s="650"/>
      <c r="H37" s="650"/>
      <c r="I37" s="650"/>
      <c r="J37" s="689">
        <v>0</v>
      </c>
      <c r="K37" s="598"/>
      <c r="L37" s="689">
        <v>0</v>
      </c>
      <c r="M37" s="598"/>
    </row>
    <row r="38" spans="1:13" hidden="1" x14ac:dyDescent="0.25">
      <c r="A38" s="629" t="s">
        <v>360</v>
      </c>
      <c r="B38" s="706">
        <f>Nøgletal!D326</f>
        <v>0</v>
      </c>
      <c r="C38" s="706">
        <f>Nøgletal!F326</f>
        <v>0</v>
      </c>
      <c r="D38" s="706">
        <f>Nøgletal!H326</f>
        <v>0</v>
      </c>
      <c r="E38" s="706">
        <f>Nøgletal!J326</f>
        <v>0</v>
      </c>
      <c r="F38" s="706">
        <f>Nøgletal!L326</f>
        <v>0</v>
      </c>
      <c r="G38" s="706">
        <f>Nøgletal!N326</f>
        <v>0</v>
      </c>
      <c r="H38" s="706">
        <f>Nøgletal!P326</f>
        <v>0</v>
      </c>
      <c r="I38" s="706">
        <f>Nøgletal!R326</f>
        <v>0</v>
      </c>
      <c r="J38" s="690">
        <v>0</v>
      </c>
      <c r="K38" s="690"/>
      <c r="L38" s="690">
        <v>0</v>
      </c>
      <c r="M38" s="690"/>
    </row>
    <row r="39" spans="1:13" hidden="1" x14ac:dyDescent="0.25">
      <c r="A39" s="604" t="s">
        <v>193</v>
      </c>
      <c r="B39" s="650">
        <f>Nøgletal!D327</f>
        <v>0</v>
      </c>
      <c r="C39" s="650">
        <f>Nøgletal!F327</f>
        <v>0</v>
      </c>
      <c r="D39" s="650">
        <f>Nøgletal!H327</f>
        <v>0</v>
      </c>
      <c r="E39" s="650">
        <f>Nøgletal!J327</f>
        <v>0</v>
      </c>
      <c r="F39" s="650">
        <f>Nøgletal!L327</f>
        <v>0</v>
      </c>
      <c r="G39" s="650">
        <f>Nøgletal!N327</f>
        <v>0</v>
      </c>
      <c r="H39" s="650">
        <f>Nøgletal!P327</f>
        <v>0</v>
      </c>
      <c r="I39" s="650">
        <f>Nøgletal!R327</f>
        <v>0</v>
      </c>
      <c r="J39" s="599">
        <v>0</v>
      </c>
      <c r="K39" s="598"/>
      <c r="L39" s="599">
        <v>0</v>
      </c>
      <c r="M39" s="598"/>
    </row>
    <row r="40" spans="1:13" hidden="1" x14ac:dyDescent="0.25">
      <c r="A40" s="604" t="s">
        <v>195</v>
      </c>
      <c r="B40" s="650">
        <f>Nøgletal!D328</f>
        <v>0</v>
      </c>
      <c r="C40" s="650">
        <f>Nøgletal!F328</f>
        <v>0</v>
      </c>
      <c r="D40" s="650">
        <f>Nøgletal!H328</f>
        <v>0</v>
      </c>
      <c r="E40" s="650">
        <f>Nøgletal!J328</f>
        <v>0</v>
      </c>
      <c r="F40" s="650">
        <f>Nøgletal!L328</f>
        <v>0</v>
      </c>
      <c r="G40" s="650">
        <f>Nøgletal!N328</f>
        <v>0</v>
      </c>
      <c r="H40" s="650">
        <f>Nøgletal!P328</f>
        <v>0</v>
      </c>
      <c r="I40" s="650">
        <f>Nøgletal!R328</f>
        <v>0</v>
      </c>
      <c r="J40" s="644">
        <f>IF(J10&gt;0,1-J39,0)</f>
        <v>0</v>
      </c>
      <c r="K40" s="650"/>
      <c r="L40" s="644">
        <f>IF(L10&gt;0,1-L39,0)</f>
        <v>0</v>
      </c>
      <c r="M40" s="598"/>
    </row>
    <row r="41" spans="1:13" ht="18" x14ac:dyDescent="0.35">
      <c r="A41" s="705" t="s">
        <v>659</v>
      </c>
      <c r="B41" s="650"/>
      <c r="C41" s="650"/>
      <c r="D41" s="650"/>
      <c r="E41" s="650"/>
      <c r="F41" s="650"/>
      <c r="G41" s="650"/>
      <c r="H41" s="650"/>
      <c r="I41" s="650"/>
      <c r="J41" s="689">
        <v>0</v>
      </c>
      <c r="K41" s="598"/>
      <c r="L41" s="689">
        <v>0</v>
      </c>
      <c r="M41" s="598"/>
    </row>
    <row r="42" spans="1:13" x14ac:dyDescent="0.25">
      <c r="A42" s="629" t="s">
        <v>361</v>
      </c>
      <c r="B42" s="706"/>
      <c r="C42" s="706"/>
      <c r="D42" s="706"/>
      <c r="E42" s="706"/>
      <c r="F42" s="706"/>
      <c r="G42" s="706"/>
      <c r="H42" s="706"/>
      <c r="I42" s="706"/>
      <c r="J42" s="690"/>
      <c r="K42" s="690"/>
      <c r="L42" s="690"/>
      <c r="M42" s="690"/>
    </row>
    <row r="43" spans="1:13" x14ac:dyDescent="0.25">
      <c r="A43" s="604" t="s">
        <v>201</v>
      </c>
      <c r="B43" s="650">
        <f>Nøgletal!D331</f>
        <v>0</v>
      </c>
      <c r="C43" s="650">
        <f>Nøgletal!F331</f>
        <v>0</v>
      </c>
      <c r="D43" s="650">
        <f>Nøgletal!H331</f>
        <v>0</v>
      </c>
      <c r="E43" s="650">
        <f>Nøgletal!J331</f>
        <v>0</v>
      </c>
      <c r="F43" s="650">
        <f>Nøgletal!L331</f>
        <v>0</v>
      </c>
      <c r="G43" s="650">
        <f>Nøgletal!N331</f>
        <v>0</v>
      </c>
      <c r="H43" s="650">
        <f>Nøgletal!P331</f>
        <v>0</v>
      </c>
      <c r="I43" s="650">
        <f>Nøgletal!R331</f>
        <v>0</v>
      </c>
      <c r="J43" s="599">
        <v>0</v>
      </c>
      <c r="K43" s="598"/>
      <c r="L43" s="599">
        <v>0</v>
      </c>
      <c r="M43" s="598"/>
    </row>
    <row r="44" spans="1:13" x14ac:dyDescent="0.25">
      <c r="A44" s="604" t="s">
        <v>203</v>
      </c>
      <c r="B44" s="650">
        <f>Nøgletal!D332</f>
        <v>0</v>
      </c>
      <c r="C44" s="650">
        <f>Nøgletal!F332</f>
        <v>0</v>
      </c>
      <c r="D44" s="650">
        <f>Nøgletal!H332</f>
        <v>0</v>
      </c>
      <c r="E44" s="650">
        <f>Nøgletal!J332</f>
        <v>0</v>
      </c>
      <c r="F44" s="650">
        <f>Nøgletal!L332</f>
        <v>0</v>
      </c>
      <c r="G44" s="650">
        <f>Nøgletal!N332</f>
        <v>0</v>
      </c>
      <c r="H44" s="650">
        <f>Nøgletal!P332</f>
        <v>0</v>
      </c>
      <c r="I44" s="650">
        <f>Nøgletal!R332</f>
        <v>0</v>
      </c>
      <c r="J44" s="599">
        <v>0</v>
      </c>
      <c r="K44" s="692"/>
      <c r="L44" s="599">
        <v>0</v>
      </c>
      <c r="M44" s="692"/>
    </row>
    <row r="45" spans="1:13" x14ac:dyDescent="0.25">
      <c r="A45" s="604" t="s">
        <v>205</v>
      </c>
      <c r="B45" s="650">
        <f>Nøgletal!D333</f>
        <v>0</v>
      </c>
      <c r="C45" s="650">
        <f>Nøgletal!F333</f>
        <v>0</v>
      </c>
      <c r="D45" s="650">
        <f>Nøgletal!H333</f>
        <v>0</v>
      </c>
      <c r="E45" s="650">
        <f>Nøgletal!J333</f>
        <v>0</v>
      </c>
      <c r="F45" s="650">
        <f>Nøgletal!L333</f>
        <v>0</v>
      </c>
      <c r="G45" s="650">
        <f>Nøgletal!N333</f>
        <v>0</v>
      </c>
      <c r="H45" s="650">
        <f>Nøgletal!P333</f>
        <v>0</v>
      </c>
      <c r="I45" s="650">
        <f>Nøgletal!R333</f>
        <v>0</v>
      </c>
      <c r="J45" s="599">
        <v>0</v>
      </c>
      <c r="K45" s="598"/>
      <c r="L45" s="599">
        <v>0</v>
      </c>
      <c r="M45" s="598"/>
    </row>
    <row r="46" spans="1:13" x14ac:dyDescent="0.25">
      <c r="A46" s="604" t="s">
        <v>207</v>
      </c>
      <c r="B46" s="650">
        <f>Nøgletal!D334</f>
        <v>0</v>
      </c>
      <c r="C46" s="650">
        <f>Nøgletal!F334</f>
        <v>0</v>
      </c>
      <c r="D46" s="650">
        <f>Nøgletal!H334</f>
        <v>0</v>
      </c>
      <c r="E46" s="650">
        <f>Nøgletal!J334</f>
        <v>0</v>
      </c>
      <c r="F46" s="650">
        <f>Nøgletal!L334</f>
        <v>0</v>
      </c>
      <c r="G46" s="650">
        <f>Nøgletal!N334</f>
        <v>0</v>
      </c>
      <c r="H46" s="650">
        <f>Nøgletal!P334</f>
        <v>0</v>
      </c>
      <c r="I46" s="650">
        <f>Nøgletal!R334</f>
        <v>0</v>
      </c>
      <c r="J46" s="599">
        <v>0</v>
      </c>
      <c r="K46" s="598"/>
      <c r="L46" s="599">
        <v>0</v>
      </c>
      <c r="M46" s="598"/>
    </row>
    <row r="47" spans="1:13" x14ac:dyDescent="0.25">
      <c r="A47" s="604" t="s">
        <v>362</v>
      </c>
      <c r="B47" s="650">
        <f>Nøgletal!D335</f>
        <v>0</v>
      </c>
      <c r="C47" s="650">
        <f>Nøgletal!F335</f>
        <v>0</v>
      </c>
      <c r="D47" s="650">
        <f>Nøgletal!H335</f>
        <v>0</v>
      </c>
      <c r="E47" s="650">
        <f>Nøgletal!J335</f>
        <v>0</v>
      </c>
      <c r="F47" s="650">
        <f>Nøgletal!L335</f>
        <v>0</v>
      </c>
      <c r="G47" s="650">
        <f>Nøgletal!N335</f>
        <v>0</v>
      </c>
      <c r="H47" s="650">
        <f>Nøgletal!P335</f>
        <v>0</v>
      </c>
      <c r="I47" s="650">
        <f>Nøgletal!R335</f>
        <v>0</v>
      </c>
      <c r="J47" s="599">
        <v>1.880876690198799E-5</v>
      </c>
      <c r="K47" s="598"/>
      <c r="L47" s="599">
        <v>0</v>
      </c>
      <c r="M47" s="598"/>
    </row>
    <row r="48" spans="1:13" x14ac:dyDescent="0.25">
      <c r="A48" s="604" t="s">
        <v>159</v>
      </c>
      <c r="B48" s="650">
        <f>Nøgletal!D309</f>
        <v>1</v>
      </c>
      <c r="C48" s="650">
        <f>Nøgletal!F309</f>
        <v>1</v>
      </c>
      <c r="D48" s="650">
        <f>Nøgletal!H309</f>
        <v>1</v>
      </c>
      <c r="E48" s="650">
        <f>Nøgletal!J309</f>
        <v>1</v>
      </c>
      <c r="F48" s="650">
        <f>Nøgletal!L309</f>
        <v>1</v>
      </c>
      <c r="G48" s="650">
        <f>Nøgletal!N309</f>
        <v>1</v>
      </c>
      <c r="H48" s="650">
        <f>Nøgletal!P309</f>
        <v>1</v>
      </c>
      <c r="I48" s="650">
        <f>Nøgletal!R309</f>
        <v>1</v>
      </c>
      <c r="J48" s="644">
        <f>IF(J11&gt;0,1-J43-J44-J45-J46-J47,0)</f>
        <v>0.99998119123309803</v>
      </c>
      <c r="K48" s="699"/>
      <c r="L48" s="644">
        <f>IF(L11&gt;0,1-L43-L44-L45-L46-L47,0)</f>
        <v>1</v>
      </c>
      <c r="M48" s="692"/>
    </row>
    <row r="49" spans="1:13" ht="18" x14ac:dyDescent="0.35">
      <c r="A49" s="705" t="s">
        <v>660</v>
      </c>
      <c r="B49" s="650"/>
      <c r="C49" s="650"/>
      <c r="D49" s="650"/>
      <c r="E49" s="650"/>
      <c r="F49" s="650"/>
      <c r="G49" s="650"/>
      <c r="H49" s="650"/>
      <c r="I49" s="650"/>
      <c r="J49" s="689">
        <v>0</v>
      </c>
      <c r="K49" s="598"/>
      <c r="L49" s="689">
        <v>0</v>
      </c>
      <c r="M49" s="598"/>
    </row>
    <row r="50" spans="1:13" x14ac:dyDescent="0.25">
      <c r="A50" s="629" t="s">
        <v>363</v>
      </c>
      <c r="B50" s="706"/>
      <c r="C50" s="706"/>
      <c r="D50" s="706"/>
      <c r="E50" s="706"/>
      <c r="F50" s="706"/>
      <c r="G50" s="706"/>
      <c r="H50" s="706"/>
      <c r="I50" s="706"/>
      <c r="J50" s="690"/>
      <c r="K50" s="690"/>
      <c r="L50" s="690"/>
      <c r="M50" s="690"/>
    </row>
    <row r="51" spans="1:13" x14ac:dyDescent="0.25">
      <c r="A51" s="604" t="s">
        <v>215</v>
      </c>
      <c r="B51" s="650">
        <f>Nøgletal!D338</f>
        <v>0</v>
      </c>
      <c r="C51" s="650">
        <f>Nøgletal!F338</f>
        <v>0</v>
      </c>
      <c r="D51" s="650">
        <f>Nøgletal!H338</f>
        <v>0</v>
      </c>
      <c r="E51" s="650">
        <f>Nøgletal!J338</f>
        <v>0</v>
      </c>
      <c r="F51" s="650">
        <f>Nøgletal!L338</f>
        <v>0</v>
      </c>
      <c r="G51" s="650">
        <f>Nøgletal!N338</f>
        <v>0</v>
      </c>
      <c r="H51" s="650">
        <f>Nøgletal!P338</f>
        <v>0</v>
      </c>
      <c r="I51" s="650">
        <f>Nøgletal!R338</f>
        <v>0</v>
      </c>
      <c r="J51" s="644">
        <f>IF(J12&gt;0,1-J52-J53-J54-J55-J56,0)</f>
        <v>0</v>
      </c>
      <c r="K51" s="650"/>
      <c r="L51" s="644">
        <f>IF(L12&gt;0,1-L52-L53-L54-L55-L56,0)</f>
        <v>0</v>
      </c>
      <c r="M51" s="598"/>
    </row>
    <row r="52" spans="1:13" x14ac:dyDescent="0.25">
      <c r="A52" s="604" t="s">
        <v>217</v>
      </c>
      <c r="B52" s="650">
        <f>Nøgletal!D339</f>
        <v>0</v>
      </c>
      <c r="C52" s="650">
        <f>Nøgletal!F339</f>
        <v>0</v>
      </c>
      <c r="D52" s="650">
        <f>Nøgletal!H339</f>
        <v>0</v>
      </c>
      <c r="E52" s="650">
        <f>Nøgletal!J339</f>
        <v>0</v>
      </c>
      <c r="F52" s="650">
        <f>Nøgletal!L339</f>
        <v>0</v>
      </c>
      <c r="G52" s="650">
        <f>Nøgletal!N339</f>
        <v>0</v>
      </c>
      <c r="H52" s="650">
        <f>Nøgletal!P339</f>
        <v>0</v>
      </c>
      <c r="I52" s="650">
        <f>Nøgletal!R339</f>
        <v>0</v>
      </c>
      <c r="J52" s="599">
        <v>0</v>
      </c>
      <c r="K52" s="598"/>
      <c r="L52" s="599">
        <v>0</v>
      </c>
      <c r="M52" s="598"/>
    </row>
    <row r="53" spans="1:13" x14ac:dyDescent="0.25">
      <c r="A53" s="604" t="s">
        <v>219</v>
      </c>
      <c r="B53" s="650">
        <f>Nøgletal!D340</f>
        <v>0</v>
      </c>
      <c r="C53" s="650">
        <f>Nøgletal!F340</f>
        <v>0</v>
      </c>
      <c r="D53" s="650">
        <f>Nøgletal!H340</f>
        <v>0</v>
      </c>
      <c r="E53" s="650">
        <f>Nøgletal!J340</f>
        <v>0</v>
      </c>
      <c r="F53" s="650">
        <f>Nøgletal!L340</f>
        <v>0</v>
      </c>
      <c r="G53" s="650">
        <f>Nøgletal!N340</f>
        <v>0</v>
      </c>
      <c r="H53" s="650">
        <f>Nøgletal!P340</f>
        <v>0</v>
      </c>
      <c r="I53" s="650">
        <f>Nøgletal!R340</f>
        <v>0</v>
      </c>
      <c r="J53" s="599">
        <v>0</v>
      </c>
      <c r="K53" s="598"/>
      <c r="L53" s="599">
        <v>0</v>
      </c>
      <c r="M53" s="598"/>
    </row>
    <row r="54" spans="1:13" x14ac:dyDescent="0.25">
      <c r="A54" s="604" t="s">
        <v>221</v>
      </c>
      <c r="B54" s="650">
        <f>Nøgletal!D341</f>
        <v>0</v>
      </c>
      <c r="C54" s="650">
        <f>Nøgletal!F341</f>
        <v>0</v>
      </c>
      <c r="D54" s="650">
        <f>Nøgletal!H341</f>
        <v>0</v>
      </c>
      <c r="E54" s="650">
        <f>Nøgletal!J341</f>
        <v>0</v>
      </c>
      <c r="F54" s="650">
        <f>Nøgletal!L341</f>
        <v>0</v>
      </c>
      <c r="G54" s="650">
        <f>Nøgletal!N341</f>
        <v>0</v>
      </c>
      <c r="H54" s="650">
        <f>Nøgletal!P341</f>
        <v>0</v>
      </c>
      <c r="I54" s="650">
        <f>Nøgletal!R341</f>
        <v>0</v>
      </c>
      <c r="J54" s="599">
        <v>0</v>
      </c>
      <c r="K54" s="598"/>
      <c r="L54" s="599">
        <v>0</v>
      </c>
      <c r="M54" s="598"/>
    </row>
    <row r="55" spans="1:13" x14ac:dyDescent="0.25">
      <c r="A55" s="604" t="s">
        <v>223</v>
      </c>
      <c r="B55" s="650">
        <f>Nøgletal!D342</f>
        <v>0</v>
      </c>
      <c r="C55" s="650">
        <f>Nøgletal!F342</f>
        <v>0</v>
      </c>
      <c r="D55" s="650">
        <f>Nøgletal!H342</f>
        <v>0</v>
      </c>
      <c r="E55" s="650">
        <f>Nøgletal!J342</f>
        <v>0</v>
      </c>
      <c r="F55" s="650">
        <f>Nøgletal!L342</f>
        <v>0</v>
      </c>
      <c r="G55" s="650">
        <f>Nøgletal!N342</f>
        <v>0</v>
      </c>
      <c r="H55" s="650">
        <f>Nøgletal!P342</f>
        <v>0</v>
      </c>
      <c r="I55" s="650">
        <f>Nøgletal!R342</f>
        <v>0</v>
      </c>
      <c r="J55" s="599">
        <v>0</v>
      </c>
      <c r="K55" s="598"/>
      <c r="L55" s="599">
        <v>0</v>
      </c>
      <c r="M55" s="598"/>
    </row>
    <row r="56" spans="1:13" x14ac:dyDescent="0.25">
      <c r="A56" s="604" t="s">
        <v>225</v>
      </c>
      <c r="B56" s="650">
        <f>Nøgletal!D343</f>
        <v>1</v>
      </c>
      <c r="C56" s="650">
        <f>Nøgletal!F343</f>
        <v>1</v>
      </c>
      <c r="D56" s="650">
        <f>Nøgletal!H343</f>
        <v>1</v>
      </c>
      <c r="E56" s="650">
        <f>Nøgletal!J343</f>
        <v>1</v>
      </c>
      <c r="F56" s="650">
        <f>Nøgletal!L343</f>
        <v>1</v>
      </c>
      <c r="G56" s="650">
        <f>Nøgletal!N343</f>
        <v>1</v>
      </c>
      <c r="H56" s="650">
        <f>Nøgletal!P343</f>
        <v>1</v>
      </c>
      <c r="I56" s="650">
        <f>Nøgletal!R343</f>
        <v>1</v>
      </c>
      <c r="J56" s="599">
        <v>1</v>
      </c>
      <c r="K56" s="598"/>
      <c r="L56" s="599">
        <v>1</v>
      </c>
      <c r="M56" s="598"/>
    </row>
    <row r="57" spans="1:13" hidden="1" x14ac:dyDescent="0.25">
      <c r="A57" s="604"/>
      <c r="B57" s="604"/>
      <c r="C57" s="604"/>
      <c r="D57" s="604"/>
      <c r="E57" s="604"/>
      <c r="F57" s="604"/>
      <c r="G57" s="604"/>
      <c r="H57" s="604"/>
      <c r="I57" s="604"/>
    </row>
    <row r="58" spans="1:13" hidden="1" x14ac:dyDescent="0.25">
      <c r="A58" s="629" t="s">
        <v>371</v>
      </c>
      <c r="B58" s="707"/>
      <c r="C58" s="707"/>
      <c r="D58" s="707"/>
      <c r="E58" s="707"/>
      <c r="F58" s="706"/>
      <c r="G58" s="707"/>
      <c r="H58" s="707"/>
      <c r="I58" s="707"/>
      <c r="J58" s="693"/>
      <c r="K58" s="693"/>
      <c r="L58" s="693"/>
      <c r="M58" s="693"/>
    </row>
    <row r="59" spans="1:13" hidden="1" x14ac:dyDescent="0.25">
      <c r="A59" s="604" t="s">
        <v>1</v>
      </c>
      <c r="B59" s="650">
        <f>Nøgletal!D429</f>
        <v>0</v>
      </c>
      <c r="C59" s="650">
        <f>Nøgletal!F429</f>
        <v>0</v>
      </c>
      <c r="D59" s="650">
        <f>Nøgletal!H429</f>
        <v>0</v>
      </c>
      <c r="E59" s="650">
        <f>Nøgletal!J429</f>
        <v>0</v>
      </c>
      <c r="F59" s="708">
        <f>Nøgletal!L429</f>
        <v>0</v>
      </c>
      <c r="G59" s="650">
        <f>Nøgletal!N429</f>
        <v>0</v>
      </c>
      <c r="H59" s="650">
        <f>Nøgletal!P429</f>
        <v>0</v>
      </c>
      <c r="I59" s="650">
        <f>Nøgletal!R429</f>
        <v>0</v>
      </c>
      <c r="J59" s="644">
        <f>IF(J16&gt;0,1-J60-J61-J62-J63-J64-J65-J66-J67,0)</f>
        <v>0</v>
      </c>
      <c r="K59" s="650"/>
      <c r="L59" s="644">
        <f>IF(L16&gt;0,1-L60-L61-L62-L63-L64-L65-L66-L67,0)</f>
        <v>0</v>
      </c>
      <c r="M59" s="598"/>
    </row>
    <row r="60" spans="1:13" hidden="1" x14ac:dyDescent="0.25">
      <c r="A60" s="604" t="s">
        <v>7</v>
      </c>
      <c r="B60" s="650">
        <f>Nøgletal!D430</f>
        <v>0</v>
      </c>
      <c r="C60" s="650">
        <f>Nøgletal!F430</f>
        <v>0</v>
      </c>
      <c r="D60" s="650">
        <f>Nøgletal!H430</f>
        <v>0</v>
      </c>
      <c r="E60" s="650">
        <f>Nøgletal!J430</f>
        <v>0</v>
      </c>
      <c r="F60" s="708">
        <f>Nøgletal!L430</f>
        <v>0</v>
      </c>
      <c r="G60" s="650">
        <f>Nøgletal!N430</f>
        <v>0</v>
      </c>
      <c r="H60" s="650">
        <f>Nøgletal!P430</f>
        <v>0</v>
      </c>
      <c r="I60" s="650">
        <f>Nøgletal!R430</f>
        <v>0</v>
      </c>
      <c r="J60" s="599">
        <v>0</v>
      </c>
      <c r="K60" s="598"/>
      <c r="L60" s="599">
        <v>0</v>
      </c>
      <c r="M60" s="598"/>
    </row>
    <row r="61" spans="1:13" hidden="1" x14ac:dyDescent="0.25">
      <c r="A61" s="604" t="s">
        <v>3</v>
      </c>
      <c r="B61" s="650">
        <f>Nøgletal!D431</f>
        <v>0</v>
      </c>
      <c r="C61" s="650">
        <f>Nøgletal!F431</f>
        <v>0</v>
      </c>
      <c r="D61" s="650">
        <f>Nøgletal!H431</f>
        <v>0</v>
      </c>
      <c r="E61" s="650">
        <f>Nøgletal!J431</f>
        <v>0</v>
      </c>
      <c r="F61" s="708">
        <f>Nøgletal!L431</f>
        <v>0</v>
      </c>
      <c r="G61" s="650">
        <f>Nøgletal!N431</f>
        <v>0</v>
      </c>
      <c r="H61" s="650">
        <f>Nøgletal!P431</f>
        <v>0</v>
      </c>
      <c r="I61" s="650">
        <f>Nøgletal!R431</f>
        <v>0</v>
      </c>
      <c r="J61" s="599">
        <v>0</v>
      </c>
      <c r="K61" s="598"/>
      <c r="L61" s="599">
        <v>0</v>
      </c>
      <c r="M61" s="598"/>
    </row>
    <row r="62" spans="1:13" hidden="1" x14ac:dyDescent="0.25">
      <c r="A62" s="604" t="s">
        <v>373</v>
      </c>
      <c r="B62" s="650">
        <f>Nøgletal!D432</f>
        <v>0</v>
      </c>
      <c r="C62" s="650">
        <f>Nøgletal!F432</f>
        <v>0</v>
      </c>
      <c r="D62" s="650">
        <f>Nøgletal!H432</f>
        <v>0</v>
      </c>
      <c r="E62" s="650">
        <f>Nøgletal!J432</f>
        <v>0</v>
      </c>
      <c r="F62" s="708">
        <f>Nøgletal!L432</f>
        <v>0</v>
      </c>
      <c r="G62" s="650">
        <f>Nøgletal!N432</f>
        <v>0</v>
      </c>
      <c r="H62" s="650">
        <f>Nøgletal!P432</f>
        <v>0</v>
      </c>
      <c r="I62" s="650">
        <f>Nøgletal!R432</f>
        <v>0</v>
      </c>
      <c r="J62" s="599">
        <v>0</v>
      </c>
      <c r="K62" s="598"/>
      <c r="L62" s="599">
        <v>0</v>
      </c>
      <c r="M62" s="598"/>
    </row>
    <row r="63" spans="1:13" hidden="1" x14ac:dyDescent="0.25">
      <c r="A63" s="604" t="s">
        <v>374</v>
      </c>
      <c r="B63" s="650">
        <f>Nøgletal!D433</f>
        <v>0</v>
      </c>
      <c r="C63" s="650">
        <f>Nøgletal!F433</f>
        <v>0</v>
      </c>
      <c r="D63" s="650">
        <f>Nøgletal!H433</f>
        <v>0</v>
      </c>
      <c r="E63" s="650">
        <f>Nøgletal!J433</f>
        <v>0</v>
      </c>
      <c r="F63" s="708">
        <f>Nøgletal!L433</f>
        <v>0</v>
      </c>
      <c r="G63" s="650">
        <f>Nøgletal!N433</f>
        <v>0</v>
      </c>
      <c r="H63" s="650">
        <f>Nøgletal!P433</f>
        <v>0</v>
      </c>
      <c r="I63" s="650">
        <f>Nøgletal!R433</f>
        <v>0</v>
      </c>
      <c r="J63" s="599">
        <v>0</v>
      </c>
      <c r="K63" s="598"/>
      <c r="L63" s="599">
        <v>0</v>
      </c>
      <c r="M63" s="598"/>
    </row>
    <row r="64" spans="1:13" hidden="1" x14ac:dyDescent="0.25">
      <c r="A64" s="604" t="s">
        <v>21</v>
      </c>
      <c r="B64" s="650">
        <f>Nøgletal!D434</f>
        <v>0</v>
      </c>
      <c r="C64" s="650">
        <f>Nøgletal!F434</f>
        <v>0</v>
      </c>
      <c r="D64" s="650">
        <f>Nøgletal!H434</f>
        <v>0</v>
      </c>
      <c r="E64" s="650">
        <f>Nøgletal!J434</f>
        <v>0</v>
      </c>
      <c r="F64" s="708">
        <f>Nøgletal!L434</f>
        <v>0</v>
      </c>
      <c r="G64" s="650">
        <f>Nøgletal!N434</f>
        <v>0</v>
      </c>
      <c r="H64" s="650">
        <f>Nøgletal!P434</f>
        <v>0</v>
      </c>
      <c r="I64" s="650">
        <f>Nøgletal!R434</f>
        <v>0</v>
      </c>
      <c r="J64" s="599">
        <v>0</v>
      </c>
      <c r="K64" s="598"/>
      <c r="L64" s="599">
        <v>0</v>
      </c>
      <c r="M64" s="598"/>
    </row>
    <row r="65" spans="1:13" hidden="1" x14ac:dyDescent="0.25">
      <c r="A65" s="604" t="s">
        <v>375</v>
      </c>
      <c r="B65" s="650">
        <f>Nøgletal!D435</f>
        <v>0</v>
      </c>
      <c r="C65" s="650">
        <f>Nøgletal!F435</f>
        <v>0</v>
      </c>
      <c r="D65" s="650">
        <f>Nøgletal!H435</f>
        <v>0</v>
      </c>
      <c r="E65" s="650">
        <f>Nøgletal!J435</f>
        <v>0</v>
      </c>
      <c r="F65" s="708">
        <f>Nøgletal!L435</f>
        <v>0</v>
      </c>
      <c r="G65" s="650">
        <f>Nøgletal!N435</f>
        <v>0</v>
      </c>
      <c r="H65" s="650">
        <f>Nøgletal!P435</f>
        <v>0</v>
      </c>
      <c r="I65" s="650">
        <f>Nøgletal!R435</f>
        <v>0</v>
      </c>
      <c r="J65" s="599">
        <v>0</v>
      </c>
      <c r="K65" s="598"/>
      <c r="L65" s="599">
        <v>0</v>
      </c>
      <c r="M65" s="598"/>
    </row>
    <row r="66" spans="1:13" hidden="1" x14ac:dyDescent="0.25">
      <c r="A66" s="604" t="s">
        <v>23</v>
      </c>
      <c r="B66" s="650">
        <f>Nøgletal!D436</f>
        <v>0</v>
      </c>
      <c r="C66" s="650">
        <f>Nøgletal!F436</f>
        <v>0</v>
      </c>
      <c r="D66" s="650">
        <f>Nøgletal!H436</f>
        <v>0</v>
      </c>
      <c r="E66" s="650">
        <f>Nøgletal!J436</f>
        <v>0</v>
      </c>
      <c r="F66" s="708">
        <f>Nøgletal!L436</f>
        <v>0</v>
      </c>
      <c r="G66" s="650">
        <f>Nøgletal!N436</f>
        <v>0</v>
      </c>
      <c r="H66" s="650">
        <f>Nøgletal!P436</f>
        <v>0</v>
      </c>
      <c r="I66" s="650">
        <f>Nøgletal!R436</f>
        <v>0</v>
      </c>
      <c r="J66" s="599">
        <v>0</v>
      </c>
      <c r="K66" s="598"/>
      <c r="L66" s="599">
        <v>0</v>
      </c>
      <c r="M66" s="598"/>
    </row>
    <row r="67" spans="1:13" hidden="1" x14ac:dyDescent="0.25">
      <c r="A67" s="604" t="s">
        <v>26</v>
      </c>
      <c r="B67" s="650">
        <f>Nøgletal!D437</f>
        <v>0</v>
      </c>
      <c r="C67" s="650">
        <f>Nøgletal!F437</f>
        <v>0</v>
      </c>
      <c r="D67" s="650">
        <f>Nøgletal!H437</f>
        <v>0</v>
      </c>
      <c r="E67" s="650">
        <f>Nøgletal!J437</f>
        <v>0</v>
      </c>
      <c r="F67" s="708">
        <f>Nøgletal!L437</f>
        <v>0</v>
      </c>
      <c r="G67" s="650">
        <f>Nøgletal!N437</f>
        <v>0</v>
      </c>
      <c r="H67" s="650">
        <f>Nøgletal!P437</f>
        <v>0</v>
      </c>
      <c r="I67" s="650">
        <f>Nøgletal!R437</f>
        <v>0</v>
      </c>
      <c r="J67" s="599">
        <v>0</v>
      </c>
      <c r="K67" s="598"/>
      <c r="L67" s="599">
        <v>0</v>
      </c>
      <c r="M67" s="598"/>
    </row>
    <row r="68" spans="1:13" hidden="1" x14ac:dyDescent="0.25">
      <c r="A68" s="629" t="s">
        <v>376</v>
      </c>
      <c r="B68" s="706"/>
      <c r="C68" s="706"/>
      <c r="D68" s="706"/>
      <c r="E68" s="706"/>
      <c r="F68" s="709"/>
      <c r="G68" s="706"/>
      <c r="H68" s="706"/>
      <c r="I68" s="706"/>
      <c r="J68" s="690"/>
      <c r="K68" s="690"/>
      <c r="L68" s="690"/>
      <c r="M68" s="690"/>
    </row>
    <row r="69" spans="1:13" hidden="1" x14ac:dyDescent="0.25">
      <c r="A69" s="604" t="s">
        <v>7</v>
      </c>
      <c r="B69" s="650">
        <f>Nøgletal!D439</f>
        <v>0</v>
      </c>
      <c r="C69" s="650">
        <f>Nøgletal!F439</f>
        <v>0</v>
      </c>
      <c r="D69" s="650">
        <f>Nøgletal!H439</f>
        <v>0</v>
      </c>
      <c r="E69" s="650">
        <f>Nøgletal!J439</f>
        <v>0</v>
      </c>
      <c r="F69" s="708">
        <f>Nøgletal!L439</f>
        <v>0</v>
      </c>
      <c r="G69" s="650">
        <f>Nøgletal!N439</f>
        <v>0</v>
      </c>
      <c r="H69" s="650">
        <f>Nøgletal!P439</f>
        <v>0</v>
      </c>
      <c r="I69" s="650">
        <f>Nøgletal!R439</f>
        <v>0</v>
      </c>
      <c r="J69" s="644">
        <f>IF(J17&gt;0,1-J70-J71-J72-J73-J74-J75-J76-J77-J78-J79,0)</f>
        <v>0</v>
      </c>
      <c r="K69" s="650"/>
      <c r="L69" s="644">
        <f>IF(L17&gt;0,1-L70-L71-L72-L73-L74-L75-L76-L77-L78-L79,0)</f>
        <v>0</v>
      </c>
      <c r="M69" s="598"/>
    </row>
    <row r="70" spans="1:13" hidden="1" x14ac:dyDescent="0.25">
      <c r="A70" s="604" t="s">
        <v>8</v>
      </c>
      <c r="B70" s="650">
        <f>Nøgletal!D440</f>
        <v>0</v>
      </c>
      <c r="C70" s="650">
        <f>Nøgletal!F440</f>
        <v>0</v>
      </c>
      <c r="D70" s="650">
        <f>Nøgletal!H440</f>
        <v>0</v>
      </c>
      <c r="E70" s="650">
        <f>Nøgletal!J440</f>
        <v>0</v>
      </c>
      <c r="F70" s="708">
        <f>Nøgletal!L440</f>
        <v>0</v>
      </c>
      <c r="G70" s="650">
        <f>Nøgletal!N440</f>
        <v>0</v>
      </c>
      <c r="H70" s="650">
        <f>Nøgletal!P440</f>
        <v>0</v>
      </c>
      <c r="I70" s="650">
        <f>Nøgletal!R440</f>
        <v>0</v>
      </c>
      <c r="J70" s="599">
        <v>0</v>
      </c>
      <c r="K70" s="598"/>
      <c r="L70" s="599">
        <v>0</v>
      </c>
      <c r="M70" s="598"/>
    </row>
    <row r="71" spans="1:13" hidden="1" x14ac:dyDescent="0.25">
      <c r="A71" s="604" t="s">
        <v>9</v>
      </c>
      <c r="B71" s="650">
        <f>Nøgletal!D441</f>
        <v>0</v>
      </c>
      <c r="C71" s="650">
        <f>Nøgletal!F441</f>
        <v>0</v>
      </c>
      <c r="D71" s="650">
        <f>Nøgletal!H441</f>
        <v>0</v>
      </c>
      <c r="E71" s="650">
        <f>Nøgletal!J441</f>
        <v>0</v>
      </c>
      <c r="F71" s="708">
        <f>Nøgletal!L441</f>
        <v>0</v>
      </c>
      <c r="G71" s="650">
        <f>Nøgletal!N441</f>
        <v>0</v>
      </c>
      <c r="H71" s="650">
        <f>Nøgletal!P441</f>
        <v>0</v>
      </c>
      <c r="I71" s="650">
        <f>Nøgletal!R441</f>
        <v>0</v>
      </c>
      <c r="J71" s="599">
        <v>0</v>
      </c>
      <c r="K71" s="598"/>
      <c r="L71" s="599">
        <v>0</v>
      </c>
      <c r="M71" s="598"/>
    </row>
    <row r="72" spans="1:13" hidden="1" x14ac:dyDescent="0.25">
      <c r="A72" s="604" t="s">
        <v>11</v>
      </c>
      <c r="B72" s="650">
        <f>Nøgletal!D442</f>
        <v>0</v>
      </c>
      <c r="C72" s="650">
        <f>Nøgletal!F442</f>
        <v>0</v>
      </c>
      <c r="D72" s="650">
        <f>Nøgletal!H442</f>
        <v>0</v>
      </c>
      <c r="E72" s="650">
        <f>Nøgletal!J442</f>
        <v>0</v>
      </c>
      <c r="F72" s="708">
        <f>Nøgletal!L442</f>
        <v>0</v>
      </c>
      <c r="G72" s="650">
        <f>Nøgletal!N442</f>
        <v>0</v>
      </c>
      <c r="H72" s="650">
        <f>Nøgletal!P442</f>
        <v>0</v>
      </c>
      <c r="I72" s="650">
        <f>Nøgletal!R442</f>
        <v>0</v>
      </c>
      <c r="J72" s="599">
        <v>0</v>
      </c>
      <c r="K72" s="598"/>
      <c r="L72" s="599">
        <v>0</v>
      </c>
      <c r="M72" s="598"/>
    </row>
    <row r="73" spans="1:13" hidden="1" x14ac:dyDescent="0.25">
      <c r="A73" s="604" t="s">
        <v>3</v>
      </c>
      <c r="B73" s="650">
        <f>Nøgletal!D443</f>
        <v>0</v>
      </c>
      <c r="C73" s="650">
        <f>Nøgletal!F443</f>
        <v>0</v>
      </c>
      <c r="D73" s="650">
        <f>Nøgletal!H443</f>
        <v>0</v>
      </c>
      <c r="E73" s="650">
        <f>Nøgletal!J443</f>
        <v>0</v>
      </c>
      <c r="F73" s="708">
        <f>Nøgletal!L443</f>
        <v>0</v>
      </c>
      <c r="G73" s="650">
        <f>Nøgletal!N443</f>
        <v>0</v>
      </c>
      <c r="H73" s="650">
        <f>Nøgletal!P443</f>
        <v>0</v>
      </c>
      <c r="I73" s="650">
        <f>Nøgletal!R443</f>
        <v>0</v>
      </c>
      <c r="J73" s="599">
        <v>0</v>
      </c>
      <c r="K73" s="598"/>
      <c r="L73" s="599">
        <v>0</v>
      </c>
      <c r="M73" s="598"/>
    </row>
    <row r="74" spans="1:13" hidden="1" x14ac:dyDescent="0.25">
      <c r="A74" s="604" t="s">
        <v>373</v>
      </c>
      <c r="B74" s="650">
        <f>Nøgletal!D444</f>
        <v>0</v>
      </c>
      <c r="C74" s="650">
        <f>Nøgletal!F444</f>
        <v>0</v>
      </c>
      <c r="D74" s="650">
        <f>Nøgletal!H444</f>
        <v>0</v>
      </c>
      <c r="E74" s="650">
        <f>Nøgletal!J444</f>
        <v>0</v>
      </c>
      <c r="F74" s="708">
        <f>Nøgletal!L444</f>
        <v>0</v>
      </c>
      <c r="G74" s="650">
        <f>Nøgletal!N444</f>
        <v>0</v>
      </c>
      <c r="H74" s="650">
        <f>Nøgletal!P444</f>
        <v>0</v>
      </c>
      <c r="I74" s="650">
        <f>Nøgletal!R444</f>
        <v>0</v>
      </c>
      <c r="J74" s="599">
        <v>0</v>
      </c>
      <c r="K74" s="598"/>
      <c r="L74" s="599">
        <v>0</v>
      </c>
      <c r="M74" s="598"/>
    </row>
    <row r="75" spans="1:13" hidden="1" x14ac:dyDescent="0.25">
      <c r="A75" s="604" t="s">
        <v>374</v>
      </c>
      <c r="B75" s="650">
        <f>Nøgletal!D445</f>
        <v>0</v>
      </c>
      <c r="C75" s="650">
        <f>Nøgletal!F445</f>
        <v>0</v>
      </c>
      <c r="D75" s="650">
        <f>Nøgletal!H445</f>
        <v>0</v>
      </c>
      <c r="E75" s="650">
        <f>Nøgletal!J445</f>
        <v>0</v>
      </c>
      <c r="F75" s="708">
        <f>Nøgletal!L445</f>
        <v>0</v>
      </c>
      <c r="G75" s="650">
        <f>Nøgletal!N445</f>
        <v>0</v>
      </c>
      <c r="H75" s="650">
        <f>Nøgletal!P445</f>
        <v>0</v>
      </c>
      <c r="I75" s="650">
        <f>Nøgletal!R445</f>
        <v>0</v>
      </c>
      <c r="J75" s="599">
        <v>0</v>
      </c>
      <c r="K75" s="598"/>
      <c r="L75" s="599">
        <v>0</v>
      </c>
      <c r="M75" s="598"/>
    </row>
    <row r="76" spans="1:13" hidden="1" x14ac:dyDescent="0.25">
      <c r="A76" s="604" t="s">
        <v>21</v>
      </c>
      <c r="B76" s="650">
        <f>Nøgletal!D446</f>
        <v>0</v>
      </c>
      <c r="C76" s="650">
        <f>Nøgletal!F446</f>
        <v>0</v>
      </c>
      <c r="D76" s="650">
        <f>Nøgletal!H446</f>
        <v>0</v>
      </c>
      <c r="E76" s="650">
        <f>Nøgletal!J446</f>
        <v>0</v>
      </c>
      <c r="F76" s="708">
        <f>Nøgletal!L446</f>
        <v>0</v>
      </c>
      <c r="G76" s="650">
        <f>Nøgletal!N446</f>
        <v>0</v>
      </c>
      <c r="H76" s="650">
        <f>Nøgletal!P446</f>
        <v>0</v>
      </c>
      <c r="I76" s="650">
        <f>Nøgletal!R446</f>
        <v>0</v>
      </c>
      <c r="J76" s="599">
        <v>0</v>
      </c>
      <c r="K76" s="598"/>
      <c r="L76" s="599">
        <v>0</v>
      </c>
      <c r="M76" s="598"/>
    </row>
    <row r="77" spans="1:13" hidden="1" x14ac:dyDescent="0.25">
      <c r="A77" s="604" t="s">
        <v>375</v>
      </c>
      <c r="B77" s="650">
        <f>Nøgletal!D447</f>
        <v>0</v>
      </c>
      <c r="C77" s="650">
        <f>Nøgletal!F447</f>
        <v>0</v>
      </c>
      <c r="D77" s="650">
        <f>Nøgletal!H447</f>
        <v>0</v>
      </c>
      <c r="E77" s="650">
        <f>Nøgletal!J447</f>
        <v>0</v>
      </c>
      <c r="F77" s="708">
        <f>Nøgletal!L447</f>
        <v>0</v>
      </c>
      <c r="G77" s="650">
        <f>Nøgletal!N447</f>
        <v>0</v>
      </c>
      <c r="H77" s="650">
        <f>Nøgletal!P447</f>
        <v>0</v>
      </c>
      <c r="I77" s="650">
        <f>Nøgletal!R447</f>
        <v>0</v>
      </c>
      <c r="J77" s="599">
        <v>0</v>
      </c>
      <c r="K77" s="598"/>
      <c r="L77" s="599">
        <v>0</v>
      </c>
      <c r="M77" s="598"/>
    </row>
    <row r="78" spans="1:13" hidden="1" x14ac:dyDescent="0.25">
      <c r="A78" s="604" t="s">
        <v>23</v>
      </c>
      <c r="B78" s="650">
        <f>Nøgletal!D448</f>
        <v>0</v>
      </c>
      <c r="C78" s="650">
        <f>Nøgletal!F448</f>
        <v>0</v>
      </c>
      <c r="D78" s="650">
        <f>Nøgletal!H448</f>
        <v>0</v>
      </c>
      <c r="E78" s="650">
        <f>Nøgletal!J448</f>
        <v>0</v>
      </c>
      <c r="F78" s="708">
        <f>Nøgletal!L448</f>
        <v>0</v>
      </c>
      <c r="G78" s="650">
        <f>Nøgletal!N448</f>
        <v>0</v>
      </c>
      <c r="H78" s="650">
        <f>Nøgletal!P448</f>
        <v>0</v>
      </c>
      <c r="I78" s="650">
        <f>Nøgletal!R448</f>
        <v>0</v>
      </c>
      <c r="J78" s="599">
        <v>0</v>
      </c>
      <c r="K78" s="598"/>
      <c r="L78" s="599">
        <v>0</v>
      </c>
      <c r="M78" s="598"/>
    </row>
    <row r="79" spans="1:13" hidden="1" x14ac:dyDescent="0.25">
      <c r="A79" s="604" t="s">
        <v>26</v>
      </c>
      <c r="B79" s="650">
        <f>Nøgletal!D449</f>
        <v>0</v>
      </c>
      <c r="C79" s="650">
        <f>Nøgletal!F449</f>
        <v>0</v>
      </c>
      <c r="D79" s="650">
        <f>Nøgletal!H449</f>
        <v>0</v>
      </c>
      <c r="E79" s="650">
        <f>Nøgletal!J449</f>
        <v>0</v>
      </c>
      <c r="F79" s="708">
        <f>Nøgletal!L449</f>
        <v>0</v>
      </c>
      <c r="G79" s="650">
        <f>Nøgletal!N449</f>
        <v>0</v>
      </c>
      <c r="H79" s="650">
        <f>Nøgletal!P449</f>
        <v>0</v>
      </c>
      <c r="I79" s="650">
        <f>Nøgletal!R449</f>
        <v>0</v>
      </c>
      <c r="J79" s="599">
        <v>0</v>
      </c>
      <c r="K79" s="598"/>
      <c r="L79" s="599">
        <v>0</v>
      </c>
      <c r="M79" s="598"/>
    </row>
    <row r="80" spans="1:13" hidden="1" x14ac:dyDescent="0.25">
      <c r="A80" s="629" t="s">
        <v>149</v>
      </c>
      <c r="B80" s="706"/>
      <c r="C80" s="706"/>
      <c r="D80" s="706"/>
      <c r="E80" s="706"/>
      <c r="F80" s="709"/>
      <c r="G80" s="706"/>
      <c r="H80" s="706"/>
      <c r="I80" s="706"/>
      <c r="J80" s="690"/>
      <c r="K80" s="690"/>
      <c r="L80" s="690"/>
      <c r="M80" s="690"/>
    </row>
    <row r="81" spans="1:13" hidden="1" x14ac:dyDescent="0.25">
      <c r="A81" s="604" t="s">
        <v>3</v>
      </c>
      <c r="B81" s="650">
        <f>Nøgletal!D451</f>
        <v>0</v>
      </c>
      <c r="C81" s="650">
        <f>Nøgletal!F451</f>
        <v>0</v>
      </c>
      <c r="D81" s="650">
        <f>Nøgletal!H451</f>
        <v>0</v>
      </c>
      <c r="E81" s="650">
        <f>Nøgletal!J451</f>
        <v>0</v>
      </c>
      <c r="F81" s="708">
        <f>Nøgletal!L451</f>
        <v>0</v>
      </c>
      <c r="G81" s="650">
        <f>Nøgletal!N451</f>
        <v>0</v>
      </c>
      <c r="H81" s="650">
        <f>Nøgletal!P451</f>
        <v>0</v>
      </c>
      <c r="I81" s="650">
        <f>Nøgletal!R451</f>
        <v>0</v>
      </c>
      <c r="J81" s="644">
        <f>IF(J18&gt;0,1-J82-J83,0)</f>
        <v>0</v>
      </c>
      <c r="K81" s="650"/>
      <c r="L81" s="644">
        <f>IF(L18&gt;0,1-L82-L83,0)</f>
        <v>0</v>
      </c>
      <c r="M81" s="598"/>
    </row>
    <row r="82" spans="1:13" hidden="1" x14ac:dyDescent="0.25">
      <c r="A82" s="604" t="s">
        <v>373</v>
      </c>
      <c r="B82" s="650">
        <f>Nøgletal!D452</f>
        <v>0</v>
      </c>
      <c r="C82" s="650">
        <f>Nøgletal!F452</f>
        <v>0</v>
      </c>
      <c r="D82" s="650">
        <f>Nøgletal!H452</f>
        <v>0</v>
      </c>
      <c r="E82" s="650">
        <f>Nøgletal!J452</f>
        <v>0</v>
      </c>
      <c r="F82" s="708">
        <f>Nøgletal!L452</f>
        <v>0</v>
      </c>
      <c r="G82" s="650">
        <f>Nøgletal!N452</f>
        <v>0</v>
      </c>
      <c r="H82" s="650">
        <f>Nøgletal!P452</f>
        <v>0</v>
      </c>
      <c r="I82" s="650">
        <f>Nøgletal!R452</f>
        <v>0</v>
      </c>
      <c r="J82" s="599">
        <v>0</v>
      </c>
      <c r="K82" s="598"/>
      <c r="L82" s="599">
        <v>0</v>
      </c>
      <c r="M82" s="598"/>
    </row>
    <row r="83" spans="1:13" hidden="1" x14ac:dyDescent="0.25">
      <c r="A83" s="604" t="s">
        <v>26</v>
      </c>
      <c r="B83" s="650">
        <f>Nøgletal!D453</f>
        <v>0</v>
      </c>
      <c r="C83" s="650">
        <f>Nøgletal!F453</f>
        <v>0</v>
      </c>
      <c r="D83" s="650">
        <f>Nøgletal!H453</f>
        <v>0</v>
      </c>
      <c r="E83" s="650">
        <f>Nøgletal!J453</f>
        <v>0</v>
      </c>
      <c r="F83" s="708">
        <f>Nøgletal!L453</f>
        <v>0</v>
      </c>
      <c r="G83" s="650">
        <f>Nøgletal!N453</f>
        <v>0</v>
      </c>
      <c r="H83" s="650">
        <f>Nøgletal!P453</f>
        <v>0</v>
      </c>
      <c r="I83" s="650">
        <f>Nøgletal!R453</f>
        <v>0</v>
      </c>
      <c r="J83" s="599">
        <v>0</v>
      </c>
      <c r="K83" s="598"/>
      <c r="L83" s="599">
        <v>0</v>
      </c>
      <c r="M83" s="598"/>
    </row>
    <row r="84" spans="1:13" hidden="1" x14ac:dyDescent="0.25">
      <c r="A84" s="629" t="s">
        <v>377</v>
      </c>
      <c r="B84" s="706"/>
      <c r="C84" s="706"/>
      <c r="D84" s="706"/>
      <c r="E84" s="706"/>
      <c r="F84" s="709"/>
      <c r="G84" s="706"/>
      <c r="H84" s="706"/>
      <c r="I84" s="706"/>
      <c r="J84" s="690"/>
      <c r="K84" s="690"/>
      <c r="L84" s="690"/>
      <c r="M84" s="690"/>
    </row>
    <row r="85" spans="1:13" ht="15" hidden="1" customHeight="1" x14ac:dyDescent="0.25">
      <c r="A85" s="604" t="s">
        <v>1</v>
      </c>
      <c r="B85" s="650">
        <f>Nøgletal!D455</f>
        <v>0</v>
      </c>
      <c r="C85" s="650">
        <f>Nøgletal!F455</f>
        <v>0</v>
      </c>
      <c r="D85" s="650">
        <f>Nøgletal!H455</f>
        <v>0</v>
      </c>
      <c r="E85" s="650">
        <f>Nøgletal!J455</f>
        <v>0</v>
      </c>
      <c r="F85" s="708">
        <f>Nøgletal!L455</f>
        <v>0</v>
      </c>
      <c r="G85" s="650">
        <f>Nøgletal!N455</f>
        <v>0</v>
      </c>
      <c r="H85" s="650">
        <f>Nøgletal!P455</f>
        <v>0</v>
      </c>
      <c r="I85" s="650">
        <f>Nøgletal!R455</f>
        <v>0</v>
      </c>
      <c r="J85" s="644">
        <f>IF(J19&gt;0,1-J86-J87-J88-J89-J90-J91-J92-J93,0)</f>
        <v>0</v>
      </c>
      <c r="K85" s="650"/>
      <c r="L85" s="644">
        <f>IF(L19&gt;0,1-L86-L87-L88-L89-L90-L91-L92-L93,0)</f>
        <v>0</v>
      </c>
      <c r="M85" s="598"/>
    </row>
    <row r="86" spans="1:13" hidden="1" x14ac:dyDescent="0.25">
      <c r="A86" s="604" t="s">
        <v>7</v>
      </c>
      <c r="B86" s="650">
        <f>Nøgletal!D456</f>
        <v>0</v>
      </c>
      <c r="C86" s="650">
        <f>Nøgletal!F456</f>
        <v>0</v>
      </c>
      <c r="D86" s="650">
        <f>Nøgletal!H456</f>
        <v>0</v>
      </c>
      <c r="E86" s="650">
        <f>Nøgletal!J456</f>
        <v>0</v>
      </c>
      <c r="F86" s="708">
        <f>Nøgletal!L456</f>
        <v>0</v>
      </c>
      <c r="G86" s="650">
        <f>Nøgletal!N456</f>
        <v>0</v>
      </c>
      <c r="H86" s="650">
        <f>Nøgletal!P456</f>
        <v>0</v>
      </c>
      <c r="I86" s="650">
        <f>Nøgletal!R456</f>
        <v>0</v>
      </c>
      <c r="J86" s="599">
        <v>0</v>
      </c>
      <c r="K86" s="598"/>
      <c r="L86" s="599">
        <v>0</v>
      </c>
      <c r="M86" s="598"/>
    </row>
    <row r="87" spans="1:13" ht="18" hidden="1" customHeight="1" x14ac:dyDescent="0.25">
      <c r="A87" s="604" t="s">
        <v>3</v>
      </c>
      <c r="B87" s="650">
        <f>Nøgletal!D457</f>
        <v>0</v>
      </c>
      <c r="C87" s="650">
        <f>Nøgletal!F457</f>
        <v>0</v>
      </c>
      <c r="D87" s="650">
        <f>Nøgletal!H457</f>
        <v>0</v>
      </c>
      <c r="E87" s="650">
        <f>Nøgletal!J457</f>
        <v>0</v>
      </c>
      <c r="F87" s="708">
        <f>Nøgletal!L457</f>
        <v>0</v>
      </c>
      <c r="G87" s="650">
        <f>Nøgletal!N457</f>
        <v>0</v>
      </c>
      <c r="H87" s="650">
        <f>Nøgletal!P457</f>
        <v>0</v>
      </c>
      <c r="I87" s="650">
        <f>Nøgletal!R457</f>
        <v>0</v>
      </c>
      <c r="J87" s="599">
        <v>0</v>
      </c>
      <c r="K87" s="598"/>
      <c r="L87" s="599">
        <v>0</v>
      </c>
      <c r="M87" s="598"/>
    </row>
    <row r="88" spans="1:13" ht="17.25" hidden="1" customHeight="1" x14ac:dyDescent="0.25">
      <c r="A88" s="604" t="s">
        <v>373</v>
      </c>
      <c r="B88" s="650">
        <f>Nøgletal!D458</f>
        <v>0</v>
      </c>
      <c r="C88" s="650">
        <f>Nøgletal!F458</f>
        <v>0</v>
      </c>
      <c r="D88" s="650">
        <f>Nøgletal!H458</f>
        <v>0</v>
      </c>
      <c r="E88" s="650">
        <f>Nøgletal!J458</f>
        <v>0</v>
      </c>
      <c r="F88" s="708">
        <f>Nøgletal!L458</f>
        <v>0</v>
      </c>
      <c r="G88" s="650">
        <f>Nøgletal!N458</f>
        <v>0</v>
      </c>
      <c r="H88" s="650">
        <f>Nøgletal!P458</f>
        <v>0</v>
      </c>
      <c r="I88" s="650">
        <f>Nøgletal!R458</f>
        <v>0</v>
      </c>
      <c r="J88" s="599">
        <v>0</v>
      </c>
      <c r="K88" s="598"/>
      <c r="L88" s="599">
        <v>0</v>
      </c>
      <c r="M88" s="598"/>
    </row>
    <row r="89" spans="1:13" hidden="1" x14ac:dyDescent="0.25">
      <c r="A89" s="604" t="s">
        <v>374</v>
      </c>
      <c r="B89" s="650">
        <f>Nøgletal!D459</f>
        <v>0</v>
      </c>
      <c r="C89" s="650">
        <f>Nøgletal!F459</f>
        <v>0</v>
      </c>
      <c r="D89" s="650">
        <f>Nøgletal!H459</f>
        <v>0</v>
      </c>
      <c r="E89" s="650">
        <f>Nøgletal!J459</f>
        <v>0</v>
      </c>
      <c r="F89" s="708">
        <f>Nøgletal!L459</f>
        <v>0</v>
      </c>
      <c r="G89" s="650">
        <f>Nøgletal!N459</f>
        <v>0</v>
      </c>
      <c r="H89" s="650">
        <f>Nøgletal!P459</f>
        <v>0</v>
      </c>
      <c r="I89" s="650">
        <f>Nøgletal!R459</f>
        <v>0</v>
      </c>
      <c r="J89" s="599">
        <v>0</v>
      </c>
      <c r="K89" s="598"/>
      <c r="L89" s="599">
        <v>0</v>
      </c>
      <c r="M89" s="598"/>
    </row>
    <row r="90" spans="1:13" hidden="1" x14ac:dyDescent="0.25">
      <c r="A90" s="604" t="s">
        <v>21</v>
      </c>
      <c r="B90" s="650">
        <f>Nøgletal!D460</f>
        <v>0</v>
      </c>
      <c r="C90" s="650">
        <f>Nøgletal!F460</f>
        <v>0</v>
      </c>
      <c r="D90" s="650">
        <f>Nøgletal!H460</f>
        <v>0</v>
      </c>
      <c r="E90" s="650">
        <f>Nøgletal!J460</f>
        <v>0</v>
      </c>
      <c r="F90" s="708">
        <f>Nøgletal!L460</f>
        <v>0</v>
      </c>
      <c r="G90" s="650">
        <f>Nøgletal!N460</f>
        <v>0</v>
      </c>
      <c r="H90" s="650">
        <f>Nøgletal!P460</f>
        <v>0</v>
      </c>
      <c r="I90" s="650">
        <f>Nøgletal!R460</f>
        <v>0</v>
      </c>
      <c r="J90" s="599">
        <v>0</v>
      </c>
      <c r="K90" s="598"/>
      <c r="L90" s="599">
        <v>0</v>
      </c>
      <c r="M90" s="598"/>
    </row>
    <row r="91" spans="1:13" hidden="1" x14ac:dyDescent="0.25">
      <c r="A91" s="604" t="s">
        <v>375</v>
      </c>
      <c r="B91" s="650">
        <f>Nøgletal!D461</f>
        <v>0</v>
      </c>
      <c r="C91" s="650">
        <f>Nøgletal!F461</f>
        <v>0</v>
      </c>
      <c r="D91" s="650">
        <f>Nøgletal!H461</f>
        <v>0</v>
      </c>
      <c r="E91" s="650">
        <f>Nøgletal!J461</f>
        <v>0</v>
      </c>
      <c r="F91" s="708">
        <f>Nøgletal!L461</f>
        <v>0</v>
      </c>
      <c r="G91" s="650">
        <f>Nøgletal!N461</f>
        <v>0</v>
      </c>
      <c r="H91" s="650">
        <f>Nøgletal!P461</f>
        <v>0</v>
      </c>
      <c r="I91" s="650">
        <f>Nøgletal!R461</f>
        <v>0</v>
      </c>
      <c r="J91" s="599">
        <v>0</v>
      </c>
      <c r="K91" s="598"/>
      <c r="L91" s="599">
        <v>0</v>
      </c>
      <c r="M91" s="598"/>
    </row>
    <row r="92" spans="1:13" hidden="1" x14ac:dyDescent="0.25">
      <c r="A92" s="604" t="s">
        <v>23</v>
      </c>
      <c r="B92" s="650">
        <f>Nøgletal!D462</f>
        <v>0</v>
      </c>
      <c r="C92" s="650">
        <f>Nøgletal!F462</f>
        <v>0</v>
      </c>
      <c r="D92" s="650">
        <f>Nøgletal!H462</f>
        <v>0</v>
      </c>
      <c r="E92" s="650">
        <f>Nøgletal!J462</f>
        <v>0</v>
      </c>
      <c r="F92" s="708">
        <f>Nøgletal!L462</f>
        <v>0</v>
      </c>
      <c r="G92" s="650">
        <f>Nøgletal!N462</f>
        <v>0</v>
      </c>
      <c r="H92" s="650">
        <f>Nøgletal!P462</f>
        <v>0</v>
      </c>
      <c r="I92" s="650">
        <f>Nøgletal!R462</f>
        <v>0</v>
      </c>
      <c r="J92" s="599">
        <v>0</v>
      </c>
      <c r="K92" s="598"/>
      <c r="L92" s="599">
        <v>0</v>
      </c>
      <c r="M92" s="598"/>
    </row>
    <row r="93" spans="1:13" hidden="1" x14ac:dyDescent="0.25">
      <c r="A93" s="604" t="s">
        <v>26</v>
      </c>
      <c r="B93" s="650">
        <f>Nøgletal!D463</f>
        <v>0</v>
      </c>
      <c r="C93" s="650">
        <f>Nøgletal!F463</f>
        <v>0</v>
      </c>
      <c r="D93" s="650">
        <f>Nøgletal!H463</f>
        <v>0</v>
      </c>
      <c r="E93" s="650">
        <f>Nøgletal!J463</f>
        <v>0</v>
      </c>
      <c r="F93" s="708">
        <f>Nøgletal!L463</f>
        <v>0</v>
      </c>
      <c r="G93" s="650">
        <f>Nøgletal!N463</f>
        <v>0</v>
      </c>
      <c r="H93" s="650">
        <f>Nøgletal!P463</f>
        <v>0</v>
      </c>
      <c r="I93" s="650">
        <f>Nøgletal!R463</f>
        <v>0</v>
      </c>
      <c r="J93" s="599">
        <v>0</v>
      </c>
      <c r="K93" s="598"/>
      <c r="L93" s="599">
        <v>0</v>
      </c>
      <c r="M93" s="598"/>
    </row>
    <row r="94" spans="1:13" hidden="1" x14ac:dyDescent="0.25">
      <c r="A94" s="629" t="s">
        <v>382</v>
      </c>
      <c r="B94" s="706"/>
      <c r="C94" s="706"/>
      <c r="D94" s="706"/>
      <c r="E94" s="706"/>
      <c r="F94" s="709"/>
      <c r="G94" s="706"/>
      <c r="H94" s="706"/>
      <c r="I94" s="706"/>
      <c r="J94" s="690"/>
      <c r="K94" s="690"/>
      <c r="L94" s="690"/>
      <c r="M94" s="690"/>
    </row>
    <row r="95" spans="1:13" hidden="1" x14ac:dyDescent="0.25">
      <c r="A95" s="604" t="s">
        <v>623</v>
      </c>
      <c r="B95" s="650">
        <f>Nøgletal!E465</f>
        <v>4</v>
      </c>
      <c r="C95" s="650">
        <f>Nøgletal!G465</f>
        <v>4</v>
      </c>
      <c r="D95" s="650">
        <f>Nøgletal!I465</f>
        <v>4</v>
      </c>
      <c r="E95" s="650">
        <f>Nøgletal!K465</f>
        <v>4</v>
      </c>
      <c r="F95" s="708">
        <f>Nøgletal!M465</f>
        <v>4</v>
      </c>
      <c r="G95" s="650">
        <f>Nøgletal!O465</f>
        <v>4</v>
      </c>
      <c r="H95" s="650">
        <f>Nøgletal!Q465</f>
        <v>4</v>
      </c>
      <c r="I95" s="650">
        <f>Nøgletal!S465</f>
        <v>4</v>
      </c>
      <c r="J95" s="598"/>
      <c r="K95" s="700">
        <f>'Tekniske virkning'!S28</f>
        <v>4.5</v>
      </c>
      <c r="L95" s="650"/>
      <c r="M95" s="700">
        <f>'Tekniske virkning'!U28</f>
        <v>4.5</v>
      </c>
    </row>
    <row r="96" spans="1:13" ht="15" hidden="1" customHeight="1" x14ac:dyDescent="0.25">
      <c r="A96" s="629" t="s">
        <v>386</v>
      </c>
      <c r="B96" s="706"/>
      <c r="C96" s="706"/>
      <c r="D96" s="706"/>
      <c r="E96" s="706"/>
      <c r="F96" s="709"/>
      <c r="G96" s="706"/>
      <c r="H96" s="706"/>
      <c r="I96" s="706"/>
      <c r="J96" s="690"/>
      <c r="K96" s="690"/>
      <c r="L96" s="690"/>
      <c r="M96" s="690"/>
    </row>
    <row r="97" spans="1:13" ht="15" hidden="1" customHeight="1" x14ac:dyDescent="0.25">
      <c r="A97" s="604" t="s">
        <v>388</v>
      </c>
      <c r="B97" s="650">
        <f>Nøgletal!D467</f>
        <v>0</v>
      </c>
      <c r="C97" s="650">
        <f>Nøgletal!F467</f>
        <v>0</v>
      </c>
      <c r="D97" s="650">
        <f>Nøgletal!H467</f>
        <v>0</v>
      </c>
      <c r="E97" s="650">
        <f>Nøgletal!J467</f>
        <v>0</v>
      </c>
      <c r="F97" s="708">
        <f>Nøgletal!L467</f>
        <v>0</v>
      </c>
      <c r="G97" s="650">
        <f>Nøgletal!N467</f>
        <v>0</v>
      </c>
      <c r="H97" s="650">
        <f>Nøgletal!P467</f>
        <v>0</v>
      </c>
      <c r="I97" s="650">
        <f>Nøgletal!R467</f>
        <v>0</v>
      </c>
      <c r="J97" s="644">
        <f>IF(J24&gt;0,1-J98-J99,0)</f>
        <v>0</v>
      </c>
      <c r="K97" s="650"/>
      <c r="L97" s="644">
        <f>IF(L24&gt;0,1-L98-L99,0)</f>
        <v>0</v>
      </c>
      <c r="M97" s="598"/>
    </row>
    <row r="98" spans="1:13" ht="15" hidden="1" customHeight="1" x14ac:dyDescent="0.25">
      <c r="A98" s="604" t="s">
        <v>389</v>
      </c>
      <c r="B98" s="650">
        <f>Nøgletal!D468</f>
        <v>0</v>
      </c>
      <c r="C98" s="650">
        <f>Nøgletal!F468</f>
        <v>0</v>
      </c>
      <c r="D98" s="650">
        <f>Nøgletal!H468</f>
        <v>0</v>
      </c>
      <c r="E98" s="650">
        <f>Nøgletal!J468</f>
        <v>0</v>
      </c>
      <c r="F98" s="708">
        <f>Nøgletal!L468</f>
        <v>0</v>
      </c>
      <c r="G98" s="650">
        <f>Nøgletal!N468</f>
        <v>0</v>
      </c>
      <c r="H98" s="650">
        <f>Nøgletal!P468</f>
        <v>0</v>
      </c>
      <c r="I98" s="650">
        <f>Nøgletal!R468</f>
        <v>0</v>
      </c>
      <c r="J98" s="599">
        <v>0</v>
      </c>
      <c r="K98" s="598"/>
      <c r="L98" s="599">
        <v>0</v>
      </c>
      <c r="M98" s="598"/>
    </row>
    <row r="99" spans="1:13" ht="15" hidden="1" customHeight="1" x14ac:dyDescent="0.25">
      <c r="A99" s="604" t="s">
        <v>471</v>
      </c>
      <c r="B99" s="650">
        <f>Nøgletal!D469</f>
        <v>0</v>
      </c>
      <c r="C99" s="650">
        <f>Nøgletal!F469</f>
        <v>0</v>
      </c>
      <c r="D99" s="650">
        <f>Nøgletal!H469</f>
        <v>0</v>
      </c>
      <c r="E99" s="650">
        <f>Nøgletal!J469</f>
        <v>0</v>
      </c>
      <c r="F99" s="708">
        <f>Nøgletal!L469</f>
        <v>0</v>
      </c>
      <c r="G99" s="650">
        <f>Nøgletal!N469</f>
        <v>0</v>
      </c>
      <c r="H99" s="650">
        <f>Nøgletal!P469</f>
        <v>0</v>
      </c>
      <c r="I99" s="650">
        <f>Nøgletal!R469</f>
        <v>0</v>
      </c>
      <c r="J99" s="599">
        <v>0</v>
      </c>
      <c r="K99" s="598"/>
      <c r="L99" s="599">
        <v>0</v>
      </c>
      <c r="M99" s="598"/>
    </row>
    <row r="100" spans="1:13" ht="15" hidden="1" customHeight="1" x14ac:dyDescent="0.25">
      <c r="A100" s="629" t="s">
        <v>391</v>
      </c>
      <c r="B100" s="706"/>
      <c r="C100" s="706"/>
      <c r="D100" s="706"/>
      <c r="E100" s="706"/>
      <c r="F100" s="709"/>
      <c r="G100" s="706"/>
      <c r="H100" s="706"/>
      <c r="I100" s="706"/>
      <c r="J100" s="690"/>
      <c r="K100" s="690"/>
      <c r="L100" s="690"/>
      <c r="M100" s="690"/>
    </row>
    <row r="101" spans="1:13" ht="15" hidden="1" customHeight="1" x14ac:dyDescent="0.25">
      <c r="A101" s="604" t="s">
        <v>388</v>
      </c>
      <c r="B101" s="650">
        <f>Nøgletal!D471</f>
        <v>0</v>
      </c>
      <c r="C101" s="650">
        <f>Nøgletal!F471</f>
        <v>0</v>
      </c>
      <c r="D101" s="650">
        <f>Nøgletal!H471</f>
        <v>0</v>
      </c>
      <c r="E101" s="650">
        <f>Nøgletal!J471</f>
        <v>0</v>
      </c>
      <c r="F101" s="708">
        <f>Nøgletal!L471</f>
        <v>0</v>
      </c>
      <c r="G101" s="650">
        <f>Nøgletal!N471</f>
        <v>0</v>
      </c>
      <c r="H101" s="650">
        <f>Nøgletal!P471</f>
        <v>0</v>
      </c>
      <c r="I101" s="650">
        <f>Nøgletal!R471</f>
        <v>0</v>
      </c>
      <c r="J101" s="644">
        <f>IF(J25&gt;0,1-J102-J103,0)</f>
        <v>0</v>
      </c>
      <c r="K101" s="650"/>
      <c r="L101" s="644">
        <f>IF(L25&gt;0,1-L102-L103,0)</f>
        <v>0</v>
      </c>
      <c r="M101" s="598"/>
    </row>
    <row r="102" spans="1:13" ht="15" hidden="1" customHeight="1" x14ac:dyDescent="0.25">
      <c r="A102" s="604" t="s">
        <v>389</v>
      </c>
      <c r="B102" s="650">
        <f>Nøgletal!D472</f>
        <v>0</v>
      </c>
      <c r="C102" s="650">
        <f>Nøgletal!F472</f>
        <v>0</v>
      </c>
      <c r="D102" s="650">
        <f>Nøgletal!H472</f>
        <v>0</v>
      </c>
      <c r="E102" s="650">
        <f>Nøgletal!J472</f>
        <v>0</v>
      </c>
      <c r="F102" s="708">
        <f>Nøgletal!L472</f>
        <v>0</v>
      </c>
      <c r="G102" s="650">
        <f>Nøgletal!N472</f>
        <v>0</v>
      </c>
      <c r="H102" s="650">
        <f>Nøgletal!P472</f>
        <v>0</v>
      </c>
      <c r="I102" s="650">
        <f>Nøgletal!R472</f>
        <v>0</v>
      </c>
      <c r="J102" s="599">
        <v>0</v>
      </c>
      <c r="K102" s="598"/>
      <c r="L102" s="599">
        <v>0</v>
      </c>
      <c r="M102" s="598"/>
    </row>
    <row r="103" spans="1:13" ht="15" hidden="1" customHeight="1" x14ac:dyDescent="0.25">
      <c r="A103" s="604" t="s">
        <v>471</v>
      </c>
      <c r="B103" s="650">
        <f>Nøgletal!D473</f>
        <v>0</v>
      </c>
      <c r="C103" s="650">
        <f>Nøgletal!F473</f>
        <v>0</v>
      </c>
      <c r="D103" s="650">
        <f>Nøgletal!H473</f>
        <v>0</v>
      </c>
      <c r="E103" s="650">
        <f>Nøgletal!J473</f>
        <v>0</v>
      </c>
      <c r="F103" s="708">
        <f>Nøgletal!L473</f>
        <v>0</v>
      </c>
      <c r="G103" s="650">
        <f>Nøgletal!N473</f>
        <v>0</v>
      </c>
      <c r="H103" s="650">
        <f>Nøgletal!P473</f>
        <v>0</v>
      </c>
      <c r="I103" s="650">
        <f>Nøgletal!R473</f>
        <v>0</v>
      </c>
      <c r="J103" s="599">
        <v>0</v>
      </c>
      <c r="K103" s="598"/>
      <c r="L103" s="599">
        <v>0</v>
      </c>
      <c r="M103" s="598"/>
    </row>
    <row r="104" spans="1:13" ht="15" hidden="1" customHeight="1" x14ac:dyDescent="0.25">
      <c r="A104" s="629" t="s">
        <v>395</v>
      </c>
      <c r="B104" s="706"/>
      <c r="C104" s="706"/>
      <c r="D104" s="706"/>
      <c r="E104" s="706"/>
      <c r="F104" s="709"/>
      <c r="G104" s="706"/>
      <c r="H104" s="706"/>
      <c r="I104" s="706"/>
      <c r="J104" s="690"/>
      <c r="K104" s="690"/>
      <c r="L104" s="690"/>
      <c r="M104" s="690"/>
    </row>
    <row r="105" spans="1:13" ht="15" hidden="1" customHeight="1" x14ac:dyDescent="0.25">
      <c r="A105" s="604" t="s">
        <v>388</v>
      </c>
      <c r="B105" s="650">
        <f>Nøgletal!D475</f>
        <v>0</v>
      </c>
      <c r="C105" s="650">
        <f>Nøgletal!F475</f>
        <v>0</v>
      </c>
      <c r="D105" s="650">
        <f>Nøgletal!H475</f>
        <v>0</v>
      </c>
      <c r="E105" s="650">
        <f>Nøgletal!J475</f>
        <v>0</v>
      </c>
      <c r="F105" s="708">
        <f>Nøgletal!L475</f>
        <v>0</v>
      </c>
      <c r="G105" s="650">
        <f>Nøgletal!N475</f>
        <v>0</v>
      </c>
      <c r="H105" s="650">
        <f>Nøgletal!P475</f>
        <v>0</v>
      </c>
      <c r="I105" s="650">
        <f>Nøgletal!R475</f>
        <v>0</v>
      </c>
      <c r="J105" s="644">
        <f>IF(J26&gt;0,1-J106-J107,0)</f>
        <v>0</v>
      </c>
      <c r="K105" s="650"/>
      <c r="L105" s="644">
        <f>IF(L26&gt;0,1-L106-L107,0)</f>
        <v>0</v>
      </c>
      <c r="M105" s="598"/>
    </row>
    <row r="106" spans="1:13" ht="15" hidden="1" customHeight="1" x14ac:dyDescent="0.25">
      <c r="A106" s="604" t="s">
        <v>389</v>
      </c>
      <c r="B106" s="650">
        <f>Nøgletal!D476</f>
        <v>0</v>
      </c>
      <c r="C106" s="650">
        <f>Nøgletal!F476</f>
        <v>0</v>
      </c>
      <c r="D106" s="650">
        <f>Nøgletal!H476</f>
        <v>0</v>
      </c>
      <c r="E106" s="650">
        <f>Nøgletal!J476</f>
        <v>0</v>
      </c>
      <c r="F106" s="708">
        <f>Nøgletal!L476</f>
        <v>0</v>
      </c>
      <c r="G106" s="650">
        <f>Nøgletal!N476</f>
        <v>0</v>
      </c>
      <c r="H106" s="650">
        <f>Nøgletal!P476</f>
        <v>0</v>
      </c>
      <c r="I106" s="650">
        <f>Nøgletal!R476</f>
        <v>0</v>
      </c>
      <c r="J106" s="599">
        <v>0</v>
      </c>
      <c r="K106" s="598"/>
      <c r="L106" s="599">
        <v>0</v>
      </c>
      <c r="M106" s="598"/>
    </row>
    <row r="107" spans="1:13" ht="15" hidden="1" customHeight="1" x14ac:dyDescent="0.25">
      <c r="A107" s="604" t="s">
        <v>471</v>
      </c>
      <c r="B107" s="650">
        <f>Nøgletal!D477</f>
        <v>0</v>
      </c>
      <c r="C107" s="650">
        <f>Nøgletal!F477</f>
        <v>0</v>
      </c>
      <c r="D107" s="650">
        <f>Nøgletal!H477</f>
        <v>0</v>
      </c>
      <c r="E107" s="650">
        <f>Nøgletal!J477</f>
        <v>0</v>
      </c>
      <c r="F107" s="708">
        <f>Nøgletal!L477</f>
        <v>0</v>
      </c>
      <c r="G107" s="650">
        <f>Nøgletal!N477</f>
        <v>0</v>
      </c>
      <c r="H107" s="650">
        <f>Nøgletal!P477</f>
        <v>0</v>
      </c>
      <c r="I107" s="650">
        <f>Nøgletal!R477</f>
        <v>0</v>
      </c>
      <c r="J107" s="599">
        <v>0</v>
      </c>
      <c r="K107" s="598"/>
      <c r="L107" s="599">
        <v>0</v>
      </c>
      <c r="M107" s="598"/>
    </row>
    <row r="108" spans="1:13" ht="15" hidden="1" customHeight="1" x14ac:dyDescent="0.25">
      <c r="A108" s="629" t="s">
        <v>399</v>
      </c>
      <c r="B108" s="706"/>
      <c r="C108" s="706"/>
      <c r="D108" s="706"/>
      <c r="E108" s="706"/>
      <c r="F108" s="709"/>
      <c r="G108" s="706"/>
      <c r="H108" s="706"/>
      <c r="I108" s="706"/>
      <c r="J108" s="690"/>
      <c r="K108" s="690"/>
      <c r="L108" s="690"/>
      <c r="M108" s="690"/>
    </row>
    <row r="109" spans="1:13" ht="15" hidden="1" customHeight="1" x14ac:dyDescent="0.25">
      <c r="A109" s="604" t="s">
        <v>1</v>
      </c>
      <c r="B109" s="650">
        <f>Nøgletal!D479</f>
        <v>0</v>
      </c>
      <c r="C109" s="650">
        <f>Nøgletal!F479</f>
        <v>0</v>
      </c>
      <c r="D109" s="650">
        <f>Nøgletal!H479</f>
        <v>0</v>
      </c>
      <c r="E109" s="650">
        <f>Nøgletal!J479</f>
        <v>0</v>
      </c>
      <c r="F109" s="708">
        <f>Nøgletal!L479</f>
        <v>0</v>
      </c>
      <c r="G109" s="650">
        <f>Nøgletal!N479</f>
        <v>0</v>
      </c>
      <c r="H109" s="650">
        <f>Nøgletal!P479</f>
        <v>0</v>
      </c>
      <c r="I109" s="650">
        <f>Nøgletal!R479</f>
        <v>0</v>
      </c>
      <c r="J109" s="599">
        <v>0</v>
      </c>
      <c r="K109" s="598"/>
      <c r="L109" s="599">
        <v>0</v>
      </c>
      <c r="M109" s="598"/>
    </row>
    <row r="110" spans="1:13" ht="15" hidden="1" customHeight="1" x14ac:dyDescent="0.25">
      <c r="A110" s="604" t="s">
        <v>7</v>
      </c>
      <c r="B110" s="650">
        <f>Nøgletal!D480</f>
        <v>0</v>
      </c>
      <c r="C110" s="650">
        <f>Nøgletal!F480</f>
        <v>0</v>
      </c>
      <c r="D110" s="650">
        <f>Nøgletal!H480</f>
        <v>0</v>
      </c>
      <c r="E110" s="650">
        <f>Nøgletal!J480</f>
        <v>0</v>
      </c>
      <c r="F110" s="708">
        <f>Nøgletal!L480</f>
        <v>0</v>
      </c>
      <c r="G110" s="650">
        <f>Nøgletal!N480</f>
        <v>0</v>
      </c>
      <c r="H110" s="650">
        <f>Nøgletal!P480</f>
        <v>0</v>
      </c>
      <c r="I110" s="650">
        <f>Nøgletal!R480</f>
        <v>0</v>
      </c>
      <c r="J110" s="599">
        <v>0</v>
      </c>
      <c r="K110" s="598"/>
      <c r="L110" s="599">
        <v>0</v>
      </c>
      <c r="M110" s="598"/>
    </row>
    <row r="111" spans="1:13" ht="15" hidden="1" customHeight="1" x14ac:dyDescent="0.25">
      <c r="A111" s="604" t="s">
        <v>3</v>
      </c>
      <c r="B111" s="650">
        <f>Nøgletal!D481</f>
        <v>0</v>
      </c>
      <c r="C111" s="650">
        <f>Nøgletal!F481</f>
        <v>0</v>
      </c>
      <c r="D111" s="650">
        <f>Nøgletal!H481</f>
        <v>0</v>
      </c>
      <c r="E111" s="650">
        <f>Nøgletal!J481</f>
        <v>0</v>
      </c>
      <c r="F111" s="708">
        <f>Nøgletal!L481</f>
        <v>0</v>
      </c>
      <c r="G111" s="650">
        <f>Nøgletal!N481</f>
        <v>0</v>
      </c>
      <c r="H111" s="650">
        <f>Nøgletal!P481</f>
        <v>0</v>
      </c>
      <c r="I111" s="650">
        <f>Nøgletal!R481</f>
        <v>0</v>
      </c>
      <c r="J111" s="644">
        <f>IF(J29&gt;0,1-J109-J110-J112-J113-J114-J115-J116,0)</f>
        <v>0</v>
      </c>
      <c r="K111" s="650"/>
      <c r="L111" s="644">
        <f>IF(L29&gt;0,1-L109-L110-L112-L113-L114-L115-L116,0)</f>
        <v>0</v>
      </c>
      <c r="M111" s="598"/>
    </row>
    <row r="112" spans="1:13" ht="15" hidden="1" customHeight="1" x14ac:dyDescent="0.25">
      <c r="A112" s="604" t="s">
        <v>373</v>
      </c>
      <c r="B112" s="650">
        <f>Nøgletal!D482</f>
        <v>0</v>
      </c>
      <c r="C112" s="650">
        <f>Nøgletal!F482</f>
        <v>0</v>
      </c>
      <c r="D112" s="650">
        <f>Nøgletal!H482</f>
        <v>0</v>
      </c>
      <c r="E112" s="650">
        <f>Nøgletal!J482</f>
        <v>0</v>
      </c>
      <c r="F112" s="708">
        <f>Nøgletal!L482</f>
        <v>0</v>
      </c>
      <c r="G112" s="650">
        <f>Nøgletal!N482</f>
        <v>0</v>
      </c>
      <c r="H112" s="650">
        <f>Nøgletal!P482</f>
        <v>0</v>
      </c>
      <c r="I112" s="650">
        <f>Nøgletal!R482</f>
        <v>0</v>
      </c>
      <c r="J112" s="599">
        <v>0</v>
      </c>
      <c r="K112" s="598"/>
      <c r="L112" s="599">
        <v>0</v>
      </c>
      <c r="M112" s="598"/>
    </row>
    <row r="113" spans="1:13" ht="15" hidden="1" customHeight="1" x14ac:dyDescent="0.25">
      <c r="A113" s="604" t="s">
        <v>374</v>
      </c>
      <c r="B113" s="650">
        <f>Nøgletal!D483</f>
        <v>0</v>
      </c>
      <c r="C113" s="650">
        <f>Nøgletal!F483</f>
        <v>0</v>
      </c>
      <c r="D113" s="650">
        <f>Nøgletal!H483</f>
        <v>0</v>
      </c>
      <c r="E113" s="650">
        <f>Nøgletal!J483</f>
        <v>0</v>
      </c>
      <c r="F113" s="708">
        <f>Nøgletal!L483</f>
        <v>0</v>
      </c>
      <c r="G113" s="650">
        <f>Nøgletal!N483</f>
        <v>0</v>
      </c>
      <c r="H113" s="650">
        <f>Nøgletal!P483</f>
        <v>0</v>
      </c>
      <c r="I113" s="650">
        <f>Nøgletal!R483</f>
        <v>0</v>
      </c>
      <c r="J113" s="599">
        <v>0</v>
      </c>
      <c r="K113" s="598"/>
      <c r="L113" s="599">
        <v>0</v>
      </c>
      <c r="M113" s="598"/>
    </row>
    <row r="114" spans="1:13" ht="15" hidden="1" customHeight="1" x14ac:dyDescent="0.25">
      <c r="A114" s="604" t="s">
        <v>21</v>
      </c>
      <c r="B114" s="650">
        <f>Nøgletal!D484</f>
        <v>0</v>
      </c>
      <c r="C114" s="650">
        <f>Nøgletal!F484</f>
        <v>0</v>
      </c>
      <c r="D114" s="650">
        <f>Nøgletal!H484</f>
        <v>0</v>
      </c>
      <c r="E114" s="650">
        <f>Nøgletal!J484</f>
        <v>0</v>
      </c>
      <c r="F114" s="708">
        <f>Nøgletal!L484</f>
        <v>0</v>
      </c>
      <c r="G114" s="650">
        <f>Nøgletal!N484</f>
        <v>0</v>
      </c>
      <c r="H114" s="650">
        <f>Nøgletal!P484</f>
        <v>0</v>
      </c>
      <c r="I114" s="650">
        <f>Nøgletal!R484</f>
        <v>0</v>
      </c>
      <c r="J114" s="599">
        <v>0</v>
      </c>
      <c r="K114" s="598"/>
      <c r="L114" s="599">
        <v>0</v>
      </c>
      <c r="M114" s="598"/>
    </row>
    <row r="115" spans="1:13" ht="15" hidden="1" customHeight="1" x14ac:dyDescent="0.25">
      <c r="A115" s="604" t="s">
        <v>375</v>
      </c>
      <c r="B115" s="650">
        <f>Nøgletal!D485</f>
        <v>0</v>
      </c>
      <c r="C115" s="650">
        <f>Nøgletal!F485</f>
        <v>0</v>
      </c>
      <c r="D115" s="650">
        <f>Nøgletal!H485</f>
        <v>0</v>
      </c>
      <c r="E115" s="650">
        <f>Nøgletal!J485</f>
        <v>0</v>
      </c>
      <c r="F115" s="708">
        <f>Nøgletal!L485</f>
        <v>0</v>
      </c>
      <c r="G115" s="650">
        <f>Nøgletal!N485</f>
        <v>0</v>
      </c>
      <c r="H115" s="650">
        <f>Nøgletal!P485</f>
        <v>0</v>
      </c>
      <c r="I115" s="650">
        <f>Nøgletal!R485</f>
        <v>0</v>
      </c>
      <c r="J115" s="599">
        <v>0</v>
      </c>
      <c r="K115" s="598"/>
      <c r="L115" s="599">
        <v>0</v>
      </c>
      <c r="M115" s="598"/>
    </row>
    <row r="116" spans="1:13" ht="15" hidden="1" customHeight="1" x14ac:dyDescent="0.25">
      <c r="A116" s="604" t="s">
        <v>23</v>
      </c>
      <c r="B116" s="650">
        <f>Nøgletal!D486</f>
        <v>0</v>
      </c>
      <c r="C116" s="650">
        <f>Nøgletal!F486</f>
        <v>0</v>
      </c>
      <c r="D116" s="650">
        <f>Nøgletal!H486</f>
        <v>0</v>
      </c>
      <c r="E116" s="650">
        <f>Nøgletal!J486</f>
        <v>0</v>
      </c>
      <c r="F116" s="708">
        <f>Nøgletal!L486</f>
        <v>0</v>
      </c>
      <c r="G116" s="650">
        <f>Nøgletal!N486</f>
        <v>0</v>
      </c>
      <c r="H116" s="650">
        <f>Nøgletal!P486</f>
        <v>0</v>
      </c>
      <c r="I116" s="650">
        <f>Nøgletal!R486</f>
        <v>0</v>
      </c>
      <c r="J116" s="599">
        <v>0</v>
      </c>
      <c r="K116" s="598"/>
      <c r="L116" s="599">
        <v>0</v>
      </c>
      <c r="M116" s="598"/>
    </row>
    <row r="117" spans="1:13" ht="15" hidden="1" customHeight="1" x14ac:dyDescent="0.25">
      <c r="A117" s="629" t="s">
        <v>407</v>
      </c>
      <c r="B117" s="706"/>
      <c r="C117" s="706"/>
      <c r="D117" s="706"/>
      <c r="E117" s="706"/>
      <c r="F117" s="709"/>
      <c r="G117" s="706"/>
      <c r="H117" s="706"/>
      <c r="I117" s="706"/>
      <c r="J117" s="690"/>
      <c r="K117" s="690"/>
      <c r="L117" s="690"/>
      <c r="M117" s="690"/>
    </row>
    <row r="118" spans="1:13" ht="15" hidden="1" customHeight="1" x14ac:dyDescent="0.25">
      <c r="A118" s="604" t="s">
        <v>7</v>
      </c>
      <c r="B118" s="650">
        <f>Nøgletal!D488</f>
        <v>0</v>
      </c>
      <c r="C118" s="650">
        <f>Nøgletal!F488</f>
        <v>0</v>
      </c>
      <c r="D118" s="650">
        <f>Nøgletal!H488</f>
        <v>0</v>
      </c>
      <c r="E118" s="650">
        <f>Nøgletal!J488</f>
        <v>0</v>
      </c>
      <c r="F118" s="708">
        <f>Nøgletal!L488</f>
        <v>0</v>
      </c>
      <c r="G118" s="650">
        <f>Nøgletal!N488</f>
        <v>0</v>
      </c>
      <c r="H118" s="650">
        <f>Nøgletal!P488</f>
        <v>0</v>
      </c>
      <c r="I118" s="650">
        <f>Nøgletal!R488</f>
        <v>0</v>
      </c>
      <c r="J118" s="599">
        <v>0</v>
      </c>
      <c r="K118" s="598"/>
      <c r="L118" s="599">
        <v>0</v>
      </c>
      <c r="M118" s="598"/>
    </row>
    <row r="119" spans="1:13" ht="15" hidden="1" customHeight="1" x14ac:dyDescent="0.25">
      <c r="A119" s="604" t="s">
        <v>8</v>
      </c>
      <c r="B119" s="650">
        <f>Nøgletal!D489</f>
        <v>0</v>
      </c>
      <c r="C119" s="650">
        <f>Nøgletal!F489</f>
        <v>0</v>
      </c>
      <c r="D119" s="650">
        <f>Nøgletal!H489</f>
        <v>0</v>
      </c>
      <c r="E119" s="650">
        <f>Nøgletal!J489</f>
        <v>0</v>
      </c>
      <c r="F119" s="708">
        <f>Nøgletal!L489</f>
        <v>0</v>
      </c>
      <c r="G119" s="650">
        <f>Nøgletal!N489</f>
        <v>0</v>
      </c>
      <c r="H119" s="650">
        <f>Nøgletal!P489</f>
        <v>0</v>
      </c>
      <c r="I119" s="650">
        <f>Nøgletal!R489</f>
        <v>0</v>
      </c>
      <c r="J119" s="599">
        <v>0</v>
      </c>
      <c r="K119" s="598"/>
      <c r="L119" s="599">
        <v>0</v>
      </c>
      <c r="M119" s="598"/>
    </row>
    <row r="120" spans="1:13" ht="15" hidden="1" customHeight="1" x14ac:dyDescent="0.25">
      <c r="A120" s="604" t="s">
        <v>9</v>
      </c>
      <c r="B120" s="650">
        <f>Nøgletal!D490</f>
        <v>0</v>
      </c>
      <c r="C120" s="650">
        <f>Nøgletal!F490</f>
        <v>0</v>
      </c>
      <c r="D120" s="650">
        <f>Nøgletal!H490</f>
        <v>0</v>
      </c>
      <c r="E120" s="650">
        <f>Nøgletal!J490</f>
        <v>0</v>
      </c>
      <c r="F120" s="708">
        <f>Nøgletal!L490</f>
        <v>0</v>
      </c>
      <c r="G120" s="650">
        <f>Nøgletal!N490</f>
        <v>0</v>
      </c>
      <c r="H120" s="650">
        <f>Nøgletal!P490</f>
        <v>0</v>
      </c>
      <c r="I120" s="650">
        <f>Nøgletal!R490</f>
        <v>0</v>
      </c>
      <c r="J120" s="599">
        <v>0</v>
      </c>
      <c r="K120" s="598"/>
      <c r="L120" s="599">
        <v>0</v>
      </c>
      <c r="M120" s="598"/>
    </row>
    <row r="121" spans="1:13" ht="15" hidden="1" customHeight="1" x14ac:dyDescent="0.25">
      <c r="A121" s="604" t="s">
        <v>11</v>
      </c>
      <c r="B121" s="650">
        <f>Nøgletal!D491</f>
        <v>0</v>
      </c>
      <c r="C121" s="650">
        <f>Nøgletal!F491</f>
        <v>0</v>
      </c>
      <c r="D121" s="650">
        <f>Nøgletal!H491</f>
        <v>0</v>
      </c>
      <c r="E121" s="650">
        <f>Nøgletal!J491</f>
        <v>0</v>
      </c>
      <c r="F121" s="708">
        <f>Nøgletal!L491</f>
        <v>0</v>
      </c>
      <c r="G121" s="650">
        <f>Nøgletal!N491</f>
        <v>0</v>
      </c>
      <c r="H121" s="650">
        <f>Nøgletal!P491</f>
        <v>0</v>
      </c>
      <c r="I121" s="650">
        <f>Nøgletal!R491</f>
        <v>0</v>
      </c>
      <c r="J121" s="599">
        <v>0</v>
      </c>
      <c r="K121" s="598"/>
      <c r="L121" s="599">
        <v>0</v>
      </c>
      <c r="M121" s="598"/>
    </row>
    <row r="122" spans="1:13" ht="15" hidden="1" customHeight="1" x14ac:dyDescent="0.25">
      <c r="A122" s="604" t="s">
        <v>3</v>
      </c>
      <c r="B122" s="650">
        <f>Nøgletal!D492</f>
        <v>0</v>
      </c>
      <c r="C122" s="650">
        <f>Nøgletal!F492</f>
        <v>0</v>
      </c>
      <c r="D122" s="650">
        <f>Nøgletal!H492</f>
        <v>0</v>
      </c>
      <c r="E122" s="650">
        <f>Nøgletal!J492</f>
        <v>0</v>
      </c>
      <c r="F122" s="708">
        <f>Nøgletal!L492</f>
        <v>0</v>
      </c>
      <c r="G122" s="650">
        <f>Nøgletal!N492</f>
        <v>0</v>
      </c>
      <c r="H122" s="650">
        <f>Nøgletal!P492</f>
        <v>0</v>
      </c>
      <c r="I122" s="650">
        <f>Nøgletal!R492</f>
        <v>0</v>
      </c>
      <c r="J122" s="644">
        <f>IF(J30&gt;0,1-J118-J119-J120-J121-J123-J124-J125-J126-J127-J128,0)</f>
        <v>0</v>
      </c>
      <c r="K122" s="650"/>
      <c r="L122" s="644">
        <f>IF(L30&gt;0,1-L118-L119-L120-L121-L123-L124-L125-L126-L127-L128,0)</f>
        <v>0</v>
      </c>
      <c r="M122" s="598"/>
    </row>
    <row r="123" spans="1:13" ht="15" hidden="1" customHeight="1" x14ac:dyDescent="0.25">
      <c r="A123" s="604" t="s">
        <v>373</v>
      </c>
      <c r="B123" s="650">
        <f>Nøgletal!D493</f>
        <v>0</v>
      </c>
      <c r="C123" s="650">
        <f>Nøgletal!F493</f>
        <v>0</v>
      </c>
      <c r="D123" s="650">
        <f>Nøgletal!H493</f>
        <v>0</v>
      </c>
      <c r="E123" s="650">
        <f>Nøgletal!J493</f>
        <v>0</v>
      </c>
      <c r="F123" s="708">
        <f>Nøgletal!L493</f>
        <v>0</v>
      </c>
      <c r="G123" s="650">
        <f>Nøgletal!N493</f>
        <v>0</v>
      </c>
      <c r="H123" s="650">
        <f>Nøgletal!P493</f>
        <v>0</v>
      </c>
      <c r="I123" s="650">
        <f>Nøgletal!R493</f>
        <v>0</v>
      </c>
      <c r="J123" s="599">
        <v>0</v>
      </c>
      <c r="K123" s="598"/>
      <c r="L123" s="599">
        <v>0</v>
      </c>
      <c r="M123" s="598"/>
    </row>
    <row r="124" spans="1:13" ht="15" hidden="1" customHeight="1" x14ac:dyDescent="0.25">
      <c r="A124" s="604" t="s">
        <v>374</v>
      </c>
      <c r="B124" s="650">
        <f>Nøgletal!D494</f>
        <v>0</v>
      </c>
      <c r="C124" s="650">
        <f>Nøgletal!F494</f>
        <v>0</v>
      </c>
      <c r="D124" s="650">
        <f>Nøgletal!H494</f>
        <v>0</v>
      </c>
      <c r="E124" s="650">
        <f>Nøgletal!J494</f>
        <v>0</v>
      </c>
      <c r="F124" s="708">
        <f>Nøgletal!L494</f>
        <v>0</v>
      </c>
      <c r="G124" s="650">
        <f>Nøgletal!N494</f>
        <v>0</v>
      </c>
      <c r="H124" s="650">
        <f>Nøgletal!P494</f>
        <v>0</v>
      </c>
      <c r="I124" s="650">
        <f>Nøgletal!R494</f>
        <v>0</v>
      </c>
      <c r="J124" s="599">
        <v>0</v>
      </c>
      <c r="K124" s="598"/>
      <c r="L124" s="599">
        <v>0</v>
      </c>
      <c r="M124" s="598"/>
    </row>
    <row r="125" spans="1:13" ht="15" hidden="1" customHeight="1" x14ac:dyDescent="0.25">
      <c r="A125" s="604" t="s">
        <v>21</v>
      </c>
      <c r="B125" s="650">
        <f>Nøgletal!D495</f>
        <v>0</v>
      </c>
      <c r="C125" s="650">
        <f>Nøgletal!F495</f>
        <v>0</v>
      </c>
      <c r="D125" s="650">
        <f>Nøgletal!H495</f>
        <v>0</v>
      </c>
      <c r="E125" s="650">
        <f>Nøgletal!J495</f>
        <v>0</v>
      </c>
      <c r="F125" s="708">
        <f>Nøgletal!L495</f>
        <v>0</v>
      </c>
      <c r="G125" s="650">
        <f>Nøgletal!N495</f>
        <v>0</v>
      </c>
      <c r="H125" s="650">
        <f>Nøgletal!P495</f>
        <v>0</v>
      </c>
      <c r="I125" s="650">
        <f>Nøgletal!R495</f>
        <v>0</v>
      </c>
      <c r="J125" s="599">
        <v>0</v>
      </c>
      <c r="K125" s="598"/>
      <c r="L125" s="599">
        <v>0</v>
      </c>
      <c r="M125" s="598"/>
    </row>
    <row r="126" spans="1:13" ht="15" hidden="1" customHeight="1" x14ac:dyDescent="0.25">
      <c r="A126" s="604" t="s">
        <v>375</v>
      </c>
      <c r="B126" s="650">
        <f>Nøgletal!D496</f>
        <v>0</v>
      </c>
      <c r="C126" s="650">
        <f>Nøgletal!F496</f>
        <v>0</v>
      </c>
      <c r="D126" s="650">
        <f>Nøgletal!H496</f>
        <v>0</v>
      </c>
      <c r="E126" s="650">
        <f>Nøgletal!J496</f>
        <v>0</v>
      </c>
      <c r="F126" s="708">
        <f>Nøgletal!L496</f>
        <v>0</v>
      </c>
      <c r="G126" s="650">
        <f>Nøgletal!N496</f>
        <v>0</v>
      </c>
      <c r="H126" s="650">
        <f>Nøgletal!P496</f>
        <v>0</v>
      </c>
      <c r="I126" s="650">
        <f>Nøgletal!R496</f>
        <v>0</v>
      </c>
      <c r="J126" s="599">
        <v>0</v>
      </c>
      <c r="K126" s="598"/>
      <c r="L126" s="599">
        <v>0</v>
      </c>
      <c r="M126" s="598"/>
    </row>
    <row r="127" spans="1:13" ht="15" hidden="1" customHeight="1" x14ac:dyDescent="0.25">
      <c r="A127" s="604" t="s">
        <v>23</v>
      </c>
      <c r="B127" s="650">
        <f>Nøgletal!D497</f>
        <v>0</v>
      </c>
      <c r="C127" s="650">
        <f>Nøgletal!F497</f>
        <v>0</v>
      </c>
      <c r="D127" s="650">
        <f>Nøgletal!H497</f>
        <v>0</v>
      </c>
      <c r="E127" s="650">
        <f>Nøgletal!J497</f>
        <v>0</v>
      </c>
      <c r="F127" s="708">
        <f>Nøgletal!L497</f>
        <v>0</v>
      </c>
      <c r="G127" s="650">
        <f>Nøgletal!N497</f>
        <v>0</v>
      </c>
      <c r="H127" s="650">
        <f>Nøgletal!P497</f>
        <v>0</v>
      </c>
      <c r="I127" s="650">
        <f>Nøgletal!R497</f>
        <v>0</v>
      </c>
      <c r="J127" s="599">
        <v>0</v>
      </c>
      <c r="K127" s="598"/>
      <c r="L127" s="599">
        <v>0</v>
      </c>
      <c r="M127" s="598"/>
    </row>
    <row r="128" spans="1:13" ht="15" hidden="1" customHeight="1" x14ac:dyDescent="0.25">
      <c r="A128" s="604" t="s">
        <v>26</v>
      </c>
      <c r="B128" s="650">
        <f>Nøgletal!D498</f>
        <v>0</v>
      </c>
      <c r="C128" s="650">
        <f>Nøgletal!F498</f>
        <v>0</v>
      </c>
      <c r="D128" s="650">
        <f>Nøgletal!H498</f>
        <v>0</v>
      </c>
      <c r="E128" s="650">
        <f>Nøgletal!J498</f>
        <v>0</v>
      </c>
      <c r="F128" s="708">
        <f>Nøgletal!L498</f>
        <v>0</v>
      </c>
      <c r="G128" s="650">
        <f>Nøgletal!N498</f>
        <v>0</v>
      </c>
      <c r="H128" s="650">
        <f>Nøgletal!P498</f>
        <v>0</v>
      </c>
      <c r="I128" s="650">
        <f>Nøgletal!R498</f>
        <v>0</v>
      </c>
      <c r="J128" s="599">
        <v>0</v>
      </c>
      <c r="K128" s="598"/>
      <c r="L128" s="599">
        <v>0</v>
      </c>
      <c r="M128" s="598"/>
    </row>
    <row r="129" spans="1:13" ht="15" hidden="1" customHeight="1" x14ac:dyDescent="0.25">
      <c r="A129" s="629" t="s">
        <v>408</v>
      </c>
      <c r="B129" s="706"/>
      <c r="C129" s="706"/>
      <c r="D129" s="706"/>
      <c r="E129" s="706"/>
      <c r="F129" s="709"/>
      <c r="G129" s="706"/>
      <c r="H129" s="706"/>
      <c r="I129" s="706"/>
      <c r="J129" s="690"/>
      <c r="K129" s="690"/>
      <c r="L129" s="690"/>
      <c r="M129" s="690"/>
    </row>
    <row r="130" spans="1:13" ht="15" hidden="1" customHeight="1" x14ac:dyDescent="0.25">
      <c r="A130" s="604" t="s">
        <v>3</v>
      </c>
      <c r="B130" s="650">
        <f>Nøgletal!D500</f>
        <v>0</v>
      </c>
      <c r="C130" s="650">
        <f>Nøgletal!F500</f>
        <v>0</v>
      </c>
      <c r="D130" s="650">
        <f>Nøgletal!H500</f>
        <v>0</v>
      </c>
      <c r="E130" s="650">
        <f>Nøgletal!J500</f>
        <v>0</v>
      </c>
      <c r="F130" s="708">
        <f>Nøgletal!L500</f>
        <v>0</v>
      </c>
      <c r="G130" s="650">
        <f>Nøgletal!N500</f>
        <v>0</v>
      </c>
      <c r="H130" s="650">
        <f>Nøgletal!P500</f>
        <v>0</v>
      </c>
      <c r="I130" s="650">
        <f>Nøgletal!R500</f>
        <v>0</v>
      </c>
      <c r="J130" s="644">
        <f>IF(J31&gt;0,1-J131-J132,0)</f>
        <v>0</v>
      </c>
      <c r="K130" s="650"/>
      <c r="L130" s="644">
        <f>IF(L31&gt;0,1-L131-L132,0)</f>
        <v>0</v>
      </c>
      <c r="M130" s="598"/>
    </row>
    <row r="131" spans="1:13" ht="15" hidden="1" customHeight="1" x14ac:dyDescent="0.25">
      <c r="A131" s="604" t="s">
        <v>373</v>
      </c>
      <c r="B131" s="650">
        <f>Nøgletal!D501</f>
        <v>0</v>
      </c>
      <c r="C131" s="650">
        <f>Nøgletal!F501</f>
        <v>0</v>
      </c>
      <c r="D131" s="650">
        <f>Nøgletal!H501</f>
        <v>0</v>
      </c>
      <c r="E131" s="650">
        <f>Nøgletal!J501</f>
        <v>0</v>
      </c>
      <c r="F131" s="708">
        <f>Nøgletal!L501</f>
        <v>0</v>
      </c>
      <c r="G131" s="650">
        <f>Nøgletal!N501</f>
        <v>0</v>
      </c>
      <c r="H131" s="650">
        <f>Nøgletal!P501</f>
        <v>0</v>
      </c>
      <c r="I131" s="650">
        <f>Nøgletal!R501</f>
        <v>0</v>
      </c>
      <c r="J131" s="599">
        <v>0</v>
      </c>
      <c r="K131" s="598"/>
      <c r="L131" s="599">
        <v>0</v>
      </c>
      <c r="M131" s="598"/>
    </row>
    <row r="132" spans="1:13" ht="15" hidden="1" customHeight="1" x14ac:dyDescent="0.25">
      <c r="A132" s="604" t="s">
        <v>26</v>
      </c>
      <c r="B132" s="650">
        <f>Nøgletal!D502</f>
        <v>0</v>
      </c>
      <c r="C132" s="650">
        <f>Nøgletal!F502</f>
        <v>0</v>
      </c>
      <c r="D132" s="650">
        <f>Nøgletal!H502</f>
        <v>0</v>
      </c>
      <c r="E132" s="650">
        <f>Nøgletal!J502</f>
        <v>0</v>
      </c>
      <c r="F132" s="708">
        <f>Nøgletal!L502</f>
        <v>0</v>
      </c>
      <c r="G132" s="650">
        <f>Nøgletal!N502</f>
        <v>0</v>
      </c>
      <c r="H132" s="650">
        <f>Nøgletal!P502</f>
        <v>0</v>
      </c>
      <c r="I132" s="650">
        <f>Nøgletal!R502</f>
        <v>0</v>
      </c>
      <c r="J132" s="599">
        <v>0</v>
      </c>
      <c r="K132" s="598"/>
      <c r="L132" s="599">
        <v>0</v>
      </c>
      <c r="M132" s="598"/>
    </row>
    <row r="133" spans="1:13" ht="15" hidden="1" customHeight="1" x14ac:dyDescent="0.25">
      <c r="A133" s="629" t="s">
        <v>409</v>
      </c>
      <c r="B133" s="706"/>
      <c r="C133" s="706"/>
      <c r="D133" s="706"/>
      <c r="E133" s="706"/>
      <c r="F133" s="709"/>
      <c r="G133" s="706"/>
      <c r="H133" s="706"/>
      <c r="I133" s="706"/>
      <c r="J133" s="690"/>
      <c r="K133" s="690"/>
      <c r="L133" s="690"/>
      <c r="M133" s="690"/>
    </row>
    <row r="134" spans="1:13" ht="15" hidden="1" customHeight="1" x14ac:dyDescent="0.25">
      <c r="A134" s="604" t="s">
        <v>1</v>
      </c>
      <c r="B134" s="650">
        <f>Nøgletal!D504</f>
        <v>0</v>
      </c>
      <c r="C134" s="650">
        <f>Nøgletal!F504</f>
        <v>0</v>
      </c>
      <c r="D134" s="650">
        <f>Nøgletal!H504</f>
        <v>0</v>
      </c>
      <c r="E134" s="650">
        <f>Nøgletal!J504</f>
        <v>0</v>
      </c>
      <c r="F134" s="708">
        <f>Nøgletal!L504</f>
        <v>0</v>
      </c>
      <c r="G134" s="650">
        <f>Nøgletal!N504</f>
        <v>0</v>
      </c>
      <c r="H134" s="650">
        <f>Nøgletal!P504</f>
        <v>0</v>
      </c>
      <c r="I134" s="650">
        <f>Nøgletal!R504</f>
        <v>0</v>
      </c>
      <c r="J134" s="599">
        <v>0</v>
      </c>
      <c r="K134" s="598"/>
      <c r="L134" s="599">
        <v>0</v>
      </c>
      <c r="M134" s="598"/>
    </row>
    <row r="135" spans="1:13" ht="15" hidden="1" customHeight="1" x14ac:dyDescent="0.25">
      <c r="A135" s="604" t="s">
        <v>7</v>
      </c>
      <c r="B135" s="650">
        <f>Nøgletal!D505</f>
        <v>0</v>
      </c>
      <c r="C135" s="650">
        <f>Nøgletal!F505</f>
        <v>0</v>
      </c>
      <c r="D135" s="650">
        <f>Nøgletal!H505</f>
        <v>0</v>
      </c>
      <c r="E135" s="650">
        <f>Nøgletal!J505</f>
        <v>0</v>
      </c>
      <c r="F135" s="708">
        <f>Nøgletal!L505</f>
        <v>0</v>
      </c>
      <c r="G135" s="650">
        <f>Nøgletal!N505</f>
        <v>0</v>
      </c>
      <c r="H135" s="650">
        <f>Nøgletal!P505</f>
        <v>0</v>
      </c>
      <c r="I135" s="650">
        <f>Nøgletal!R505</f>
        <v>0</v>
      </c>
      <c r="J135" s="599">
        <v>0</v>
      </c>
      <c r="K135" s="598"/>
      <c r="L135" s="599">
        <v>0</v>
      </c>
      <c r="M135" s="598"/>
    </row>
    <row r="136" spans="1:13" ht="15" hidden="1" customHeight="1" x14ac:dyDescent="0.25">
      <c r="A136" s="604" t="s">
        <v>3</v>
      </c>
      <c r="B136" s="650">
        <f>Nøgletal!D506</f>
        <v>0</v>
      </c>
      <c r="C136" s="650">
        <f>Nøgletal!F506</f>
        <v>0</v>
      </c>
      <c r="D136" s="650">
        <f>Nøgletal!H506</f>
        <v>0</v>
      </c>
      <c r="E136" s="650">
        <f>Nøgletal!J506</f>
        <v>0</v>
      </c>
      <c r="F136" s="708">
        <f>Nøgletal!L506</f>
        <v>0</v>
      </c>
      <c r="G136" s="650">
        <f>Nøgletal!N506</f>
        <v>0</v>
      </c>
      <c r="H136" s="650">
        <f>Nøgletal!P506</f>
        <v>0</v>
      </c>
      <c r="I136" s="650">
        <f>Nøgletal!R506</f>
        <v>0</v>
      </c>
      <c r="J136" s="599">
        <v>0</v>
      </c>
      <c r="K136" s="598"/>
      <c r="L136" s="599">
        <v>0</v>
      </c>
      <c r="M136" s="598"/>
    </row>
    <row r="137" spans="1:13" ht="15" hidden="1" customHeight="1" x14ac:dyDescent="0.25">
      <c r="A137" s="604" t="s">
        <v>373</v>
      </c>
      <c r="B137" s="650">
        <f>Nøgletal!D507</f>
        <v>0</v>
      </c>
      <c r="C137" s="650">
        <f>Nøgletal!F507</f>
        <v>0</v>
      </c>
      <c r="D137" s="650">
        <f>Nøgletal!H507</f>
        <v>0</v>
      </c>
      <c r="E137" s="650">
        <f>Nøgletal!J507</f>
        <v>0</v>
      </c>
      <c r="F137" s="708">
        <f>Nøgletal!L507</f>
        <v>0</v>
      </c>
      <c r="G137" s="650">
        <f>Nøgletal!N507</f>
        <v>0</v>
      </c>
      <c r="H137" s="650">
        <f>Nøgletal!P507</f>
        <v>0</v>
      </c>
      <c r="I137" s="650">
        <f>Nøgletal!R507</f>
        <v>0</v>
      </c>
      <c r="J137" s="599">
        <v>0</v>
      </c>
      <c r="K137" s="598"/>
      <c r="L137" s="599">
        <v>0</v>
      </c>
      <c r="M137" s="598"/>
    </row>
    <row r="138" spans="1:13" ht="15" hidden="1" customHeight="1" x14ac:dyDescent="0.25">
      <c r="A138" s="604" t="s">
        <v>374</v>
      </c>
      <c r="B138" s="650">
        <f>Nøgletal!D508</f>
        <v>0</v>
      </c>
      <c r="C138" s="650">
        <f>Nøgletal!F508</f>
        <v>0</v>
      </c>
      <c r="D138" s="650">
        <f>Nøgletal!H508</f>
        <v>0</v>
      </c>
      <c r="E138" s="650">
        <f>Nøgletal!J508</f>
        <v>0</v>
      </c>
      <c r="F138" s="708">
        <f>Nøgletal!L508</f>
        <v>0</v>
      </c>
      <c r="G138" s="650">
        <f>Nøgletal!N508</f>
        <v>0</v>
      </c>
      <c r="H138" s="650">
        <f>Nøgletal!P508</f>
        <v>0</v>
      </c>
      <c r="I138" s="650">
        <f>Nøgletal!R508</f>
        <v>0</v>
      </c>
      <c r="J138" s="599">
        <v>0</v>
      </c>
      <c r="K138" s="598"/>
      <c r="L138" s="599">
        <v>0</v>
      </c>
      <c r="M138" s="598"/>
    </row>
    <row r="139" spans="1:13" ht="15" hidden="1" customHeight="1" x14ac:dyDescent="0.25">
      <c r="A139" s="604" t="s">
        <v>21</v>
      </c>
      <c r="B139" s="650">
        <f>Nøgletal!D509</f>
        <v>0</v>
      </c>
      <c r="C139" s="650">
        <f>Nøgletal!F509</f>
        <v>0</v>
      </c>
      <c r="D139" s="650">
        <f>Nøgletal!H509</f>
        <v>0</v>
      </c>
      <c r="E139" s="650">
        <f>Nøgletal!J509</f>
        <v>0</v>
      </c>
      <c r="F139" s="708">
        <f>Nøgletal!L509</f>
        <v>0</v>
      </c>
      <c r="G139" s="650">
        <f>Nøgletal!N509</f>
        <v>0</v>
      </c>
      <c r="H139" s="650">
        <f>Nøgletal!P509</f>
        <v>0</v>
      </c>
      <c r="I139" s="650">
        <f>Nøgletal!R509</f>
        <v>0</v>
      </c>
      <c r="J139" s="644">
        <f>IF(J32&gt;0,1-J134-J135-J136-J137-J138-J140-J141-J142,0)</f>
        <v>0</v>
      </c>
      <c r="K139" s="650"/>
      <c r="L139" s="644">
        <f>IF(L32&gt;0,1-L134-L135-L136-L137-L138-L140-L141-L142,0)</f>
        <v>0</v>
      </c>
      <c r="M139" s="598"/>
    </row>
    <row r="140" spans="1:13" ht="15" hidden="1" customHeight="1" x14ac:dyDescent="0.25">
      <c r="A140" s="604" t="s">
        <v>375</v>
      </c>
      <c r="B140" s="650">
        <f>Nøgletal!D510</f>
        <v>0</v>
      </c>
      <c r="C140" s="650">
        <f>Nøgletal!F510</f>
        <v>0</v>
      </c>
      <c r="D140" s="650">
        <f>Nøgletal!H510</f>
        <v>0</v>
      </c>
      <c r="E140" s="650">
        <f>Nøgletal!J510</f>
        <v>0</v>
      </c>
      <c r="F140" s="708">
        <f>Nøgletal!L510</f>
        <v>0</v>
      </c>
      <c r="G140" s="650">
        <f>Nøgletal!N510</f>
        <v>0</v>
      </c>
      <c r="H140" s="650">
        <f>Nøgletal!P510</f>
        <v>0</v>
      </c>
      <c r="I140" s="650">
        <f>Nøgletal!R510</f>
        <v>0</v>
      </c>
      <c r="J140" s="599">
        <v>0</v>
      </c>
      <c r="K140" s="598"/>
      <c r="L140" s="599">
        <v>0</v>
      </c>
      <c r="M140" s="598"/>
    </row>
    <row r="141" spans="1:13" ht="15" hidden="1" customHeight="1" x14ac:dyDescent="0.25">
      <c r="A141" s="604" t="s">
        <v>23</v>
      </c>
      <c r="B141" s="650">
        <f>Nøgletal!D511</f>
        <v>0</v>
      </c>
      <c r="C141" s="650">
        <f>Nøgletal!F511</f>
        <v>0</v>
      </c>
      <c r="D141" s="650">
        <f>Nøgletal!H511</f>
        <v>0</v>
      </c>
      <c r="E141" s="650">
        <f>Nøgletal!J511</f>
        <v>0</v>
      </c>
      <c r="F141" s="708">
        <f>Nøgletal!L511</f>
        <v>0</v>
      </c>
      <c r="G141" s="650">
        <f>Nøgletal!N511</f>
        <v>0</v>
      </c>
      <c r="H141" s="650">
        <f>Nøgletal!P511</f>
        <v>0</v>
      </c>
      <c r="I141" s="650">
        <f>Nøgletal!R511</f>
        <v>0</v>
      </c>
      <c r="J141" s="599">
        <v>0</v>
      </c>
      <c r="K141" s="598"/>
      <c r="L141" s="599">
        <v>0</v>
      </c>
      <c r="M141" s="598"/>
    </row>
    <row r="142" spans="1:13" ht="15" hidden="1" customHeight="1" x14ac:dyDescent="0.25">
      <c r="A142" s="604" t="s">
        <v>26</v>
      </c>
      <c r="B142" s="650">
        <f>Nøgletal!D512</f>
        <v>0</v>
      </c>
      <c r="C142" s="650">
        <f>Nøgletal!F512</f>
        <v>0</v>
      </c>
      <c r="D142" s="650">
        <f>Nøgletal!H512</f>
        <v>0</v>
      </c>
      <c r="E142" s="650">
        <f>Nøgletal!J512</f>
        <v>0</v>
      </c>
      <c r="F142" s="708">
        <f>Nøgletal!L512</f>
        <v>0</v>
      </c>
      <c r="G142" s="650">
        <f>Nøgletal!N512</f>
        <v>0</v>
      </c>
      <c r="H142" s="650">
        <f>Nøgletal!P512</f>
        <v>0</v>
      </c>
      <c r="I142" s="650">
        <f>Nøgletal!R512</f>
        <v>0</v>
      </c>
      <c r="J142" s="599">
        <v>0</v>
      </c>
      <c r="K142" s="598"/>
      <c r="L142" s="599">
        <v>0</v>
      </c>
      <c r="M142" s="598"/>
    </row>
    <row r="143" spans="1:13" ht="15" hidden="1" customHeight="1" x14ac:dyDescent="0.25">
      <c r="A143" s="629" t="s">
        <v>410</v>
      </c>
      <c r="B143" s="706"/>
      <c r="C143" s="706"/>
      <c r="D143" s="706"/>
      <c r="E143" s="706"/>
      <c r="F143" s="709"/>
      <c r="G143" s="706"/>
      <c r="H143" s="706"/>
      <c r="I143" s="706"/>
      <c r="J143" s="690"/>
      <c r="K143" s="690"/>
      <c r="L143" s="690"/>
      <c r="M143" s="690"/>
    </row>
    <row r="144" spans="1:13" ht="15" hidden="1" customHeight="1" x14ac:dyDescent="0.25">
      <c r="A144" s="710" t="s">
        <v>623</v>
      </c>
      <c r="B144" s="650">
        <f>Nøgletal!E514</f>
        <v>4</v>
      </c>
      <c r="C144" s="650">
        <f>Nøgletal!G514</f>
        <v>4</v>
      </c>
      <c r="D144" s="650">
        <f>Nøgletal!I514</f>
        <v>4</v>
      </c>
      <c r="E144" s="650">
        <f>Nøgletal!K514</f>
        <v>4</v>
      </c>
      <c r="F144" s="708">
        <f>Nøgletal!M514</f>
        <v>4</v>
      </c>
      <c r="G144" s="650">
        <f>Nøgletal!O514</f>
        <v>4</v>
      </c>
      <c r="H144" s="650">
        <f>Nøgletal!Q514</f>
        <v>4</v>
      </c>
      <c r="I144" s="650">
        <f>Nøgletal!S514</f>
        <v>4</v>
      </c>
      <c r="J144" s="598"/>
      <c r="K144" s="700">
        <f>'Tekniske virkning'!S28</f>
        <v>4.5</v>
      </c>
      <c r="L144" s="650"/>
      <c r="M144" s="700">
        <f>'Tekniske virkning'!U28</f>
        <v>4.5</v>
      </c>
    </row>
    <row r="145" spans="1:13" ht="15" hidden="1" customHeight="1" x14ac:dyDescent="0.25">
      <c r="A145" s="629" t="s">
        <v>411</v>
      </c>
      <c r="B145" s="706"/>
      <c r="C145" s="706"/>
      <c r="D145" s="706"/>
      <c r="E145" s="706"/>
      <c r="F145" s="709"/>
      <c r="G145" s="706"/>
      <c r="H145" s="706"/>
      <c r="I145" s="706"/>
      <c r="J145" s="690"/>
      <c r="K145" s="690"/>
      <c r="L145" s="690"/>
      <c r="M145" s="690"/>
    </row>
    <row r="146" spans="1:13" ht="15" hidden="1" customHeight="1" x14ac:dyDescent="0.25">
      <c r="A146" s="629" t="s">
        <v>412</v>
      </c>
      <c r="B146" s="706"/>
      <c r="C146" s="706"/>
      <c r="D146" s="706"/>
      <c r="E146" s="706"/>
      <c r="F146" s="709"/>
      <c r="G146" s="706"/>
      <c r="H146" s="706"/>
      <c r="I146" s="706"/>
      <c r="J146" s="690"/>
      <c r="K146" s="690"/>
      <c r="L146" s="690"/>
      <c r="M146" s="690"/>
    </row>
    <row r="147" spans="1:13" ht="15" hidden="1" customHeight="1" x14ac:dyDescent="0.25">
      <c r="A147" s="629" t="s">
        <v>414</v>
      </c>
      <c r="B147" s="706"/>
      <c r="C147" s="706"/>
      <c r="D147" s="706"/>
      <c r="E147" s="706"/>
      <c r="F147" s="709"/>
      <c r="G147" s="706"/>
      <c r="H147" s="706"/>
      <c r="I147" s="706"/>
      <c r="J147" s="690"/>
      <c r="K147" s="690"/>
      <c r="L147" s="690"/>
      <c r="M147" s="690"/>
    </row>
    <row r="148" spans="1:13" ht="15" hidden="1" customHeight="1" x14ac:dyDescent="0.25">
      <c r="A148" s="604" t="s">
        <v>1</v>
      </c>
      <c r="B148" s="650">
        <f>Nøgletal!D518</f>
        <v>0</v>
      </c>
      <c r="C148" s="650">
        <f>Nøgletal!F518</f>
        <v>0</v>
      </c>
      <c r="D148" s="650">
        <f>Nøgletal!H518</f>
        <v>0</v>
      </c>
      <c r="E148" s="650">
        <f>Nøgletal!J518</f>
        <v>0</v>
      </c>
      <c r="F148" s="708">
        <f>Nøgletal!L518</f>
        <v>0</v>
      </c>
      <c r="G148" s="650">
        <f>Nøgletal!N518</f>
        <v>0</v>
      </c>
      <c r="H148" s="650">
        <f>Nøgletal!P518</f>
        <v>0</v>
      </c>
      <c r="I148" s="650">
        <f>Nøgletal!R518</f>
        <v>0</v>
      </c>
      <c r="J148" s="599">
        <v>0</v>
      </c>
      <c r="K148" s="598"/>
      <c r="L148" s="599">
        <v>0</v>
      </c>
      <c r="M148" s="598"/>
    </row>
    <row r="149" spans="1:13" ht="15" hidden="1" customHeight="1" x14ac:dyDescent="0.25">
      <c r="A149" s="604" t="s">
        <v>7</v>
      </c>
      <c r="B149" s="650">
        <f>Nøgletal!D519</f>
        <v>0</v>
      </c>
      <c r="C149" s="650">
        <f>Nøgletal!F519</f>
        <v>0</v>
      </c>
      <c r="D149" s="650">
        <f>Nøgletal!H519</f>
        <v>0</v>
      </c>
      <c r="E149" s="650">
        <f>Nøgletal!J519</f>
        <v>0</v>
      </c>
      <c r="F149" s="708">
        <f>Nøgletal!L519</f>
        <v>0</v>
      </c>
      <c r="G149" s="650">
        <f>Nøgletal!N519</f>
        <v>0</v>
      </c>
      <c r="H149" s="650">
        <f>Nøgletal!P519</f>
        <v>0</v>
      </c>
      <c r="I149" s="650">
        <f>Nøgletal!R519</f>
        <v>0</v>
      </c>
      <c r="J149" s="599">
        <v>0</v>
      </c>
      <c r="K149" s="598"/>
      <c r="L149" s="599">
        <v>0</v>
      </c>
      <c r="M149" s="598"/>
    </row>
    <row r="150" spans="1:13" ht="15" hidden="1" customHeight="1" x14ac:dyDescent="0.25">
      <c r="A150" s="604" t="s">
        <v>3</v>
      </c>
      <c r="B150" s="650">
        <f>Nøgletal!D520</f>
        <v>0</v>
      </c>
      <c r="C150" s="650">
        <f>Nøgletal!F520</f>
        <v>0</v>
      </c>
      <c r="D150" s="650">
        <f>Nøgletal!H520</f>
        <v>0</v>
      </c>
      <c r="E150" s="650">
        <f>Nøgletal!J520</f>
        <v>0</v>
      </c>
      <c r="F150" s="708">
        <f>Nøgletal!L520</f>
        <v>0</v>
      </c>
      <c r="G150" s="650">
        <f>Nøgletal!N520</f>
        <v>0</v>
      </c>
      <c r="H150" s="650">
        <f>Nøgletal!P520</f>
        <v>0</v>
      </c>
      <c r="I150" s="650">
        <f>Nøgletal!R520</f>
        <v>0</v>
      </c>
      <c r="J150" s="644">
        <f>IF(J36&gt;0,1-J148-J149-J151-J152-J153-J154-J155-J156,0)</f>
        <v>0</v>
      </c>
      <c r="K150" s="650"/>
      <c r="L150" s="644">
        <f>IF(L36&gt;0,1-L148-L149-L151-L152-L153-L154-L155-L156,0)</f>
        <v>0</v>
      </c>
      <c r="M150" s="598"/>
    </row>
    <row r="151" spans="1:13" ht="15" hidden="1" customHeight="1" x14ac:dyDescent="0.25">
      <c r="A151" s="604" t="s">
        <v>373</v>
      </c>
      <c r="B151" s="650">
        <f>Nøgletal!D521</f>
        <v>0</v>
      </c>
      <c r="C151" s="650">
        <f>Nøgletal!F521</f>
        <v>0</v>
      </c>
      <c r="D151" s="650">
        <f>Nøgletal!H521</f>
        <v>0</v>
      </c>
      <c r="E151" s="650">
        <f>Nøgletal!J521</f>
        <v>0</v>
      </c>
      <c r="F151" s="708">
        <f>Nøgletal!L521</f>
        <v>0</v>
      </c>
      <c r="G151" s="650">
        <f>Nøgletal!N521</f>
        <v>0</v>
      </c>
      <c r="H151" s="650">
        <f>Nøgletal!P521</f>
        <v>0</v>
      </c>
      <c r="I151" s="650">
        <f>Nøgletal!R521</f>
        <v>0</v>
      </c>
      <c r="J151" s="599">
        <v>0</v>
      </c>
      <c r="K151" s="598"/>
      <c r="L151" s="599">
        <v>0</v>
      </c>
      <c r="M151" s="598"/>
    </row>
    <row r="152" spans="1:13" ht="15" hidden="1" customHeight="1" x14ac:dyDescent="0.25">
      <c r="A152" s="604" t="s">
        <v>374</v>
      </c>
      <c r="B152" s="650">
        <f>Nøgletal!D522</f>
        <v>0</v>
      </c>
      <c r="C152" s="650">
        <f>Nøgletal!F522</f>
        <v>0</v>
      </c>
      <c r="D152" s="650">
        <f>Nøgletal!H522</f>
        <v>0</v>
      </c>
      <c r="E152" s="650">
        <f>Nøgletal!J522</f>
        <v>0</v>
      </c>
      <c r="F152" s="708">
        <f>Nøgletal!L522</f>
        <v>0</v>
      </c>
      <c r="G152" s="650">
        <f>Nøgletal!N522</f>
        <v>0</v>
      </c>
      <c r="H152" s="650">
        <f>Nøgletal!P522</f>
        <v>0</v>
      </c>
      <c r="I152" s="650">
        <f>Nøgletal!R522</f>
        <v>0</v>
      </c>
      <c r="J152" s="599">
        <v>0</v>
      </c>
      <c r="K152" s="598"/>
      <c r="L152" s="599">
        <v>0</v>
      </c>
      <c r="M152" s="598"/>
    </row>
    <row r="153" spans="1:13" ht="15" hidden="1" customHeight="1" x14ac:dyDescent="0.25">
      <c r="A153" s="604" t="s">
        <v>21</v>
      </c>
      <c r="B153" s="650">
        <f>Nøgletal!D523</f>
        <v>0</v>
      </c>
      <c r="C153" s="650">
        <f>Nøgletal!F523</f>
        <v>0</v>
      </c>
      <c r="D153" s="650">
        <f>Nøgletal!H523</f>
        <v>0</v>
      </c>
      <c r="E153" s="650">
        <f>Nøgletal!J523</f>
        <v>0</v>
      </c>
      <c r="F153" s="708">
        <f>Nøgletal!L523</f>
        <v>0</v>
      </c>
      <c r="G153" s="650">
        <f>Nøgletal!N523</f>
        <v>0</v>
      </c>
      <c r="H153" s="650">
        <f>Nøgletal!P523</f>
        <v>0</v>
      </c>
      <c r="I153" s="650">
        <f>Nøgletal!R523</f>
        <v>0</v>
      </c>
      <c r="J153" s="599">
        <v>0</v>
      </c>
      <c r="K153" s="598"/>
      <c r="L153" s="599">
        <v>0</v>
      </c>
      <c r="M153" s="598"/>
    </row>
    <row r="154" spans="1:13" ht="15" hidden="1" customHeight="1" x14ac:dyDescent="0.25">
      <c r="A154" s="604" t="s">
        <v>375</v>
      </c>
      <c r="B154" s="650">
        <f>Nøgletal!D524</f>
        <v>0</v>
      </c>
      <c r="C154" s="650">
        <f>Nøgletal!F524</f>
        <v>0</v>
      </c>
      <c r="D154" s="650">
        <f>Nøgletal!H524</f>
        <v>0</v>
      </c>
      <c r="E154" s="650">
        <f>Nøgletal!J524</f>
        <v>0</v>
      </c>
      <c r="F154" s="708">
        <f>Nøgletal!L524</f>
        <v>0</v>
      </c>
      <c r="G154" s="650">
        <f>Nøgletal!N524</f>
        <v>0</v>
      </c>
      <c r="H154" s="650">
        <f>Nøgletal!P524</f>
        <v>0</v>
      </c>
      <c r="I154" s="650">
        <f>Nøgletal!R524</f>
        <v>0</v>
      </c>
      <c r="J154" s="599">
        <v>0</v>
      </c>
      <c r="K154" s="598"/>
      <c r="L154" s="599">
        <v>0</v>
      </c>
      <c r="M154" s="598"/>
    </row>
    <row r="155" spans="1:13" ht="15" hidden="1" customHeight="1" x14ac:dyDescent="0.25">
      <c r="A155" s="604" t="s">
        <v>23</v>
      </c>
      <c r="B155" s="650">
        <f>Nøgletal!D525</f>
        <v>0</v>
      </c>
      <c r="C155" s="650">
        <f>Nøgletal!F525</f>
        <v>0</v>
      </c>
      <c r="D155" s="650">
        <f>Nøgletal!H525</f>
        <v>0</v>
      </c>
      <c r="E155" s="650">
        <f>Nøgletal!J525</f>
        <v>0</v>
      </c>
      <c r="F155" s="708">
        <f>Nøgletal!L525</f>
        <v>0</v>
      </c>
      <c r="G155" s="650">
        <f>Nøgletal!N525</f>
        <v>0</v>
      </c>
      <c r="H155" s="650">
        <f>Nøgletal!P525</f>
        <v>0</v>
      </c>
      <c r="I155" s="650">
        <f>Nøgletal!R525</f>
        <v>0</v>
      </c>
      <c r="J155" s="599">
        <v>0</v>
      </c>
      <c r="K155" s="598"/>
      <c r="L155" s="599">
        <v>0</v>
      </c>
      <c r="M155" s="598"/>
    </row>
    <row r="156" spans="1:13" ht="15" hidden="1" customHeight="1" x14ac:dyDescent="0.25">
      <c r="A156" s="604" t="s">
        <v>26</v>
      </c>
      <c r="B156" s="650">
        <f>Nøgletal!D526</f>
        <v>0</v>
      </c>
      <c r="C156" s="650">
        <f>Nøgletal!F526</f>
        <v>0</v>
      </c>
      <c r="D156" s="650">
        <f>Nøgletal!H526</f>
        <v>0</v>
      </c>
      <c r="E156" s="650">
        <f>Nøgletal!J526</f>
        <v>0</v>
      </c>
      <c r="F156" s="708">
        <f>Nøgletal!L526</f>
        <v>0</v>
      </c>
      <c r="G156" s="650">
        <f>Nøgletal!N526</f>
        <v>0</v>
      </c>
      <c r="H156" s="650">
        <f>Nøgletal!P526</f>
        <v>0</v>
      </c>
      <c r="I156" s="650">
        <f>Nøgletal!R526</f>
        <v>0</v>
      </c>
      <c r="J156" s="599">
        <v>0</v>
      </c>
      <c r="K156" s="598"/>
      <c r="L156" s="599">
        <v>0</v>
      </c>
      <c r="M156" s="598"/>
    </row>
    <row r="157" spans="1:13" hidden="1" x14ac:dyDescent="0.25">
      <c r="A157" s="629" t="s">
        <v>415</v>
      </c>
      <c r="B157" s="706"/>
      <c r="C157" s="706"/>
      <c r="D157" s="706"/>
      <c r="E157" s="706"/>
      <c r="F157" s="709"/>
      <c r="G157" s="706"/>
      <c r="H157" s="706"/>
      <c r="I157" s="706"/>
      <c r="J157" s="690"/>
      <c r="K157" s="690"/>
      <c r="L157" s="690"/>
      <c r="M157" s="690"/>
    </row>
    <row r="158" spans="1:13" hidden="1" x14ac:dyDescent="0.25">
      <c r="A158" s="604" t="s">
        <v>7</v>
      </c>
      <c r="B158" s="650">
        <f>Nøgletal!D528</f>
        <v>0</v>
      </c>
      <c r="C158" s="650">
        <f>Nøgletal!F528</f>
        <v>0</v>
      </c>
      <c r="D158" s="650">
        <f>Nøgletal!H528</f>
        <v>0</v>
      </c>
      <c r="E158" s="650">
        <f>Nøgletal!J528</f>
        <v>0</v>
      </c>
      <c r="F158" s="708">
        <f>Nøgletal!L528</f>
        <v>0</v>
      </c>
      <c r="G158" s="650">
        <f>Nøgletal!N528</f>
        <v>0</v>
      </c>
      <c r="H158" s="650">
        <f>Nøgletal!P528</f>
        <v>0</v>
      </c>
      <c r="I158" s="650">
        <f>Nøgletal!R528</f>
        <v>0</v>
      </c>
      <c r="J158" s="599">
        <v>0</v>
      </c>
      <c r="K158" s="598"/>
      <c r="L158" s="599">
        <v>0</v>
      </c>
      <c r="M158" s="598"/>
    </row>
    <row r="159" spans="1:13" hidden="1" x14ac:dyDescent="0.25">
      <c r="A159" s="604" t="s">
        <v>8</v>
      </c>
      <c r="B159" s="650">
        <f>Nøgletal!D529</f>
        <v>0</v>
      </c>
      <c r="C159" s="650">
        <f>Nøgletal!F529</f>
        <v>0</v>
      </c>
      <c r="D159" s="650">
        <f>Nøgletal!H529</f>
        <v>0</v>
      </c>
      <c r="E159" s="650">
        <f>Nøgletal!J529</f>
        <v>0</v>
      </c>
      <c r="F159" s="708">
        <f>Nøgletal!L529</f>
        <v>0</v>
      </c>
      <c r="G159" s="650">
        <f>Nøgletal!N529</f>
        <v>0</v>
      </c>
      <c r="H159" s="650">
        <f>Nøgletal!P529</f>
        <v>0</v>
      </c>
      <c r="I159" s="650">
        <f>Nøgletal!R529</f>
        <v>0</v>
      </c>
      <c r="J159" s="599">
        <v>0</v>
      </c>
      <c r="K159" s="598"/>
      <c r="L159" s="599">
        <v>0</v>
      </c>
      <c r="M159" s="598"/>
    </row>
    <row r="160" spans="1:13" hidden="1" x14ac:dyDescent="0.25">
      <c r="A160" s="604" t="s">
        <v>9</v>
      </c>
      <c r="B160" s="650">
        <f>Nøgletal!D530</f>
        <v>0</v>
      </c>
      <c r="C160" s="650">
        <f>Nøgletal!F530</f>
        <v>0</v>
      </c>
      <c r="D160" s="650">
        <f>Nøgletal!H530</f>
        <v>0</v>
      </c>
      <c r="E160" s="650">
        <f>Nøgletal!J530</f>
        <v>0</v>
      </c>
      <c r="F160" s="708">
        <f>Nøgletal!L530</f>
        <v>0</v>
      </c>
      <c r="G160" s="650">
        <f>Nøgletal!N530</f>
        <v>0</v>
      </c>
      <c r="H160" s="650">
        <f>Nøgletal!P530</f>
        <v>0</v>
      </c>
      <c r="I160" s="650">
        <f>Nøgletal!R530</f>
        <v>0</v>
      </c>
      <c r="J160" s="599">
        <v>0</v>
      </c>
      <c r="K160" s="598"/>
      <c r="L160" s="599">
        <v>0</v>
      </c>
      <c r="M160" s="598"/>
    </row>
    <row r="161" spans="1:13" hidden="1" x14ac:dyDescent="0.25">
      <c r="A161" s="604" t="s">
        <v>11</v>
      </c>
      <c r="B161" s="650">
        <f>Nøgletal!D531</f>
        <v>0</v>
      </c>
      <c r="C161" s="650">
        <f>Nøgletal!F531</f>
        <v>0</v>
      </c>
      <c r="D161" s="650">
        <f>Nøgletal!H531</f>
        <v>0</v>
      </c>
      <c r="E161" s="650">
        <f>Nøgletal!J531</f>
        <v>0</v>
      </c>
      <c r="F161" s="708">
        <f>Nøgletal!L531</f>
        <v>0</v>
      </c>
      <c r="G161" s="650">
        <f>Nøgletal!N531</f>
        <v>0</v>
      </c>
      <c r="H161" s="650">
        <f>Nøgletal!P531</f>
        <v>0</v>
      </c>
      <c r="I161" s="650">
        <f>Nøgletal!R531</f>
        <v>0</v>
      </c>
      <c r="J161" s="599">
        <v>0</v>
      </c>
      <c r="K161" s="598"/>
      <c r="L161" s="599">
        <v>0</v>
      </c>
      <c r="M161" s="598"/>
    </row>
    <row r="162" spans="1:13" hidden="1" x14ac:dyDescent="0.25">
      <c r="A162" s="604" t="s">
        <v>3</v>
      </c>
      <c r="B162" s="650">
        <f>Nøgletal!D532</f>
        <v>0</v>
      </c>
      <c r="C162" s="650">
        <f>Nøgletal!F532</f>
        <v>0</v>
      </c>
      <c r="D162" s="650">
        <f>Nøgletal!H532</f>
        <v>0</v>
      </c>
      <c r="E162" s="650">
        <f>Nøgletal!J532</f>
        <v>0</v>
      </c>
      <c r="F162" s="708">
        <f>Nøgletal!L532</f>
        <v>0</v>
      </c>
      <c r="G162" s="650">
        <f>Nøgletal!N532</f>
        <v>0</v>
      </c>
      <c r="H162" s="650">
        <f>Nøgletal!P532</f>
        <v>0</v>
      </c>
      <c r="I162" s="650">
        <f>Nøgletal!R532</f>
        <v>0</v>
      </c>
      <c r="J162" s="599">
        <v>0</v>
      </c>
      <c r="K162" s="598"/>
      <c r="L162" s="599">
        <v>0</v>
      </c>
      <c r="M162" s="598"/>
    </row>
    <row r="163" spans="1:13" hidden="1" x14ac:dyDescent="0.25">
      <c r="A163" s="604" t="s">
        <v>373</v>
      </c>
      <c r="B163" s="650">
        <f>Nøgletal!D533</f>
        <v>0</v>
      </c>
      <c r="C163" s="650">
        <f>Nøgletal!F533</f>
        <v>0</v>
      </c>
      <c r="D163" s="650">
        <f>Nøgletal!H533</f>
        <v>0</v>
      </c>
      <c r="E163" s="650">
        <f>Nøgletal!J533</f>
        <v>0</v>
      </c>
      <c r="F163" s="708">
        <f>Nøgletal!L533</f>
        <v>0</v>
      </c>
      <c r="G163" s="650">
        <f>Nøgletal!N533</f>
        <v>0</v>
      </c>
      <c r="H163" s="650">
        <f>Nøgletal!P533</f>
        <v>0</v>
      </c>
      <c r="I163" s="650">
        <f>Nøgletal!R533</f>
        <v>0</v>
      </c>
      <c r="J163" s="599">
        <v>0</v>
      </c>
      <c r="K163" s="598"/>
      <c r="L163" s="599">
        <v>0</v>
      </c>
      <c r="M163" s="598"/>
    </row>
    <row r="164" spans="1:13" hidden="1" x14ac:dyDescent="0.25">
      <c r="A164" s="604" t="s">
        <v>374</v>
      </c>
      <c r="B164" s="650">
        <f>Nøgletal!D534</f>
        <v>0</v>
      </c>
      <c r="C164" s="650">
        <f>Nøgletal!F534</f>
        <v>0</v>
      </c>
      <c r="D164" s="650">
        <f>Nøgletal!H534</f>
        <v>0</v>
      </c>
      <c r="E164" s="650">
        <f>Nøgletal!J534</f>
        <v>0</v>
      </c>
      <c r="F164" s="708">
        <f>Nøgletal!L534</f>
        <v>0</v>
      </c>
      <c r="G164" s="650">
        <f>Nøgletal!N534</f>
        <v>0</v>
      </c>
      <c r="H164" s="650">
        <f>Nøgletal!P534</f>
        <v>0</v>
      </c>
      <c r="I164" s="650">
        <f>Nøgletal!R534</f>
        <v>0</v>
      </c>
      <c r="J164" s="599">
        <v>0</v>
      </c>
      <c r="K164" s="598"/>
      <c r="L164" s="599">
        <v>0</v>
      </c>
      <c r="M164" s="598"/>
    </row>
    <row r="165" spans="1:13" hidden="1" x14ac:dyDescent="0.25">
      <c r="A165" s="604" t="s">
        <v>21</v>
      </c>
      <c r="B165" s="650">
        <f>Nøgletal!D535</f>
        <v>0</v>
      </c>
      <c r="C165" s="650">
        <f>Nøgletal!F535</f>
        <v>0</v>
      </c>
      <c r="D165" s="650">
        <f>Nøgletal!H535</f>
        <v>0</v>
      </c>
      <c r="E165" s="650">
        <f>Nøgletal!J535</f>
        <v>0</v>
      </c>
      <c r="F165" s="708">
        <f>Nøgletal!L535</f>
        <v>0</v>
      </c>
      <c r="G165" s="650">
        <f>Nøgletal!N535</f>
        <v>0</v>
      </c>
      <c r="H165" s="650">
        <f>Nøgletal!P535</f>
        <v>0</v>
      </c>
      <c r="I165" s="650">
        <f>Nøgletal!R535</f>
        <v>0</v>
      </c>
      <c r="J165" s="599">
        <v>0</v>
      </c>
      <c r="K165" s="598"/>
      <c r="L165" s="599">
        <v>0</v>
      </c>
      <c r="M165" s="598"/>
    </row>
    <row r="166" spans="1:13" hidden="1" x14ac:dyDescent="0.25">
      <c r="A166" s="604" t="s">
        <v>375</v>
      </c>
      <c r="B166" s="650">
        <f>Nøgletal!D536</f>
        <v>0</v>
      </c>
      <c r="C166" s="650">
        <f>Nøgletal!F536</f>
        <v>0</v>
      </c>
      <c r="D166" s="650">
        <f>Nøgletal!H536</f>
        <v>0</v>
      </c>
      <c r="E166" s="650">
        <f>Nøgletal!J536</f>
        <v>0</v>
      </c>
      <c r="F166" s="708">
        <f>Nøgletal!L536</f>
        <v>0</v>
      </c>
      <c r="G166" s="650">
        <f>Nøgletal!N536</f>
        <v>0</v>
      </c>
      <c r="H166" s="650">
        <f>Nøgletal!P536</f>
        <v>0</v>
      </c>
      <c r="I166" s="650">
        <f>Nøgletal!R536</f>
        <v>0</v>
      </c>
      <c r="J166" s="599">
        <v>0</v>
      </c>
      <c r="K166" s="598"/>
      <c r="L166" s="599">
        <v>0</v>
      </c>
      <c r="M166" s="598"/>
    </row>
    <row r="167" spans="1:13" hidden="1" x14ac:dyDescent="0.25">
      <c r="A167" s="604" t="s">
        <v>23</v>
      </c>
      <c r="B167" s="650">
        <f>Nøgletal!D537</f>
        <v>0</v>
      </c>
      <c r="C167" s="650">
        <f>Nøgletal!F537</f>
        <v>0</v>
      </c>
      <c r="D167" s="650">
        <f>Nøgletal!H537</f>
        <v>0</v>
      </c>
      <c r="E167" s="650">
        <f>Nøgletal!J537</f>
        <v>0</v>
      </c>
      <c r="F167" s="708">
        <f>Nøgletal!L537</f>
        <v>0</v>
      </c>
      <c r="G167" s="650">
        <f>Nøgletal!N537</f>
        <v>0</v>
      </c>
      <c r="H167" s="650">
        <f>Nøgletal!P537</f>
        <v>0</v>
      </c>
      <c r="I167" s="650">
        <f>Nøgletal!R537</f>
        <v>0</v>
      </c>
      <c r="J167" s="599">
        <v>0</v>
      </c>
      <c r="K167" s="598"/>
      <c r="L167" s="599">
        <v>0</v>
      </c>
      <c r="M167" s="598"/>
    </row>
    <row r="168" spans="1:13" hidden="1" x14ac:dyDescent="0.25">
      <c r="A168" s="604" t="s">
        <v>26</v>
      </c>
      <c r="B168" s="650">
        <f>Nøgletal!D538</f>
        <v>1</v>
      </c>
      <c r="C168" s="650">
        <f>Nøgletal!F538</f>
        <v>1</v>
      </c>
      <c r="D168" s="650">
        <f>Nøgletal!H538</f>
        <v>1</v>
      </c>
      <c r="E168" s="650">
        <f>Nøgletal!J538</f>
        <v>1</v>
      </c>
      <c r="F168" s="708">
        <f>Nøgletal!L538</f>
        <v>1</v>
      </c>
      <c r="G168" s="650">
        <f>Nøgletal!N538</f>
        <v>0</v>
      </c>
      <c r="H168" s="650">
        <f>Nøgletal!P538</f>
        <v>0</v>
      </c>
      <c r="I168" s="650">
        <f>Nøgletal!R538</f>
        <v>0</v>
      </c>
      <c r="J168" s="644">
        <f>IF(AND(J39=0,Elproduktion!R8=0),0,1-J158-J159-J160-J161-J162-J163-J164-J165-J166-J167)</f>
        <v>0</v>
      </c>
      <c r="K168" s="650"/>
      <c r="L168" s="644">
        <f>IF(AND(L39=0,Elproduktion!T8=0),0,1-L158-L159-L160-L161-L162-L163-L164-L165-L166-L167)</f>
        <v>0</v>
      </c>
      <c r="M168" s="598"/>
    </row>
    <row r="169" spans="1:13" hidden="1" x14ac:dyDescent="0.25">
      <c r="A169" s="629" t="s">
        <v>416</v>
      </c>
      <c r="B169" s="706"/>
      <c r="C169" s="706"/>
      <c r="D169" s="706"/>
      <c r="E169" s="706"/>
      <c r="F169" s="709"/>
      <c r="G169" s="706"/>
      <c r="H169" s="706"/>
      <c r="I169" s="706"/>
      <c r="J169" s="690"/>
      <c r="K169" s="690"/>
      <c r="L169" s="690"/>
      <c r="M169" s="690"/>
    </row>
    <row r="170" spans="1:13" hidden="1" x14ac:dyDescent="0.25">
      <c r="A170" s="604" t="s">
        <v>1</v>
      </c>
      <c r="B170" s="650">
        <f>Nøgletal!D540</f>
        <v>0</v>
      </c>
      <c r="C170" s="650">
        <f>Nøgletal!F540</f>
        <v>0</v>
      </c>
      <c r="D170" s="650">
        <f>Nøgletal!H540</f>
        <v>0</v>
      </c>
      <c r="E170" s="650">
        <f>Nøgletal!J540</f>
        <v>0</v>
      </c>
      <c r="F170" s="708">
        <f>Nøgletal!L540</f>
        <v>0</v>
      </c>
      <c r="G170" s="650">
        <f>Nøgletal!N540</f>
        <v>0</v>
      </c>
      <c r="H170" s="650">
        <f>Nøgletal!P540</f>
        <v>0</v>
      </c>
      <c r="I170" s="650">
        <f>Nøgletal!R540</f>
        <v>0</v>
      </c>
      <c r="J170" s="599">
        <v>0</v>
      </c>
      <c r="K170" s="598"/>
      <c r="L170" s="599">
        <v>0</v>
      </c>
      <c r="M170" s="598"/>
    </row>
    <row r="171" spans="1:13" hidden="1" x14ac:dyDescent="0.25">
      <c r="A171" s="604" t="s">
        <v>7</v>
      </c>
      <c r="B171" s="650">
        <f>Nøgletal!D541</f>
        <v>0</v>
      </c>
      <c r="C171" s="650">
        <f>Nøgletal!F541</f>
        <v>0</v>
      </c>
      <c r="D171" s="650">
        <f>Nøgletal!H541</f>
        <v>0</v>
      </c>
      <c r="E171" s="650">
        <f>Nøgletal!J541</f>
        <v>0</v>
      </c>
      <c r="F171" s="708">
        <f>Nøgletal!L541</f>
        <v>0</v>
      </c>
      <c r="G171" s="650">
        <f>Nøgletal!N541</f>
        <v>0</v>
      </c>
      <c r="H171" s="650">
        <f>Nøgletal!P541</f>
        <v>0</v>
      </c>
      <c r="I171" s="650">
        <f>Nøgletal!R541</f>
        <v>0</v>
      </c>
      <c r="J171" s="599">
        <v>0</v>
      </c>
      <c r="K171" s="598"/>
      <c r="L171" s="599">
        <v>0</v>
      </c>
      <c r="M171" s="598"/>
    </row>
    <row r="172" spans="1:13" hidden="1" x14ac:dyDescent="0.25">
      <c r="A172" s="604" t="s">
        <v>3</v>
      </c>
      <c r="B172" s="650">
        <f>Nøgletal!D542</f>
        <v>0</v>
      </c>
      <c r="C172" s="650">
        <f>Nøgletal!F542</f>
        <v>0</v>
      </c>
      <c r="D172" s="650">
        <f>Nøgletal!H542</f>
        <v>0</v>
      </c>
      <c r="E172" s="650">
        <f>Nøgletal!J542</f>
        <v>0</v>
      </c>
      <c r="F172" s="708">
        <f>Nøgletal!L542</f>
        <v>0</v>
      </c>
      <c r="G172" s="650">
        <f>Nøgletal!N542</f>
        <v>0</v>
      </c>
      <c r="H172" s="650">
        <f>Nøgletal!P542</f>
        <v>0</v>
      </c>
      <c r="I172" s="650">
        <f>Nøgletal!R542</f>
        <v>0</v>
      </c>
      <c r="J172" s="599">
        <v>0</v>
      </c>
      <c r="K172" s="598"/>
      <c r="L172" s="599">
        <v>0</v>
      </c>
      <c r="M172" s="598"/>
    </row>
    <row r="173" spans="1:13" hidden="1" x14ac:dyDescent="0.25">
      <c r="A173" s="604" t="s">
        <v>373</v>
      </c>
      <c r="B173" s="650">
        <f>Nøgletal!D543</f>
        <v>0</v>
      </c>
      <c r="C173" s="650">
        <f>Nøgletal!F543</f>
        <v>0</v>
      </c>
      <c r="D173" s="650">
        <f>Nøgletal!H543</f>
        <v>0</v>
      </c>
      <c r="E173" s="650">
        <f>Nøgletal!J543</f>
        <v>0</v>
      </c>
      <c r="F173" s="708">
        <f>Nøgletal!L543</f>
        <v>0</v>
      </c>
      <c r="G173" s="650">
        <f>Nøgletal!N543</f>
        <v>0</v>
      </c>
      <c r="H173" s="650">
        <f>Nøgletal!P543</f>
        <v>0</v>
      </c>
      <c r="I173" s="650">
        <f>Nøgletal!R543</f>
        <v>0</v>
      </c>
      <c r="J173" s="599">
        <v>0</v>
      </c>
      <c r="K173" s="598"/>
      <c r="L173" s="599">
        <v>0</v>
      </c>
      <c r="M173" s="598"/>
    </row>
    <row r="174" spans="1:13" hidden="1" x14ac:dyDescent="0.25">
      <c r="A174" s="604" t="s">
        <v>374</v>
      </c>
      <c r="B174" s="650">
        <f>Nøgletal!D544</f>
        <v>0</v>
      </c>
      <c r="C174" s="650">
        <f>Nøgletal!F544</f>
        <v>0</v>
      </c>
      <c r="D174" s="650">
        <f>Nøgletal!H544</f>
        <v>0</v>
      </c>
      <c r="E174" s="650">
        <f>Nøgletal!J544</f>
        <v>0</v>
      </c>
      <c r="F174" s="708">
        <f>Nøgletal!L544</f>
        <v>0</v>
      </c>
      <c r="G174" s="650">
        <f>Nøgletal!N544</f>
        <v>0</v>
      </c>
      <c r="H174" s="650">
        <f>Nøgletal!P544</f>
        <v>0</v>
      </c>
      <c r="I174" s="650">
        <f>Nøgletal!R544</f>
        <v>0</v>
      </c>
      <c r="J174" s="599">
        <v>0</v>
      </c>
      <c r="K174" s="598"/>
      <c r="L174" s="599">
        <v>0</v>
      </c>
      <c r="M174" s="598"/>
    </row>
    <row r="175" spans="1:13" hidden="1" x14ac:dyDescent="0.25">
      <c r="A175" s="604" t="s">
        <v>21</v>
      </c>
      <c r="B175" s="650">
        <f>Nøgletal!D545</f>
        <v>0</v>
      </c>
      <c r="C175" s="650">
        <f>Nøgletal!F545</f>
        <v>0</v>
      </c>
      <c r="D175" s="650">
        <f>Nøgletal!H545</f>
        <v>0</v>
      </c>
      <c r="E175" s="650">
        <f>Nøgletal!J545</f>
        <v>0</v>
      </c>
      <c r="F175" s="708">
        <f>Nøgletal!L545</f>
        <v>0</v>
      </c>
      <c r="G175" s="650">
        <f>Nøgletal!N545</f>
        <v>0</v>
      </c>
      <c r="H175" s="650">
        <f>Nøgletal!P545</f>
        <v>0</v>
      </c>
      <c r="I175" s="650">
        <f>Nøgletal!R545</f>
        <v>0</v>
      </c>
      <c r="J175" s="599">
        <v>0</v>
      </c>
      <c r="K175" s="598"/>
      <c r="L175" s="599">
        <v>0</v>
      </c>
      <c r="M175" s="598"/>
    </row>
    <row r="176" spans="1:13" hidden="1" x14ac:dyDescent="0.25">
      <c r="A176" s="604" t="s">
        <v>413</v>
      </c>
      <c r="B176" s="650">
        <f>Nøgletal!D546</f>
        <v>0</v>
      </c>
      <c r="C176" s="650">
        <f>Nøgletal!F546</f>
        <v>0</v>
      </c>
      <c r="D176" s="650">
        <f>Nøgletal!H546</f>
        <v>0</v>
      </c>
      <c r="E176" s="650">
        <f>Nøgletal!J546</f>
        <v>0</v>
      </c>
      <c r="F176" s="708">
        <f>Nøgletal!L546</f>
        <v>0</v>
      </c>
      <c r="G176" s="650">
        <f>Nøgletal!N546</f>
        <v>0</v>
      </c>
      <c r="H176" s="650">
        <f>Nøgletal!P546</f>
        <v>0</v>
      </c>
      <c r="I176" s="650">
        <f>Nøgletal!R546</f>
        <v>0</v>
      </c>
      <c r="J176" s="599">
        <v>0</v>
      </c>
      <c r="K176" s="598"/>
      <c r="L176" s="599">
        <v>0.02</v>
      </c>
      <c r="M176" s="598"/>
    </row>
    <row r="177" spans="1:13" hidden="1" x14ac:dyDescent="0.25">
      <c r="A177" s="604" t="s">
        <v>375</v>
      </c>
      <c r="B177" s="650">
        <f>Nøgletal!D547</f>
        <v>0</v>
      </c>
      <c r="C177" s="650">
        <f>Nøgletal!F547</f>
        <v>0</v>
      </c>
      <c r="D177" s="650">
        <f>Nøgletal!H547</f>
        <v>0</v>
      </c>
      <c r="E177" s="650">
        <f>Nøgletal!J547</f>
        <v>0</v>
      </c>
      <c r="F177" s="708">
        <f>Nøgletal!L547</f>
        <v>0</v>
      </c>
      <c r="G177" s="650">
        <f>Nøgletal!N547</f>
        <v>0</v>
      </c>
      <c r="H177" s="650">
        <f>Nøgletal!P547</f>
        <v>0</v>
      </c>
      <c r="I177" s="650">
        <f>Nøgletal!R547</f>
        <v>0</v>
      </c>
      <c r="J177" s="644">
        <f>IF(J40&gt;0,1-J178-J179-J170-J171-J172-J173-J174-J175-J176,0)</f>
        <v>0</v>
      </c>
      <c r="K177" s="650"/>
      <c r="L177" s="644">
        <f>IF(L40&gt;0,1-L178-L179-L170-L171-L172-L173-L174-L175-L176,0)</f>
        <v>0</v>
      </c>
      <c r="M177" s="598"/>
    </row>
    <row r="178" spans="1:13" hidden="1" x14ac:dyDescent="0.25">
      <c r="A178" s="604" t="s">
        <v>23</v>
      </c>
      <c r="B178" s="650">
        <f>Nøgletal!D548</f>
        <v>0</v>
      </c>
      <c r="C178" s="650">
        <f>Nøgletal!F548</f>
        <v>0</v>
      </c>
      <c r="D178" s="650">
        <f>Nøgletal!H548</f>
        <v>0</v>
      </c>
      <c r="E178" s="650">
        <f>Nøgletal!J548</f>
        <v>0</v>
      </c>
      <c r="F178" s="708">
        <f>Nøgletal!L548</f>
        <v>0</v>
      </c>
      <c r="G178" s="650">
        <f>Nøgletal!N548</f>
        <v>0</v>
      </c>
      <c r="H178" s="650">
        <f>Nøgletal!P548</f>
        <v>0</v>
      </c>
      <c r="I178" s="650">
        <f>Nøgletal!R548</f>
        <v>0</v>
      </c>
      <c r="J178" s="599">
        <v>0</v>
      </c>
      <c r="K178" s="598"/>
      <c r="L178" s="599">
        <v>0</v>
      </c>
      <c r="M178" s="598"/>
    </row>
    <row r="179" spans="1:13" hidden="1" x14ac:dyDescent="0.25">
      <c r="A179" s="604" t="s">
        <v>26</v>
      </c>
      <c r="B179" s="650">
        <f>Nøgletal!D549</f>
        <v>0</v>
      </c>
      <c r="C179" s="650">
        <f>Nøgletal!F549</f>
        <v>0</v>
      </c>
      <c r="D179" s="650">
        <f>Nøgletal!H549</f>
        <v>0</v>
      </c>
      <c r="E179" s="650">
        <f>Nøgletal!J549</f>
        <v>0</v>
      </c>
      <c r="F179" s="708">
        <f>Nøgletal!L549</f>
        <v>0</v>
      </c>
      <c r="G179" s="650">
        <f>Nøgletal!N549</f>
        <v>0</v>
      </c>
      <c r="H179" s="650">
        <f>Nøgletal!P549</f>
        <v>0</v>
      </c>
      <c r="I179" s="650">
        <f>Nøgletal!R549</f>
        <v>0</v>
      </c>
      <c r="J179" s="599">
        <v>0</v>
      </c>
      <c r="K179" s="598"/>
      <c r="L179" s="599">
        <v>0</v>
      </c>
      <c r="M179" s="598"/>
    </row>
    <row r="180" spans="1:13" ht="15.75" hidden="1" customHeight="1" x14ac:dyDescent="0.25">
      <c r="A180" s="629" t="s">
        <v>417</v>
      </c>
      <c r="B180" s="706"/>
      <c r="C180" s="706"/>
      <c r="D180" s="706"/>
      <c r="E180" s="706"/>
      <c r="F180" s="709"/>
      <c r="G180" s="706"/>
      <c r="H180" s="706"/>
      <c r="I180" s="706"/>
      <c r="J180" s="690"/>
      <c r="K180" s="690"/>
      <c r="L180" s="690"/>
      <c r="M180" s="690"/>
    </row>
    <row r="181" spans="1:13" hidden="1" x14ac:dyDescent="0.25">
      <c r="A181" s="604" t="s">
        <v>1</v>
      </c>
      <c r="B181" s="650">
        <f>Nøgletal!D551</f>
        <v>0</v>
      </c>
      <c r="C181" s="650">
        <f>Nøgletal!F551</f>
        <v>0</v>
      </c>
      <c r="D181" s="650">
        <f>Nøgletal!H551</f>
        <v>0</v>
      </c>
      <c r="E181" s="650">
        <f>Nøgletal!J551</f>
        <v>0</v>
      </c>
      <c r="F181" s="708">
        <f>Nøgletal!L551</f>
        <v>0</v>
      </c>
      <c r="G181" s="650">
        <f>Nøgletal!N551</f>
        <v>0</v>
      </c>
      <c r="H181" s="650">
        <f>Nøgletal!P551</f>
        <v>0</v>
      </c>
      <c r="I181" s="650">
        <f>Nøgletal!R551</f>
        <v>0</v>
      </c>
      <c r="J181" s="599">
        <v>0</v>
      </c>
      <c r="K181" s="598"/>
      <c r="L181" s="599">
        <v>0</v>
      </c>
      <c r="M181" s="598"/>
    </row>
    <row r="182" spans="1:13" hidden="1" x14ac:dyDescent="0.25">
      <c r="A182" s="604" t="s">
        <v>7</v>
      </c>
      <c r="B182" s="650">
        <f>Nøgletal!D552</f>
        <v>0</v>
      </c>
      <c r="C182" s="650">
        <f>Nøgletal!F552</f>
        <v>0</v>
      </c>
      <c r="D182" s="650">
        <f>Nøgletal!H552</f>
        <v>0</v>
      </c>
      <c r="E182" s="650">
        <f>Nøgletal!J552</f>
        <v>0</v>
      </c>
      <c r="F182" s="708">
        <f>Nøgletal!L552</f>
        <v>0</v>
      </c>
      <c r="G182" s="650">
        <f>Nøgletal!N552</f>
        <v>0</v>
      </c>
      <c r="H182" s="650">
        <f>Nøgletal!P552</f>
        <v>0</v>
      </c>
      <c r="I182" s="650">
        <f>Nøgletal!R552</f>
        <v>0</v>
      </c>
      <c r="J182" s="599">
        <v>0</v>
      </c>
      <c r="K182" s="598"/>
      <c r="L182" s="599">
        <v>0</v>
      </c>
      <c r="M182" s="598"/>
    </row>
    <row r="183" spans="1:13" hidden="1" x14ac:dyDescent="0.25">
      <c r="A183" s="604" t="s">
        <v>3</v>
      </c>
      <c r="B183" s="650">
        <f>Nøgletal!D553</f>
        <v>0</v>
      </c>
      <c r="C183" s="650">
        <f>Nøgletal!F553</f>
        <v>0</v>
      </c>
      <c r="D183" s="650">
        <f>Nøgletal!H553</f>
        <v>0</v>
      </c>
      <c r="E183" s="650">
        <f>Nøgletal!J553</f>
        <v>0</v>
      </c>
      <c r="F183" s="708">
        <f>Nøgletal!L553</f>
        <v>0</v>
      </c>
      <c r="G183" s="650">
        <f>Nøgletal!N553</f>
        <v>0</v>
      </c>
      <c r="H183" s="650">
        <f>Nøgletal!P553</f>
        <v>0</v>
      </c>
      <c r="I183" s="650">
        <f>Nøgletal!R553</f>
        <v>0</v>
      </c>
      <c r="J183" s="599">
        <v>0</v>
      </c>
      <c r="K183" s="598"/>
      <c r="L183" s="599">
        <v>0</v>
      </c>
      <c r="M183" s="598"/>
    </row>
    <row r="184" spans="1:13" hidden="1" x14ac:dyDescent="0.25">
      <c r="A184" s="604" t="s">
        <v>373</v>
      </c>
      <c r="B184" s="650">
        <f>Nøgletal!D554</f>
        <v>0</v>
      </c>
      <c r="C184" s="650">
        <f>Nøgletal!F554</f>
        <v>0</v>
      </c>
      <c r="D184" s="650">
        <f>Nøgletal!H554</f>
        <v>0</v>
      </c>
      <c r="E184" s="650">
        <f>Nøgletal!J554</f>
        <v>0</v>
      </c>
      <c r="F184" s="708">
        <f>Nøgletal!L554</f>
        <v>0</v>
      </c>
      <c r="G184" s="650">
        <f>Nøgletal!N554</f>
        <v>0</v>
      </c>
      <c r="H184" s="650">
        <f>Nøgletal!P554</f>
        <v>0</v>
      </c>
      <c r="I184" s="650">
        <f>Nøgletal!R554</f>
        <v>0</v>
      </c>
      <c r="J184" s="599">
        <v>0</v>
      </c>
      <c r="K184" s="598"/>
      <c r="L184" s="599">
        <v>0</v>
      </c>
      <c r="M184" s="598"/>
    </row>
    <row r="185" spans="1:13" hidden="1" x14ac:dyDescent="0.25">
      <c r="A185" s="604" t="s">
        <v>374</v>
      </c>
      <c r="B185" s="650">
        <f>Nøgletal!D555</f>
        <v>0</v>
      </c>
      <c r="C185" s="650">
        <f>Nøgletal!F555</f>
        <v>0</v>
      </c>
      <c r="D185" s="650">
        <f>Nøgletal!H555</f>
        <v>0</v>
      </c>
      <c r="E185" s="650">
        <f>Nøgletal!J555</f>
        <v>0</v>
      </c>
      <c r="F185" s="708">
        <f>Nøgletal!L555</f>
        <v>0</v>
      </c>
      <c r="G185" s="650">
        <f>Nøgletal!N555</f>
        <v>0</v>
      </c>
      <c r="H185" s="650">
        <f>Nøgletal!P555</f>
        <v>0</v>
      </c>
      <c r="I185" s="650">
        <f>Nøgletal!R555</f>
        <v>0</v>
      </c>
      <c r="J185" s="599">
        <v>0</v>
      </c>
      <c r="K185" s="598"/>
      <c r="L185" s="599">
        <v>0</v>
      </c>
      <c r="M185" s="598"/>
    </row>
    <row r="186" spans="1:13" hidden="1" x14ac:dyDescent="0.25">
      <c r="A186" s="604" t="s">
        <v>21</v>
      </c>
      <c r="B186" s="650">
        <f>Nøgletal!D556</f>
        <v>0</v>
      </c>
      <c r="C186" s="650">
        <f>Nøgletal!F556</f>
        <v>0</v>
      </c>
      <c r="D186" s="650">
        <f>Nøgletal!H556</f>
        <v>0</v>
      </c>
      <c r="E186" s="650">
        <f>Nøgletal!J556</f>
        <v>0</v>
      </c>
      <c r="F186" s="708">
        <f>Nøgletal!L556</f>
        <v>0</v>
      </c>
      <c r="G186" s="650">
        <f>Nøgletal!N556</f>
        <v>0</v>
      </c>
      <c r="H186" s="650">
        <f>Nøgletal!P556</f>
        <v>0</v>
      </c>
      <c r="I186" s="650">
        <f>Nøgletal!R556</f>
        <v>0</v>
      </c>
      <c r="J186" s="644">
        <f>IF(J43&gt;0,1-J181-J182-J183-J184-J185-J187-J188-J189-J190,0)</f>
        <v>0</v>
      </c>
      <c r="K186" s="650"/>
      <c r="L186" s="644">
        <f>IF(L43&gt;0,1-L181-L182-L183-L184-L185-L187-L188-L189-L190,0)</f>
        <v>0</v>
      </c>
      <c r="M186" s="598"/>
    </row>
    <row r="187" spans="1:13" hidden="1" x14ac:dyDescent="0.25">
      <c r="A187" s="604" t="s">
        <v>8</v>
      </c>
      <c r="B187" s="650">
        <f>Nøgletal!D557</f>
        <v>0</v>
      </c>
      <c r="C187" s="650">
        <f>Nøgletal!F557</f>
        <v>0</v>
      </c>
      <c r="D187" s="650">
        <f>Nøgletal!H557</f>
        <v>0</v>
      </c>
      <c r="E187" s="650">
        <f>Nøgletal!J557</f>
        <v>0</v>
      </c>
      <c r="F187" s="708">
        <f>Nøgletal!L557</f>
        <v>0</v>
      </c>
      <c r="G187" s="650">
        <f>Nøgletal!N557</f>
        <v>0</v>
      </c>
      <c r="H187" s="650">
        <f>Nøgletal!P557</f>
        <v>0</v>
      </c>
      <c r="I187" s="650">
        <f>Nøgletal!R557</f>
        <v>0</v>
      </c>
      <c r="J187" s="599">
        <v>0</v>
      </c>
      <c r="K187" s="598"/>
      <c r="L187" s="599">
        <v>0</v>
      </c>
      <c r="M187" s="598"/>
    </row>
    <row r="188" spans="1:13" hidden="1" x14ac:dyDescent="0.25">
      <c r="A188" s="604" t="s">
        <v>375</v>
      </c>
      <c r="B188" s="650">
        <f>Nøgletal!D558</f>
        <v>0</v>
      </c>
      <c r="C188" s="650">
        <f>Nøgletal!F558</f>
        <v>0</v>
      </c>
      <c r="D188" s="650">
        <f>Nøgletal!H558</f>
        <v>0</v>
      </c>
      <c r="E188" s="650">
        <f>Nøgletal!J558</f>
        <v>0</v>
      </c>
      <c r="F188" s="708">
        <f>Nøgletal!L558</f>
        <v>0</v>
      </c>
      <c r="G188" s="650">
        <f>Nøgletal!N558</f>
        <v>0</v>
      </c>
      <c r="H188" s="650">
        <f>Nøgletal!P558</f>
        <v>0</v>
      </c>
      <c r="I188" s="650">
        <f>Nøgletal!R558</f>
        <v>0</v>
      </c>
      <c r="J188" s="599">
        <v>0</v>
      </c>
      <c r="K188" s="598"/>
      <c r="L188" s="599">
        <v>0</v>
      </c>
      <c r="M188" s="598"/>
    </row>
    <row r="189" spans="1:13" hidden="1" x14ac:dyDescent="0.25">
      <c r="A189" s="604" t="s">
        <v>23</v>
      </c>
      <c r="B189" s="650">
        <f>Nøgletal!D559</f>
        <v>0</v>
      </c>
      <c r="C189" s="650">
        <f>Nøgletal!F559</f>
        <v>0</v>
      </c>
      <c r="D189" s="650">
        <f>Nøgletal!H559</f>
        <v>0</v>
      </c>
      <c r="E189" s="650">
        <f>Nøgletal!J559</f>
        <v>0</v>
      </c>
      <c r="F189" s="708">
        <f>Nøgletal!L559</f>
        <v>0</v>
      </c>
      <c r="G189" s="650">
        <f>Nøgletal!N559</f>
        <v>0</v>
      </c>
      <c r="H189" s="650">
        <f>Nøgletal!P559</f>
        <v>0</v>
      </c>
      <c r="I189" s="650">
        <f>Nøgletal!R559</f>
        <v>0</v>
      </c>
      <c r="J189" s="599">
        <v>0</v>
      </c>
      <c r="K189" s="598"/>
      <c r="L189" s="599">
        <v>0.85</v>
      </c>
      <c r="M189" s="598"/>
    </row>
    <row r="190" spans="1:13" hidden="1" x14ac:dyDescent="0.25">
      <c r="A190" s="604" t="s">
        <v>26</v>
      </c>
      <c r="B190" s="650">
        <f>Nøgletal!D560</f>
        <v>0</v>
      </c>
      <c r="C190" s="650">
        <f>Nøgletal!F560</f>
        <v>0</v>
      </c>
      <c r="D190" s="650">
        <f>Nøgletal!H560</f>
        <v>0</v>
      </c>
      <c r="E190" s="650">
        <f>Nøgletal!J560</f>
        <v>0</v>
      </c>
      <c r="F190" s="708">
        <f>Nøgletal!L560</f>
        <v>0</v>
      </c>
      <c r="G190" s="650">
        <f>Nøgletal!N560</f>
        <v>0</v>
      </c>
      <c r="H190" s="650">
        <f>Nøgletal!P560</f>
        <v>0</v>
      </c>
      <c r="I190" s="650">
        <f>Nøgletal!R560</f>
        <v>0</v>
      </c>
      <c r="J190" s="599">
        <v>0</v>
      </c>
      <c r="K190" s="598"/>
      <c r="L190" s="599">
        <v>0</v>
      </c>
      <c r="M190" s="598"/>
    </row>
    <row r="191" spans="1:13" hidden="1" x14ac:dyDescent="0.25">
      <c r="A191" s="629" t="s">
        <v>418</v>
      </c>
      <c r="B191" s="706"/>
      <c r="C191" s="706"/>
      <c r="D191" s="706"/>
      <c r="E191" s="706"/>
      <c r="F191" s="709"/>
      <c r="G191" s="706"/>
      <c r="H191" s="706"/>
      <c r="I191" s="706"/>
      <c r="J191" s="690"/>
      <c r="K191" s="690"/>
      <c r="L191" s="690"/>
      <c r="M191" s="690"/>
    </row>
    <row r="192" spans="1:13" hidden="1" x14ac:dyDescent="0.25">
      <c r="A192" s="629" t="s">
        <v>419</v>
      </c>
      <c r="B192" s="706"/>
      <c r="C192" s="706"/>
      <c r="D192" s="706"/>
      <c r="E192" s="706"/>
      <c r="F192" s="709"/>
      <c r="G192" s="706"/>
      <c r="H192" s="706"/>
      <c r="I192" s="706"/>
      <c r="J192" s="690"/>
      <c r="K192" s="690"/>
      <c r="L192" s="690"/>
      <c r="M192" s="690"/>
    </row>
    <row r="193" spans="1:13" hidden="1" x14ac:dyDescent="0.25">
      <c r="A193" s="629" t="s">
        <v>420</v>
      </c>
      <c r="B193" s="706"/>
      <c r="C193" s="706"/>
      <c r="D193" s="706"/>
      <c r="E193" s="706"/>
      <c r="F193" s="709"/>
      <c r="G193" s="706"/>
      <c r="H193" s="706"/>
      <c r="I193" s="706"/>
      <c r="J193" s="690"/>
      <c r="K193" s="690"/>
      <c r="L193" s="690"/>
      <c r="M193" s="690"/>
    </row>
    <row r="194" spans="1:13" hidden="1" x14ac:dyDescent="0.25">
      <c r="A194" s="629" t="s">
        <v>422</v>
      </c>
      <c r="B194" s="706"/>
      <c r="C194" s="706"/>
      <c r="D194" s="706"/>
      <c r="E194" s="706"/>
      <c r="F194" s="709"/>
      <c r="G194" s="706"/>
      <c r="H194" s="706"/>
      <c r="I194" s="706"/>
      <c r="J194" s="690"/>
      <c r="K194" s="690"/>
      <c r="L194" s="690"/>
      <c r="M194" s="690"/>
    </row>
    <row r="195" spans="1:13" x14ac:dyDescent="0.25">
      <c r="A195" s="629" t="s">
        <v>423</v>
      </c>
      <c r="B195" s="706"/>
      <c r="C195" s="706"/>
      <c r="D195" s="706"/>
      <c r="E195" s="706"/>
      <c r="F195" s="709"/>
      <c r="G195" s="706"/>
      <c r="H195" s="706"/>
      <c r="I195" s="706"/>
      <c r="J195" s="690"/>
      <c r="K195" s="690"/>
      <c r="L195" s="690"/>
      <c r="M195" s="690"/>
    </row>
    <row r="196" spans="1:13" x14ac:dyDescent="0.25">
      <c r="A196" s="604" t="s">
        <v>424</v>
      </c>
      <c r="B196" s="650">
        <f>Nøgletal!D566</f>
        <v>0</v>
      </c>
      <c r="C196" s="650">
        <f>Nøgletal!F566</f>
        <v>2.6839778409085345E-6</v>
      </c>
      <c r="D196" s="650">
        <f>Nøgletal!H566</f>
        <v>0</v>
      </c>
      <c r="E196" s="650">
        <f>Nøgletal!J566</f>
        <v>0</v>
      </c>
      <c r="F196" s="708">
        <f>Nøgletal!L566</f>
        <v>0</v>
      </c>
      <c r="G196" s="650">
        <f>Nøgletal!N566</f>
        <v>0</v>
      </c>
      <c r="H196" s="650">
        <f>Nøgletal!P566</f>
        <v>0</v>
      </c>
      <c r="I196" s="650">
        <f>Nøgletal!R566</f>
        <v>0</v>
      </c>
      <c r="J196" s="599">
        <v>0</v>
      </c>
      <c r="K196" s="598"/>
      <c r="L196" s="599">
        <v>0</v>
      </c>
      <c r="M196" s="598"/>
    </row>
    <row r="197" spans="1:13" x14ac:dyDescent="0.25">
      <c r="A197" s="604" t="s">
        <v>1</v>
      </c>
      <c r="B197" s="650">
        <f>Nøgletal!D567</f>
        <v>0</v>
      </c>
      <c r="C197" s="650">
        <f>Nøgletal!F567</f>
        <v>0</v>
      </c>
      <c r="D197" s="650">
        <f>Nøgletal!H567</f>
        <v>0</v>
      </c>
      <c r="E197" s="650">
        <f>Nøgletal!J567</f>
        <v>0</v>
      </c>
      <c r="F197" s="708">
        <f>Nøgletal!L567</f>
        <v>0</v>
      </c>
      <c r="G197" s="650">
        <f>Nøgletal!N567</f>
        <v>0</v>
      </c>
      <c r="H197" s="650">
        <f>Nøgletal!P567</f>
        <v>0</v>
      </c>
      <c r="I197" s="650">
        <f>Nøgletal!R567</f>
        <v>0</v>
      </c>
      <c r="J197" s="599">
        <v>0</v>
      </c>
      <c r="K197" s="598"/>
      <c r="L197" s="599">
        <v>0</v>
      </c>
      <c r="M197" s="598"/>
    </row>
    <row r="198" spans="1:13" x14ac:dyDescent="0.25">
      <c r="A198" s="604" t="s">
        <v>7</v>
      </c>
      <c r="B198" s="650">
        <f>Nøgletal!D568</f>
        <v>0</v>
      </c>
      <c r="C198" s="650">
        <f>Nøgletal!F568</f>
        <v>0</v>
      </c>
      <c r="D198" s="650">
        <f>Nøgletal!H568</f>
        <v>0</v>
      </c>
      <c r="E198" s="650">
        <f>Nøgletal!J568</f>
        <v>0</v>
      </c>
      <c r="F198" s="708">
        <f>Nøgletal!L568</f>
        <v>0</v>
      </c>
      <c r="G198" s="650">
        <f>Nøgletal!N568</f>
        <v>0</v>
      </c>
      <c r="H198" s="650">
        <f>Nøgletal!P568</f>
        <v>0</v>
      </c>
      <c r="I198" s="650">
        <f>Nøgletal!R568</f>
        <v>0</v>
      </c>
      <c r="J198" s="599">
        <v>0</v>
      </c>
      <c r="K198" s="598"/>
      <c r="L198" s="599">
        <v>0</v>
      </c>
      <c r="M198" s="598"/>
    </row>
    <row r="199" spans="1:13" x14ac:dyDescent="0.25">
      <c r="A199" s="604" t="s">
        <v>8</v>
      </c>
      <c r="B199" s="650">
        <f>Nøgletal!D569</f>
        <v>1.9917577725882988E-2</v>
      </c>
      <c r="C199" s="650">
        <f>Nøgletal!F569</f>
        <v>2.7143962564388308E-2</v>
      </c>
      <c r="D199" s="650">
        <f>Nøgletal!H569</f>
        <v>9.1376333712051477E-2</v>
      </c>
      <c r="E199" s="650">
        <f>Nøgletal!J569</f>
        <v>1.3387831814806116E-2</v>
      </c>
      <c r="F199" s="708">
        <f>Nøgletal!L569</f>
        <v>1.3586583306691841E-2</v>
      </c>
      <c r="G199" s="650">
        <f>Nøgletal!N569</f>
        <v>2.6983377449543737E-3</v>
      </c>
      <c r="H199" s="650">
        <f>Nøgletal!P569</f>
        <v>5.5216414130565918E-4</v>
      </c>
      <c r="I199" s="650">
        <f>Nøgletal!R569</f>
        <v>5.5216414130565918E-4</v>
      </c>
      <c r="J199" s="599">
        <v>5.5201177625122664E-4</v>
      </c>
      <c r="K199" s="598"/>
      <c r="L199" s="599">
        <v>5.5201177625122664E-4</v>
      </c>
      <c r="M199" s="598"/>
    </row>
    <row r="200" spans="1:13" x14ac:dyDescent="0.25">
      <c r="A200" s="604" t="s">
        <v>9</v>
      </c>
      <c r="B200" s="650">
        <f>Nøgletal!D570</f>
        <v>0</v>
      </c>
      <c r="C200" s="650">
        <f>Nøgletal!F570</f>
        <v>0</v>
      </c>
      <c r="D200" s="650">
        <f>Nøgletal!H570</f>
        <v>0</v>
      </c>
      <c r="E200" s="650">
        <f>Nøgletal!J570</f>
        <v>0</v>
      </c>
      <c r="F200" s="708">
        <f>Nøgletal!L570</f>
        <v>0</v>
      </c>
      <c r="G200" s="650">
        <f>Nøgletal!N570</f>
        <v>0</v>
      </c>
      <c r="H200" s="650">
        <f>Nøgletal!P570</f>
        <v>0</v>
      </c>
      <c r="I200" s="650">
        <f>Nøgletal!R570</f>
        <v>0</v>
      </c>
      <c r="J200" s="599">
        <v>0</v>
      </c>
      <c r="K200" s="598"/>
      <c r="L200" s="599">
        <v>0</v>
      </c>
      <c r="M200" s="598"/>
    </row>
    <row r="201" spans="1:13" x14ac:dyDescent="0.25">
      <c r="A201" s="604" t="s">
        <v>11</v>
      </c>
      <c r="B201" s="650">
        <f>Nøgletal!D571</f>
        <v>0</v>
      </c>
      <c r="C201" s="650">
        <f>Nøgletal!F571</f>
        <v>0</v>
      </c>
      <c r="D201" s="650">
        <f>Nøgletal!H571</f>
        <v>0</v>
      </c>
      <c r="E201" s="650">
        <f>Nøgletal!J571</f>
        <v>0</v>
      </c>
      <c r="F201" s="708">
        <f>Nøgletal!L571</f>
        <v>0</v>
      </c>
      <c r="G201" s="650">
        <f>Nøgletal!N571</f>
        <v>0</v>
      </c>
      <c r="H201" s="650">
        <f>Nøgletal!P571</f>
        <v>0</v>
      </c>
      <c r="I201" s="650">
        <f>Nøgletal!R571</f>
        <v>0</v>
      </c>
      <c r="J201" s="599">
        <v>0</v>
      </c>
      <c r="K201" s="598"/>
      <c r="L201" s="599">
        <v>0</v>
      </c>
      <c r="M201" s="598"/>
    </row>
    <row r="202" spans="1:13" x14ac:dyDescent="0.25">
      <c r="A202" s="604" t="s">
        <v>3</v>
      </c>
      <c r="B202" s="650">
        <f>Nøgletal!D572</f>
        <v>0.92353957093539796</v>
      </c>
      <c r="C202" s="650">
        <f>Nøgletal!F572</f>
        <v>0.85205645743128078</v>
      </c>
      <c r="D202" s="650">
        <f>Nøgletal!H572</f>
        <v>0.79340395686421361</v>
      </c>
      <c r="E202" s="650">
        <f>Nøgletal!J572</f>
        <v>0.83506934972593028</v>
      </c>
      <c r="F202" s="708">
        <f>Nøgletal!L572</f>
        <v>0.80790080824705135</v>
      </c>
      <c r="G202" s="650">
        <f>Nøgletal!N572</f>
        <v>0.77264020460501603</v>
      </c>
      <c r="H202" s="650">
        <f>Nøgletal!P572</f>
        <v>0.57878840807721088</v>
      </c>
      <c r="I202" s="650">
        <f>Nøgletal!R572</f>
        <v>0.57878840807721088</v>
      </c>
      <c r="J202" s="599">
        <v>0.57999999999999996</v>
      </c>
      <c r="K202" s="598"/>
      <c r="L202" s="599">
        <v>0.66145322211318291</v>
      </c>
      <c r="M202" s="598"/>
    </row>
    <row r="203" spans="1:13" x14ac:dyDescent="0.25">
      <c r="A203" s="604" t="s">
        <v>413</v>
      </c>
      <c r="B203" s="650">
        <f>Nøgletal!D573</f>
        <v>0</v>
      </c>
      <c r="C203" s="650">
        <f>Nøgletal!F573</f>
        <v>0</v>
      </c>
      <c r="D203" s="650">
        <f>Nøgletal!H573</f>
        <v>0</v>
      </c>
      <c r="E203" s="650">
        <f>Nøgletal!J573</f>
        <v>0</v>
      </c>
      <c r="F203" s="708">
        <f>Nøgletal!L573</f>
        <v>0</v>
      </c>
      <c r="G203" s="650">
        <f>Nøgletal!N573</f>
        <v>0</v>
      </c>
      <c r="H203" s="650">
        <f>Nøgletal!P573</f>
        <v>0</v>
      </c>
      <c r="I203" s="650">
        <f>Nøgletal!R573</f>
        <v>0</v>
      </c>
      <c r="J203" s="599">
        <v>0</v>
      </c>
      <c r="K203" s="598"/>
      <c r="L203" s="599">
        <v>0</v>
      </c>
      <c r="M203" s="598"/>
    </row>
    <row r="204" spans="1:13" x14ac:dyDescent="0.25">
      <c r="A204" s="604" t="s">
        <v>421</v>
      </c>
      <c r="B204" s="650">
        <f>Nøgletal!D574</f>
        <v>0</v>
      </c>
      <c r="C204" s="650">
        <f>Nøgletal!F574</f>
        <v>0</v>
      </c>
      <c r="D204" s="650">
        <f>Nøgletal!H574</f>
        <v>0</v>
      </c>
      <c r="E204" s="650">
        <f>Nøgletal!J574</f>
        <v>0</v>
      </c>
      <c r="F204" s="708">
        <f>Nøgletal!L574</f>
        <v>0</v>
      </c>
      <c r="G204" s="650">
        <f>Nøgletal!N574</f>
        <v>0</v>
      </c>
      <c r="H204" s="650">
        <f>Nøgletal!P574</f>
        <v>0</v>
      </c>
      <c r="I204" s="650">
        <f>Nøgletal!R574</f>
        <v>0</v>
      </c>
      <c r="J204" s="599">
        <v>0</v>
      </c>
      <c r="K204" s="598"/>
      <c r="L204" s="599">
        <v>0</v>
      </c>
      <c r="M204" s="598"/>
    </row>
    <row r="205" spans="1:13" x14ac:dyDescent="0.25">
      <c r="A205" s="604" t="s">
        <v>372</v>
      </c>
      <c r="B205" s="650">
        <f>Nøgletal!D575</f>
        <v>0</v>
      </c>
      <c r="C205" s="650">
        <f>Nøgletal!F575</f>
        <v>0</v>
      </c>
      <c r="D205" s="650">
        <f>Nøgletal!H575</f>
        <v>0</v>
      </c>
      <c r="E205" s="650">
        <f>Nøgletal!J575</f>
        <v>0</v>
      </c>
      <c r="F205" s="708">
        <f>Nøgletal!L575</f>
        <v>0</v>
      </c>
      <c r="G205" s="650">
        <f>Nøgletal!N575</f>
        <v>0</v>
      </c>
      <c r="H205" s="650">
        <f>Nøgletal!P575</f>
        <v>0</v>
      </c>
      <c r="I205" s="650">
        <f>Nøgletal!R575</f>
        <v>0</v>
      </c>
      <c r="J205" s="599">
        <v>0</v>
      </c>
      <c r="K205" s="598"/>
      <c r="L205" s="599">
        <v>0</v>
      </c>
      <c r="M205" s="598"/>
    </row>
    <row r="206" spans="1:13" x14ac:dyDescent="0.25">
      <c r="A206" s="604" t="s">
        <v>373</v>
      </c>
      <c r="B206" s="650">
        <f>Nøgletal!D576</f>
        <v>0</v>
      </c>
      <c r="C206" s="650">
        <f>Nøgletal!F576</f>
        <v>0</v>
      </c>
      <c r="D206" s="650">
        <f>Nøgletal!H576</f>
        <v>0</v>
      </c>
      <c r="E206" s="650">
        <f>Nøgletal!J576</f>
        <v>0</v>
      </c>
      <c r="F206" s="708">
        <f>Nøgletal!L576</f>
        <v>0</v>
      </c>
      <c r="G206" s="650">
        <f>Nøgletal!N576</f>
        <v>0</v>
      </c>
      <c r="H206" s="650">
        <f>Nøgletal!P576</f>
        <v>0</v>
      </c>
      <c r="I206" s="650">
        <f>Nøgletal!R576</f>
        <v>0</v>
      </c>
      <c r="J206" s="599">
        <v>0</v>
      </c>
      <c r="K206" s="598"/>
      <c r="L206" s="599">
        <v>0</v>
      </c>
      <c r="M206" s="598"/>
    </row>
    <row r="207" spans="1:13" x14ac:dyDescent="0.25">
      <c r="A207" s="604" t="s">
        <v>374</v>
      </c>
      <c r="B207" s="650">
        <f>Nøgletal!D577</f>
        <v>0</v>
      </c>
      <c r="C207" s="650">
        <f>Nøgletal!F577</f>
        <v>0</v>
      </c>
      <c r="D207" s="650">
        <f>Nøgletal!H577</f>
        <v>0</v>
      </c>
      <c r="E207" s="650">
        <f>Nøgletal!J577</f>
        <v>0</v>
      </c>
      <c r="F207" s="708">
        <f>Nøgletal!L577</f>
        <v>0</v>
      </c>
      <c r="G207" s="650">
        <f>Nøgletal!N577</f>
        <v>0</v>
      </c>
      <c r="H207" s="650">
        <f>Nøgletal!P577</f>
        <v>0</v>
      </c>
      <c r="I207" s="650">
        <f>Nøgletal!R577</f>
        <v>0</v>
      </c>
      <c r="J207" s="599">
        <v>0</v>
      </c>
      <c r="K207" s="598"/>
      <c r="L207" s="599">
        <v>0</v>
      </c>
      <c r="M207" s="598"/>
    </row>
    <row r="208" spans="1:13" x14ac:dyDescent="0.25">
      <c r="A208" s="604" t="s">
        <v>21</v>
      </c>
      <c r="B208" s="650">
        <f>Nøgletal!D578</f>
        <v>0</v>
      </c>
      <c r="C208" s="650">
        <f>Nøgletal!F578</f>
        <v>0</v>
      </c>
      <c r="D208" s="650">
        <f>Nøgletal!H578</f>
        <v>0</v>
      </c>
      <c r="E208" s="650">
        <f>Nøgletal!J578</f>
        <v>7.4376843415589527E-4</v>
      </c>
      <c r="F208" s="708">
        <f>Nøgletal!L578</f>
        <v>8.4916145666824009E-4</v>
      </c>
      <c r="G208" s="650">
        <f>Nøgletal!N578</f>
        <v>0</v>
      </c>
      <c r="H208" s="650">
        <f>Nøgletal!P578</f>
        <v>0</v>
      </c>
      <c r="I208" s="650">
        <f>Nøgletal!R578</f>
        <v>0</v>
      </c>
      <c r="J208" s="599">
        <v>0</v>
      </c>
      <c r="K208" s="598"/>
      <c r="L208" s="599">
        <v>0</v>
      </c>
      <c r="M208" s="598"/>
    </row>
    <row r="209" spans="1:13" x14ac:dyDescent="0.25">
      <c r="A209" s="604" t="s">
        <v>375</v>
      </c>
      <c r="B209" s="650">
        <f>Nøgletal!D579</f>
        <v>0</v>
      </c>
      <c r="C209" s="650">
        <f>Nøgletal!F579</f>
        <v>4.2048986174233707E-4</v>
      </c>
      <c r="D209" s="650">
        <f>Nøgletal!H579</f>
        <v>1.3003890853004463E-3</v>
      </c>
      <c r="E209" s="650">
        <f>Nøgletal!J579</f>
        <v>7.3447132872894666E-3</v>
      </c>
      <c r="F209" s="708">
        <f>Nøgletal!L579</f>
        <v>6.132832742603957E-3</v>
      </c>
      <c r="G209" s="650">
        <f>Nøgletal!N579</f>
        <v>4.0424535504934438E-4</v>
      </c>
      <c r="H209" s="650">
        <f>Nøgletal!P579</f>
        <v>0.25723929247876037</v>
      </c>
      <c r="I209" s="650">
        <f>Nøgletal!R579</f>
        <v>0.25723929247876037</v>
      </c>
      <c r="J209" s="599">
        <v>0.26</v>
      </c>
      <c r="K209" s="598"/>
      <c r="L209" s="599">
        <v>0.17461972522080471</v>
      </c>
      <c r="M209" s="598"/>
    </row>
    <row r="210" spans="1:13" x14ac:dyDescent="0.25">
      <c r="A210" s="604" t="s">
        <v>23</v>
      </c>
      <c r="B210" s="650">
        <f>Nøgletal!D580</f>
        <v>9.7392173299516056E-3</v>
      </c>
      <c r="C210" s="650">
        <f>Nøgletal!F580</f>
        <v>7.8730016666650352E-4</v>
      </c>
      <c r="D210" s="650">
        <f>Nøgletal!H580</f>
        <v>8.5528946549962232E-4</v>
      </c>
      <c r="E210" s="650">
        <f>Nøgletal!J580</f>
        <v>1.5526166063004316E-2</v>
      </c>
      <c r="F210" s="708">
        <f>Nøgletal!L580</f>
        <v>5.0100525943426163E-2</v>
      </c>
      <c r="G210" s="650">
        <f>Nøgletal!N580</f>
        <v>6.1811216368401277E-2</v>
      </c>
      <c r="H210" s="650">
        <f>Nøgletal!P580</f>
        <v>4.3866373448171805E-3</v>
      </c>
      <c r="I210" s="650">
        <f>Nøgletal!R580</f>
        <v>4.3866373448171805E-3</v>
      </c>
      <c r="J210" s="644">
        <f>IF(J48&gt;0,1-J196-J197-J198-J199-J200-J201-J202-J203-J204-J205-J206-J207-J208-J209-J211-J212-J213-J214,0)</f>
        <v>4.5837422309463749E-4</v>
      </c>
      <c r="K210" s="650"/>
      <c r="L210" s="644">
        <f>IF(L48&gt;0,1-L196-L197-L198-L199-L200-L201-L202-L203-L204-L205-L206-L207-L208-L209-L211-L212-L213-L214,0)</f>
        <v>4.3854268891069803E-3</v>
      </c>
      <c r="M210" s="598"/>
    </row>
    <row r="211" spans="1:13" x14ac:dyDescent="0.25">
      <c r="A211" s="604" t="s">
        <v>388</v>
      </c>
      <c r="B211" s="650">
        <f>Nøgletal!D581</f>
        <v>0</v>
      </c>
      <c r="C211" s="650">
        <f>Nøgletal!F581</f>
        <v>0</v>
      </c>
      <c r="D211" s="650">
        <f>Nøgletal!H581</f>
        <v>0</v>
      </c>
      <c r="E211" s="650">
        <f>Nøgletal!J581</f>
        <v>0</v>
      </c>
      <c r="F211" s="708">
        <f>Nøgletal!L581</f>
        <v>0</v>
      </c>
      <c r="G211" s="650">
        <f>Nøgletal!N581</f>
        <v>0</v>
      </c>
      <c r="H211" s="650">
        <f>Nøgletal!P581</f>
        <v>0</v>
      </c>
      <c r="I211" s="650">
        <f>Nøgletal!R581</f>
        <v>0</v>
      </c>
      <c r="J211" s="599">
        <v>0</v>
      </c>
      <c r="K211" s="598"/>
      <c r="L211" s="599">
        <v>0</v>
      </c>
      <c r="M211" s="598"/>
    </row>
    <row r="212" spans="1:13" x14ac:dyDescent="0.25">
      <c r="A212" s="604" t="s">
        <v>389</v>
      </c>
      <c r="B212" s="650">
        <f>Nøgletal!D582</f>
        <v>4.5965592652843737E-2</v>
      </c>
      <c r="C212" s="650">
        <f>Nøgletal!F582</f>
        <v>6.4302741112486669E-2</v>
      </c>
      <c r="D212" s="650">
        <f>Nøgletal!H582</f>
        <v>6.0740388704466554E-2</v>
      </c>
      <c r="E212" s="650">
        <f>Nøgletal!J582</f>
        <v>6.9900287152513743E-2</v>
      </c>
      <c r="F212" s="708">
        <f>Nøgletal!L582</f>
        <v>6.5644898164103113E-2</v>
      </c>
      <c r="G212" s="650">
        <f>Nøgletal!N582</f>
        <v>8.6877379867042234E-2</v>
      </c>
      <c r="H212" s="650">
        <f>Nøgletal!P582</f>
        <v>8.5050149443166953E-2</v>
      </c>
      <c r="I212" s="650">
        <f>Nøgletal!R582</f>
        <v>8.5050149443166953E-2</v>
      </c>
      <c r="J212" s="599">
        <v>8.5026680569185456E-2</v>
      </c>
      <c r="K212" s="598"/>
      <c r="L212" s="599">
        <v>8.5026680569185456E-2</v>
      </c>
      <c r="M212" s="598"/>
    </row>
    <row r="213" spans="1:13" x14ac:dyDescent="0.25">
      <c r="A213" s="604" t="s">
        <v>26</v>
      </c>
      <c r="B213" s="650">
        <f>Nøgletal!D583</f>
        <v>3.0154490530611678E-3</v>
      </c>
      <c r="C213" s="650">
        <f>Nøgletal!F583</f>
        <v>2.6750312481055058E-3</v>
      </c>
      <c r="D213" s="650">
        <f>Nøgletal!H583</f>
        <v>2.6269605011774114E-3</v>
      </c>
      <c r="E213" s="650">
        <f>Nøgletal!J583</f>
        <v>8.3673948842538225E-4</v>
      </c>
      <c r="F213" s="708">
        <f>Nøgletal!L583</f>
        <v>2.0757280051890313E-3</v>
      </c>
      <c r="G213" s="650">
        <f>Nøgletal!N583</f>
        <v>4.4871234410477226E-3</v>
      </c>
      <c r="H213" s="650">
        <f>Nøgletal!P583</f>
        <v>4.3968626066932118E-3</v>
      </c>
      <c r="I213" s="650">
        <f>Nøgletal!R583</f>
        <v>4.3968626066932118E-3</v>
      </c>
      <c r="J213" s="599">
        <v>4.3956493294079156E-3</v>
      </c>
      <c r="K213" s="598"/>
      <c r="L213" s="599">
        <v>4.3956493294079156E-3</v>
      </c>
      <c r="M213" s="598"/>
    </row>
    <row r="214" spans="1:13" x14ac:dyDescent="0.25">
      <c r="A214" s="604" t="s">
        <v>425</v>
      </c>
      <c r="B214" s="650">
        <f>Nøgletal!D584</f>
        <v>3.7608212170508505E-2</v>
      </c>
      <c r="C214" s="650">
        <f>Nøgletal!F584</f>
        <v>5.2611333637489086E-2</v>
      </c>
      <c r="D214" s="650">
        <f>Nøgletal!H584</f>
        <v>4.9696681667290812E-2</v>
      </c>
      <c r="E214" s="650">
        <f>Nøgletal!J584</f>
        <v>5.7191144033874874E-2</v>
      </c>
      <c r="F214" s="708">
        <f>Nøgletal!L584</f>
        <v>5.3709462134266188E-2</v>
      </c>
      <c r="G214" s="650">
        <f>Nøgletal!N584</f>
        <v>7.1081492618489089E-2</v>
      </c>
      <c r="H214" s="650">
        <f>Nøgletal!P584</f>
        <v>6.9586485908045684E-2</v>
      </c>
      <c r="I214" s="650">
        <f>Nøgletal!R584</f>
        <v>6.9586485908045684E-2</v>
      </c>
      <c r="J214" s="599">
        <v>6.9567284102060825E-2</v>
      </c>
      <c r="K214" s="692"/>
      <c r="L214" s="599">
        <v>6.9567284102060825E-2</v>
      </c>
      <c r="M214" s="692"/>
    </row>
    <row r="215" spans="1:13" hidden="1" x14ac:dyDescent="0.25">
      <c r="A215" s="629" t="s">
        <v>426</v>
      </c>
      <c r="B215" s="706"/>
      <c r="C215" s="706"/>
      <c r="D215" s="706"/>
      <c r="E215" s="706"/>
      <c r="F215" s="709"/>
      <c r="G215" s="706"/>
      <c r="H215" s="706"/>
      <c r="I215" s="706"/>
      <c r="J215" s="690"/>
      <c r="K215" s="690"/>
      <c r="L215" s="690"/>
      <c r="M215" s="690"/>
    </row>
    <row r="216" spans="1:13" hidden="1" x14ac:dyDescent="0.25">
      <c r="A216" s="604" t="s">
        <v>1</v>
      </c>
      <c r="B216" s="650">
        <f>Nøgletal!D586</f>
        <v>0</v>
      </c>
      <c r="C216" s="650">
        <f>Nøgletal!F586</f>
        <v>0</v>
      </c>
      <c r="D216" s="650">
        <f>Nøgletal!H586</f>
        <v>0</v>
      </c>
      <c r="E216" s="650">
        <f>Nøgletal!J586</f>
        <v>0</v>
      </c>
      <c r="F216" s="708">
        <f>Nøgletal!L586</f>
        <v>0</v>
      </c>
      <c r="G216" s="650">
        <f>Nøgletal!N586</f>
        <v>0</v>
      </c>
      <c r="H216" s="650">
        <f>Nøgletal!P586</f>
        <v>0</v>
      </c>
      <c r="I216" s="650">
        <f>Nøgletal!R586</f>
        <v>0</v>
      </c>
      <c r="J216" s="599">
        <v>0</v>
      </c>
      <c r="K216" s="598"/>
      <c r="L216" s="599">
        <v>0</v>
      </c>
      <c r="M216" s="598"/>
    </row>
    <row r="217" spans="1:13" hidden="1" x14ac:dyDescent="0.25">
      <c r="A217" s="604" t="s">
        <v>7</v>
      </c>
      <c r="B217" s="650">
        <f>Nøgletal!D587</f>
        <v>0</v>
      </c>
      <c r="C217" s="650">
        <f>Nøgletal!F587</f>
        <v>0</v>
      </c>
      <c r="D217" s="650">
        <f>Nøgletal!H587</f>
        <v>0</v>
      </c>
      <c r="E217" s="650">
        <f>Nøgletal!J587</f>
        <v>0</v>
      </c>
      <c r="F217" s="708">
        <f>Nøgletal!L587</f>
        <v>0</v>
      </c>
      <c r="G217" s="650">
        <f>Nøgletal!N587</f>
        <v>0</v>
      </c>
      <c r="H217" s="650">
        <f>Nøgletal!P587</f>
        <v>0</v>
      </c>
      <c r="I217" s="650">
        <f>Nøgletal!R587</f>
        <v>0</v>
      </c>
      <c r="J217" s="644">
        <f>IF(J51&gt;0,1-J218-J216-J219-J220-J221-J222-J223-J224,0)</f>
        <v>0</v>
      </c>
      <c r="K217" s="650"/>
      <c r="L217" s="644">
        <f>IF(L51&gt;0,1-L218-L216-L219-L220-L221-L222-L223-L224,0)</f>
        <v>0</v>
      </c>
      <c r="M217" s="598"/>
    </row>
    <row r="218" spans="1:13" hidden="1" x14ac:dyDescent="0.25">
      <c r="A218" s="604" t="s">
        <v>3</v>
      </c>
      <c r="B218" s="650">
        <f>Nøgletal!D588</f>
        <v>0</v>
      </c>
      <c r="C218" s="650">
        <f>Nøgletal!F588</f>
        <v>0</v>
      </c>
      <c r="D218" s="650">
        <f>Nøgletal!H588</f>
        <v>0</v>
      </c>
      <c r="E218" s="650">
        <f>Nøgletal!J588</f>
        <v>0</v>
      </c>
      <c r="F218" s="708">
        <f>Nøgletal!L588</f>
        <v>0</v>
      </c>
      <c r="G218" s="650">
        <f>Nøgletal!N588</f>
        <v>0</v>
      </c>
      <c r="H218" s="650">
        <f>Nøgletal!P588</f>
        <v>0</v>
      </c>
      <c r="I218" s="650">
        <f>Nøgletal!R588</f>
        <v>0</v>
      </c>
      <c r="J218" s="599">
        <v>0</v>
      </c>
      <c r="K218" s="598"/>
      <c r="L218" s="599">
        <v>0</v>
      </c>
      <c r="M218" s="598"/>
    </row>
    <row r="219" spans="1:13" hidden="1" x14ac:dyDescent="0.25">
      <c r="A219" s="604" t="s">
        <v>373</v>
      </c>
      <c r="B219" s="650">
        <f>Nøgletal!D589</f>
        <v>0</v>
      </c>
      <c r="C219" s="650">
        <f>Nøgletal!F589</f>
        <v>0</v>
      </c>
      <c r="D219" s="650">
        <f>Nøgletal!H589</f>
        <v>0</v>
      </c>
      <c r="E219" s="650">
        <f>Nøgletal!J589</f>
        <v>0</v>
      </c>
      <c r="F219" s="708">
        <f>Nøgletal!L589</f>
        <v>0</v>
      </c>
      <c r="G219" s="650">
        <f>Nøgletal!N589</f>
        <v>0</v>
      </c>
      <c r="H219" s="650">
        <f>Nøgletal!P589</f>
        <v>0</v>
      </c>
      <c r="I219" s="650">
        <f>Nøgletal!R589</f>
        <v>0</v>
      </c>
      <c r="J219" s="599">
        <v>0</v>
      </c>
      <c r="K219" s="598"/>
      <c r="L219" s="599">
        <v>0</v>
      </c>
      <c r="M219" s="598"/>
    </row>
    <row r="220" spans="1:13" hidden="1" x14ac:dyDescent="0.25">
      <c r="A220" s="604" t="s">
        <v>374</v>
      </c>
      <c r="B220" s="650">
        <f>Nøgletal!D590</f>
        <v>0</v>
      </c>
      <c r="C220" s="650">
        <f>Nøgletal!F590</f>
        <v>0</v>
      </c>
      <c r="D220" s="650">
        <f>Nøgletal!H590</f>
        <v>0</v>
      </c>
      <c r="E220" s="650">
        <f>Nøgletal!J590</f>
        <v>0</v>
      </c>
      <c r="F220" s="708">
        <f>Nøgletal!L590</f>
        <v>0</v>
      </c>
      <c r="G220" s="650">
        <f>Nøgletal!N590</f>
        <v>0</v>
      </c>
      <c r="H220" s="650">
        <f>Nøgletal!P590</f>
        <v>0</v>
      </c>
      <c r="I220" s="650">
        <f>Nøgletal!R590</f>
        <v>0</v>
      </c>
      <c r="J220" s="599">
        <v>0</v>
      </c>
      <c r="K220" s="598"/>
      <c r="L220" s="599">
        <v>0</v>
      </c>
      <c r="M220" s="598"/>
    </row>
    <row r="221" spans="1:13" hidden="1" x14ac:dyDescent="0.25">
      <c r="A221" s="604" t="s">
        <v>21</v>
      </c>
      <c r="B221" s="650">
        <f>Nøgletal!D591</f>
        <v>0</v>
      </c>
      <c r="C221" s="650">
        <f>Nøgletal!F591</f>
        <v>0</v>
      </c>
      <c r="D221" s="650">
        <f>Nøgletal!H591</f>
        <v>0</v>
      </c>
      <c r="E221" s="650">
        <f>Nøgletal!J591</f>
        <v>0</v>
      </c>
      <c r="F221" s="708">
        <f>Nøgletal!L591</f>
        <v>0</v>
      </c>
      <c r="G221" s="650">
        <f>Nøgletal!N591</f>
        <v>0</v>
      </c>
      <c r="H221" s="650">
        <f>Nøgletal!P591</f>
        <v>0</v>
      </c>
      <c r="I221" s="650">
        <f>Nøgletal!R591</f>
        <v>0</v>
      </c>
      <c r="J221" s="599">
        <v>0</v>
      </c>
      <c r="K221" s="598"/>
      <c r="L221" s="599">
        <v>0</v>
      </c>
      <c r="M221" s="598"/>
    </row>
    <row r="222" spans="1:13" hidden="1" x14ac:dyDescent="0.25">
      <c r="A222" s="604" t="s">
        <v>375</v>
      </c>
      <c r="B222" s="650">
        <f>Nøgletal!D592</f>
        <v>0</v>
      </c>
      <c r="C222" s="650">
        <f>Nøgletal!F592</f>
        <v>0</v>
      </c>
      <c r="D222" s="650">
        <f>Nøgletal!H592</f>
        <v>0</v>
      </c>
      <c r="E222" s="650">
        <f>Nøgletal!J592</f>
        <v>0</v>
      </c>
      <c r="F222" s="708">
        <f>Nøgletal!L592</f>
        <v>0</v>
      </c>
      <c r="G222" s="650">
        <f>Nøgletal!N592</f>
        <v>0</v>
      </c>
      <c r="H222" s="650">
        <f>Nøgletal!P592</f>
        <v>0</v>
      </c>
      <c r="I222" s="650">
        <f>Nøgletal!R592</f>
        <v>0</v>
      </c>
      <c r="J222" s="599">
        <v>0</v>
      </c>
      <c r="K222" s="598"/>
      <c r="L222" s="599">
        <v>0</v>
      </c>
      <c r="M222" s="598"/>
    </row>
    <row r="223" spans="1:13" hidden="1" x14ac:dyDescent="0.25">
      <c r="A223" s="604" t="s">
        <v>23</v>
      </c>
      <c r="B223" s="650">
        <f>Nøgletal!D593</f>
        <v>0</v>
      </c>
      <c r="C223" s="650">
        <f>Nøgletal!F593</f>
        <v>0</v>
      </c>
      <c r="D223" s="650">
        <f>Nøgletal!H593</f>
        <v>0</v>
      </c>
      <c r="E223" s="650">
        <f>Nøgletal!J593</f>
        <v>0</v>
      </c>
      <c r="F223" s="708">
        <f>Nøgletal!L593</f>
        <v>0</v>
      </c>
      <c r="G223" s="650">
        <f>Nøgletal!N593</f>
        <v>0</v>
      </c>
      <c r="H223" s="650">
        <f>Nøgletal!P593</f>
        <v>0</v>
      </c>
      <c r="I223" s="650">
        <f>Nøgletal!R593</f>
        <v>0</v>
      </c>
      <c r="J223" s="599">
        <v>0</v>
      </c>
      <c r="K223" s="598"/>
      <c r="L223" s="599">
        <v>0</v>
      </c>
      <c r="M223" s="598"/>
    </row>
    <row r="224" spans="1:13" hidden="1" x14ac:dyDescent="0.25">
      <c r="A224" s="604" t="s">
        <v>26</v>
      </c>
      <c r="B224" s="650">
        <f>Nøgletal!D594</f>
        <v>0</v>
      </c>
      <c r="C224" s="650">
        <f>Nøgletal!F594</f>
        <v>0</v>
      </c>
      <c r="D224" s="650">
        <f>Nøgletal!H594</f>
        <v>0</v>
      </c>
      <c r="E224" s="650">
        <f>Nøgletal!J594</f>
        <v>0</v>
      </c>
      <c r="F224" s="708">
        <f>Nøgletal!L594</f>
        <v>0</v>
      </c>
      <c r="G224" s="650">
        <f>Nøgletal!N594</f>
        <v>0</v>
      </c>
      <c r="H224" s="650">
        <f>Nøgletal!P594</f>
        <v>0</v>
      </c>
      <c r="I224" s="650">
        <f>Nøgletal!R594</f>
        <v>0</v>
      </c>
      <c r="J224" s="599">
        <v>0</v>
      </c>
      <c r="K224" s="598"/>
      <c r="L224" s="599">
        <v>0</v>
      </c>
      <c r="M224" s="598"/>
    </row>
    <row r="225" spans="1:13" ht="15.75" hidden="1" customHeight="1" x14ac:dyDescent="0.25">
      <c r="A225" s="629" t="s">
        <v>427</v>
      </c>
      <c r="B225" s="706"/>
      <c r="C225" s="706"/>
      <c r="D225" s="706"/>
      <c r="E225" s="706"/>
      <c r="F225" s="709"/>
      <c r="G225" s="706"/>
      <c r="H225" s="706"/>
      <c r="I225" s="706"/>
      <c r="J225" s="690"/>
      <c r="K225" s="690"/>
      <c r="L225" s="690"/>
      <c r="M225" s="690"/>
    </row>
    <row r="226" spans="1:13" hidden="1" x14ac:dyDescent="0.25">
      <c r="A226" s="604" t="s">
        <v>7</v>
      </c>
      <c r="B226" s="650">
        <f>Nøgletal!D596</f>
        <v>0</v>
      </c>
      <c r="C226" s="650">
        <f>Nøgletal!F596</f>
        <v>0</v>
      </c>
      <c r="D226" s="650">
        <f>Nøgletal!H596</f>
        <v>0</v>
      </c>
      <c r="E226" s="650">
        <f>Nøgletal!J596</f>
        <v>0</v>
      </c>
      <c r="F226" s="708">
        <f>Nøgletal!L596</f>
        <v>0</v>
      </c>
      <c r="G226" s="650">
        <f>Nøgletal!N596</f>
        <v>0</v>
      </c>
      <c r="H226" s="650">
        <f>Nøgletal!P596</f>
        <v>0</v>
      </c>
      <c r="I226" s="650">
        <f>Nøgletal!R596</f>
        <v>0</v>
      </c>
      <c r="J226" s="599">
        <v>0</v>
      </c>
      <c r="K226" s="598"/>
      <c r="L226" s="599">
        <v>0</v>
      </c>
      <c r="M226" s="598"/>
    </row>
    <row r="227" spans="1:13" hidden="1" x14ac:dyDescent="0.25">
      <c r="A227" s="604" t="s">
        <v>8</v>
      </c>
      <c r="B227" s="650">
        <f>Nøgletal!D597</f>
        <v>0</v>
      </c>
      <c r="C227" s="650">
        <f>Nøgletal!F597</f>
        <v>0</v>
      </c>
      <c r="D227" s="650">
        <f>Nøgletal!H597</f>
        <v>0</v>
      </c>
      <c r="E227" s="650">
        <f>Nøgletal!J597</f>
        <v>0</v>
      </c>
      <c r="F227" s="708">
        <f>Nøgletal!L597</f>
        <v>0</v>
      </c>
      <c r="G227" s="650">
        <f>Nøgletal!N597</f>
        <v>0</v>
      </c>
      <c r="H227" s="650">
        <f>Nøgletal!P597</f>
        <v>0</v>
      </c>
      <c r="I227" s="650">
        <f>Nøgletal!R597</f>
        <v>0</v>
      </c>
      <c r="J227" s="599">
        <v>0</v>
      </c>
      <c r="K227" s="598"/>
      <c r="L227" s="599">
        <v>0</v>
      </c>
      <c r="M227" s="598"/>
    </row>
    <row r="228" spans="1:13" hidden="1" x14ac:dyDescent="0.25">
      <c r="A228" s="604" t="s">
        <v>9</v>
      </c>
      <c r="B228" s="650">
        <f>Nøgletal!D598</f>
        <v>0</v>
      </c>
      <c r="C228" s="650">
        <f>Nøgletal!F598</f>
        <v>0</v>
      </c>
      <c r="D228" s="650">
        <f>Nøgletal!H598</f>
        <v>0</v>
      </c>
      <c r="E228" s="650">
        <f>Nøgletal!J598</f>
        <v>0</v>
      </c>
      <c r="F228" s="708">
        <f>Nøgletal!L598</f>
        <v>0</v>
      </c>
      <c r="G228" s="650">
        <f>Nøgletal!N598</f>
        <v>0</v>
      </c>
      <c r="H228" s="650">
        <f>Nøgletal!P598</f>
        <v>0</v>
      </c>
      <c r="I228" s="650">
        <f>Nøgletal!R598</f>
        <v>0</v>
      </c>
      <c r="J228" s="599">
        <v>0</v>
      </c>
      <c r="K228" s="598"/>
      <c r="L228" s="599">
        <v>0</v>
      </c>
      <c r="M228" s="598"/>
    </row>
    <row r="229" spans="1:13" hidden="1" x14ac:dyDescent="0.25">
      <c r="A229" s="604" t="s">
        <v>11</v>
      </c>
      <c r="B229" s="650">
        <f>Nøgletal!D599</f>
        <v>0</v>
      </c>
      <c r="C229" s="650">
        <f>Nøgletal!F599</f>
        <v>0</v>
      </c>
      <c r="D229" s="650">
        <f>Nøgletal!H599</f>
        <v>0</v>
      </c>
      <c r="E229" s="650">
        <f>Nøgletal!J599</f>
        <v>0</v>
      </c>
      <c r="F229" s="708">
        <f>Nøgletal!L599</f>
        <v>0</v>
      </c>
      <c r="G229" s="650">
        <f>Nøgletal!N599</f>
        <v>0</v>
      </c>
      <c r="H229" s="650">
        <f>Nøgletal!P599</f>
        <v>0</v>
      </c>
      <c r="I229" s="650">
        <f>Nøgletal!R599</f>
        <v>0</v>
      </c>
      <c r="J229" s="599">
        <v>0</v>
      </c>
      <c r="K229" s="598"/>
      <c r="L229" s="599">
        <v>0</v>
      </c>
      <c r="M229" s="598"/>
    </row>
    <row r="230" spans="1:13" hidden="1" x14ac:dyDescent="0.25">
      <c r="A230" s="604" t="s">
        <v>3</v>
      </c>
      <c r="B230" s="650">
        <f>Nøgletal!D600</f>
        <v>1</v>
      </c>
      <c r="C230" s="650">
        <f>Nøgletal!F600</f>
        <v>1</v>
      </c>
      <c r="D230" s="650">
        <f>Nøgletal!H600</f>
        <v>1</v>
      </c>
      <c r="E230" s="650">
        <f>Nøgletal!J600</f>
        <v>0</v>
      </c>
      <c r="F230" s="708">
        <f>Nøgletal!L600</f>
        <v>0</v>
      </c>
      <c r="G230" s="650">
        <f>Nøgletal!N600</f>
        <v>0</v>
      </c>
      <c r="H230" s="650">
        <f>Nøgletal!P600</f>
        <v>0</v>
      </c>
      <c r="I230" s="650">
        <f>Nøgletal!R600</f>
        <v>0</v>
      </c>
      <c r="J230" s="644">
        <f>IF(J52&gt;0,1-J231-J232-J233-J234-J235-J236-J226-J227-J228-J229,0)</f>
        <v>0</v>
      </c>
      <c r="K230" s="650"/>
      <c r="L230" s="644">
        <f>IF(L52&gt;0,1-L231-L232-L233-L234-L235-L236-L226-L227-L228-L229,0)</f>
        <v>0</v>
      </c>
      <c r="M230" s="598"/>
    </row>
    <row r="231" spans="1:13" hidden="1" x14ac:dyDescent="0.25">
      <c r="A231" s="604" t="s">
        <v>373</v>
      </c>
      <c r="B231" s="650">
        <f>Nøgletal!D601</f>
        <v>0</v>
      </c>
      <c r="C231" s="650">
        <f>Nøgletal!F601</f>
        <v>0</v>
      </c>
      <c r="D231" s="650">
        <f>Nøgletal!H601</f>
        <v>0</v>
      </c>
      <c r="E231" s="650">
        <f>Nøgletal!J601</f>
        <v>0</v>
      </c>
      <c r="F231" s="708">
        <f>Nøgletal!L601</f>
        <v>0</v>
      </c>
      <c r="G231" s="650">
        <f>Nøgletal!N601</f>
        <v>0</v>
      </c>
      <c r="H231" s="650">
        <f>Nøgletal!P601</f>
        <v>0</v>
      </c>
      <c r="I231" s="650">
        <f>Nøgletal!R601</f>
        <v>0</v>
      </c>
      <c r="J231" s="599">
        <v>0</v>
      </c>
      <c r="K231" s="598"/>
      <c r="L231" s="599">
        <v>0</v>
      </c>
      <c r="M231" s="598"/>
    </row>
    <row r="232" spans="1:13" hidden="1" x14ac:dyDescent="0.25">
      <c r="A232" s="604" t="s">
        <v>374</v>
      </c>
      <c r="B232" s="650">
        <f>Nøgletal!D602</f>
        <v>0</v>
      </c>
      <c r="C232" s="650">
        <f>Nøgletal!F602</f>
        <v>0</v>
      </c>
      <c r="D232" s="650">
        <f>Nøgletal!H602</f>
        <v>0</v>
      </c>
      <c r="E232" s="650">
        <f>Nøgletal!J602</f>
        <v>0</v>
      </c>
      <c r="F232" s="708">
        <f>Nøgletal!L602</f>
        <v>0</v>
      </c>
      <c r="G232" s="650">
        <f>Nøgletal!N602</f>
        <v>0</v>
      </c>
      <c r="H232" s="650">
        <f>Nøgletal!P602</f>
        <v>0</v>
      </c>
      <c r="I232" s="650">
        <f>Nøgletal!R602</f>
        <v>0</v>
      </c>
      <c r="J232" s="599">
        <v>0</v>
      </c>
      <c r="K232" s="598"/>
      <c r="L232" s="599">
        <v>0</v>
      </c>
      <c r="M232" s="598"/>
    </row>
    <row r="233" spans="1:13" hidden="1" x14ac:dyDescent="0.25">
      <c r="A233" s="604" t="s">
        <v>21</v>
      </c>
      <c r="B233" s="650">
        <f>Nøgletal!D603</f>
        <v>0</v>
      </c>
      <c r="C233" s="650">
        <f>Nøgletal!F603</f>
        <v>0</v>
      </c>
      <c r="D233" s="650">
        <f>Nøgletal!H603</f>
        <v>0</v>
      </c>
      <c r="E233" s="650">
        <f>Nøgletal!J603</f>
        <v>0</v>
      </c>
      <c r="F233" s="708">
        <f>Nøgletal!L603</f>
        <v>0</v>
      </c>
      <c r="G233" s="650">
        <f>Nøgletal!N603</f>
        <v>0</v>
      </c>
      <c r="H233" s="650">
        <f>Nøgletal!P603</f>
        <v>0</v>
      </c>
      <c r="I233" s="650">
        <f>Nøgletal!R603</f>
        <v>0</v>
      </c>
      <c r="J233" s="599">
        <v>0</v>
      </c>
      <c r="K233" s="598"/>
      <c r="L233" s="599">
        <v>0</v>
      </c>
      <c r="M233" s="598"/>
    </row>
    <row r="234" spans="1:13" hidden="1" x14ac:dyDescent="0.25">
      <c r="A234" s="604" t="s">
        <v>375</v>
      </c>
      <c r="B234" s="650">
        <f>Nøgletal!D604</f>
        <v>0</v>
      </c>
      <c r="C234" s="650">
        <f>Nøgletal!F604</f>
        <v>0</v>
      </c>
      <c r="D234" s="650">
        <f>Nøgletal!H604</f>
        <v>0</v>
      </c>
      <c r="E234" s="650">
        <f>Nøgletal!J604</f>
        <v>0</v>
      </c>
      <c r="F234" s="708">
        <f>Nøgletal!L604</f>
        <v>0</v>
      </c>
      <c r="G234" s="650">
        <f>Nøgletal!N604</f>
        <v>0</v>
      </c>
      <c r="H234" s="650">
        <f>Nøgletal!P604</f>
        <v>0</v>
      </c>
      <c r="I234" s="650">
        <f>Nøgletal!R604</f>
        <v>0</v>
      </c>
      <c r="J234" s="599">
        <v>0</v>
      </c>
      <c r="K234" s="598"/>
      <c r="L234" s="599">
        <v>0</v>
      </c>
      <c r="M234" s="598"/>
    </row>
    <row r="235" spans="1:13" hidden="1" x14ac:dyDescent="0.25">
      <c r="A235" s="604" t="s">
        <v>23</v>
      </c>
      <c r="B235" s="650">
        <f>Nøgletal!D605</f>
        <v>0</v>
      </c>
      <c r="C235" s="650">
        <f>Nøgletal!F605</f>
        <v>0</v>
      </c>
      <c r="D235" s="650">
        <f>Nøgletal!H605</f>
        <v>0</v>
      </c>
      <c r="E235" s="650">
        <f>Nøgletal!J605</f>
        <v>0</v>
      </c>
      <c r="F235" s="708">
        <f>Nøgletal!L605</f>
        <v>0</v>
      </c>
      <c r="G235" s="650">
        <f>Nøgletal!N605</f>
        <v>0</v>
      </c>
      <c r="H235" s="650">
        <f>Nøgletal!P605</f>
        <v>0</v>
      </c>
      <c r="I235" s="650">
        <f>Nøgletal!R605</f>
        <v>0</v>
      </c>
      <c r="J235" s="599">
        <v>0</v>
      </c>
      <c r="K235" s="598"/>
      <c r="L235" s="599">
        <v>0</v>
      </c>
      <c r="M235" s="598"/>
    </row>
    <row r="236" spans="1:13" hidden="1" x14ac:dyDescent="0.25">
      <c r="A236" s="604" t="s">
        <v>26</v>
      </c>
      <c r="B236" s="650">
        <f>Nøgletal!D606</f>
        <v>0</v>
      </c>
      <c r="C236" s="650">
        <f>Nøgletal!F606</f>
        <v>0</v>
      </c>
      <c r="D236" s="650">
        <f>Nøgletal!H606</f>
        <v>0</v>
      </c>
      <c r="E236" s="650">
        <f>Nøgletal!J606</f>
        <v>0</v>
      </c>
      <c r="F236" s="708">
        <f>Nøgletal!L606</f>
        <v>0</v>
      </c>
      <c r="G236" s="650">
        <f>Nøgletal!N606</f>
        <v>0</v>
      </c>
      <c r="H236" s="650">
        <f>Nøgletal!P606</f>
        <v>0</v>
      </c>
      <c r="I236" s="650">
        <f>Nøgletal!R606</f>
        <v>0</v>
      </c>
      <c r="J236" s="599">
        <v>0</v>
      </c>
      <c r="K236" s="598"/>
      <c r="L236" s="599">
        <v>0</v>
      </c>
      <c r="M236" s="598"/>
    </row>
    <row r="237" spans="1:13" hidden="1" x14ac:dyDescent="0.25">
      <c r="A237" s="629" t="s">
        <v>428</v>
      </c>
      <c r="B237" s="706"/>
      <c r="C237" s="706"/>
      <c r="D237" s="706"/>
      <c r="E237" s="706"/>
      <c r="F237" s="709"/>
      <c r="G237" s="706"/>
      <c r="H237" s="706"/>
      <c r="I237" s="706"/>
      <c r="J237" s="690"/>
      <c r="K237" s="690"/>
      <c r="L237" s="690"/>
      <c r="M237" s="690"/>
    </row>
    <row r="238" spans="1:13" hidden="1" x14ac:dyDescent="0.25">
      <c r="A238" s="604" t="s">
        <v>3</v>
      </c>
      <c r="B238" s="650">
        <f>Nøgletal!D608</f>
        <v>0</v>
      </c>
      <c r="C238" s="650">
        <f>Nøgletal!F608</f>
        <v>0</v>
      </c>
      <c r="D238" s="650">
        <f>Nøgletal!H608</f>
        <v>0</v>
      </c>
      <c r="E238" s="650">
        <f>Nøgletal!J608</f>
        <v>0</v>
      </c>
      <c r="F238" s="708">
        <f>Nøgletal!L608</f>
        <v>0</v>
      </c>
      <c r="G238" s="650">
        <f>Nøgletal!N608</f>
        <v>0</v>
      </c>
      <c r="H238" s="650">
        <f>Nøgletal!P608</f>
        <v>0</v>
      </c>
      <c r="I238" s="650">
        <f>Nøgletal!R608</f>
        <v>0</v>
      </c>
      <c r="J238" s="644">
        <f>IF(J53&gt;0,1-J239-J240,0)</f>
        <v>0</v>
      </c>
      <c r="K238" s="650"/>
      <c r="L238" s="644">
        <f>IF(L53&gt;0,1-L239-L240,0)</f>
        <v>0</v>
      </c>
      <c r="M238" s="598"/>
    </row>
    <row r="239" spans="1:13" hidden="1" x14ac:dyDescent="0.25">
      <c r="A239" s="604" t="s">
        <v>373</v>
      </c>
      <c r="B239" s="650">
        <f>Nøgletal!D609</f>
        <v>0</v>
      </c>
      <c r="C239" s="650">
        <f>Nøgletal!F609</f>
        <v>0</v>
      </c>
      <c r="D239" s="650">
        <f>Nøgletal!H609</f>
        <v>0</v>
      </c>
      <c r="E239" s="650">
        <f>Nøgletal!J609</f>
        <v>0</v>
      </c>
      <c r="F239" s="708">
        <f>Nøgletal!L609</f>
        <v>0</v>
      </c>
      <c r="G239" s="650">
        <f>Nøgletal!N609</f>
        <v>0</v>
      </c>
      <c r="H239" s="650">
        <f>Nøgletal!P609</f>
        <v>0</v>
      </c>
      <c r="I239" s="650">
        <f>Nøgletal!R609</f>
        <v>0</v>
      </c>
      <c r="J239" s="599">
        <v>0</v>
      </c>
      <c r="K239" s="598"/>
      <c r="L239" s="599">
        <v>0</v>
      </c>
      <c r="M239" s="598"/>
    </row>
    <row r="240" spans="1:13" hidden="1" x14ac:dyDescent="0.25">
      <c r="A240" s="604" t="s">
        <v>26</v>
      </c>
      <c r="B240" s="650">
        <f>Nøgletal!D610</f>
        <v>0</v>
      </c>
      <c r="C240" s="650">
        <f>Nøgletal!F610</f>
        <v>0</v>
      </c>
      <c r="D240" s="650">
        <f>Nøgletal!H610</f>
        <v>0</v>
      </c>
      <c r="E240" s="650">
        <f>Nøgletal!J610</f>
        <v>0</v>
      </c>
      <c r="F240" s="708">
        <f>Nøgletal!L610</f>
        <v>0</v>
      </c>
      <c r="G240" s="650">
        <f>Nøgletal!N610</f>
        <v>0</v>
      </c>
      <c r="H240" s="650">
        <f>Nøgletal!P610</f>
        <v>0</v>
      </c>
      <c r="I240" s="650">
        <f>Nøgletal!R610</f>
        <v>0</v>
      </c>
      <c r="J240" s="599">
        <v>0</v>
      </c>
      <c r="K240" s="598"/>
      <c r="L240" s="599">
        <v>0</v>
      </c>
      <c r="M240" s="598"/>
    </row>
    <row r="241" spans="1:13" hidden="1" x14ac:dyDescent="0.25">
      <c r="A241" s="629" t="s">
        <v>429</v>
      </c>
      <c r="B241" s="706"/>
      <c r="C241" s="706"/>
      <c r="D241" s="706"/>
      <c r="E241" s="706"/>
      <c r="F241" s="709"/>
      <c r="G241" s="706"/>
      <c r="H241" s="706"/>
      <c r="I241" s="706"/>
      <c r="J241" s="690"/>
      <c r="K241" s="690"/>
      <c r="L241" s="690"/>
      <c r="M241" s="690"/>
    </row>
    <row r="242" spans="1:13" hidden="1" x14ac:dyDescent="0.25">
      <c r="A242" s="604" t="s">
        <v>1</v>
      </c>
      <c r="B242" s="650">
        <f>Nøgletal!D612</f>
        <v>0</v>
      </c>
      <c r="C242" s="650">
        <f>Nøgletal!F612</f>
        <v>0</v>
      </c>
      <c r="D242" s="650">
        <f>Nøgletal!H612</f>
        <v>0</v>
      </c>
      <c r="E242" s="650">
        <f>Nøgletal!J612</f>
        <v>0</v>
      </c>
      <c r="F242" s="708">
        <f>Nøgletal!L612</f>
        <v>0</v>
      </c>
      <c r="G242" s="650">
        <f>Nøgletal!N612</f>
        <v>0</v>
      </c>
      <c r="H242" s="650">
        <f>Nøgletal!P612</f>
        <v>0</v>
      </c>
      <c r="I242" s="650">
        <f>Nøgletal!R612</f>
        <v>0</v>
      </c>
      <c r="J242" s="599">
        <v>0</v>
      </c>
      <c r="K242" s="598"/>
      <c r="L242" s="599">
        <v>0</v>
      </c>
      <c r="M242" s="598"/>
    </row>
    <row r="243" spans="1:13" hidden="1" x14ac:dyDescent="0.25">
      <c r="A243" s="604" t="s">
        <v>7</v>
      </c>
      <c r="B243" s="650">
        <f>Nøgletal!D613</f>
        <v>0</v>
      </c>
      <c r="C243" s="650">
        <f>Nøgletal!F613</f>
        <v>0</v>
      </c>
      <c r="D243" s="650">
        <f>Nøgletal!H613</f>
        <v>0</v>
      </c>
      <c r="E243" s="650">
        <f>Nøgletal!J613</f>
        <v>0</v>
      </c>
      <c r="F243" s="708">
        <f>Nøgletal!L613</f>
        <v>0</v>
      </c>
      <c r="G243" s="650">
        <f>Nøgletal!N613</f>
        <v>0</v>
      </c>
      <c r="H243" s="650">
        <f>Nøgletal!P613</f>
        <v>0</v>
      </c>
      <c r="I243" s="650">
        <f>Nøgletal!R613</f>
        <v>0</v>
      </c>
      <c r="J243" s="599">
        <v>0</v>
      </c>
      <c r="K243" s="598"/>
      <c r="L243" s="599">
        <v>0</v>
      </c>
      <c r="M243" s="598"/>
    </row>
    <row r="244" spans="1:13" hidden="1" x14ac:dyDescent="0.25">
      <c r="A244" s="604" t="s">
        <v>3</v>
      </c>
      <c r="B244" s="650">
        <f>Nøgletal!D614</f>
        <v>0</v>
      </c>
      <c r="C244" s="650">
        <f>Nøgletal!F614</f>
        <v>0</v>
      </c>
      <c r="D244" s="650">
        <f>Nøgletal!H614</f>
        <v>0</v>
      </c>
      <c r="E244" s="650">
        <f>Nøgletal!J614</f>
        <v>0</v>
      </c>
      <c r="F244" s="708">
        <f>Nøgletal!L614</f>
        <v>0</v>
      </c>
      <c r="G244" s="650">
        <f>Nøgletal!N614</f>
        <v>0</v>
      </c>
      <c r="H244" s="650">
        <f>Nøgletal!P614</f>
        <v>0</v>
      </c>
      <c r="I244" s="650">
        <f>Nøgletal!R614</f>
        <v>0</v>
      </c>
      <c r="J244" s="599">
        <v>0</v>
      </c>
      <c r="K244" s="598"/>
      <c r="L244" s="599">
        <v>0</v>
      </c>
      <c r="M244" s="598"/>
    </row>
    <row r="245" spans="1:13" hidden="1" x14ac:dyDescent="0.25">
      <c r="A245" s="604" t="s">
        <v>373</v>
      </c>
      <c r="B245" s="650">
        <f>Nøgletal!D615</f>
        <v>0</v>
      </c>
      <c r="C245" s="650">
        <f>Nøgletal!F615</f>
        <v>0</v>
      </c>
      <c r="D245" s="650">
        <f>Nøgletal!H615</f>
        <v>0</v>
      </c>
      <c r="E245" s="650">
        <f>Nøgletal!J615</f>
        <v>0</v>
      </c>
      <c r="F245" s="708">
        <f>Nøgletal!L615</f>
        <v>0</v>
      </c>
      <c r="G245" s="650">
        <f>Nøgletal!N615</f>
        <v>0</v>
      </c>
      <c r="H245" s="650">
        <f>Nøgletal!P615</f>
        <v>0</v>
      </c>
      <c r="I245" s="650">
        <f>Nøgletal!R615</f>
        <v>0</v>
      </c>
      <c r="J245" s="599">
        <v>0</v>
      </c>
      <c r="K245" s="598"/>
      <c r="L245" s="599">
        <v>0</v>
      </c>
      <c r="M245" s="598"/>
    </row>
    <row r="246" spans="1:13" hidden="1" x14ac:dyDescent="0.25">
      <c r="A246" s="604" t="s">
        <v>374</v>
      </c>
      <c r="B246" s="650">
        <f>Nøgletal!D616</f>
        <v>0</v>
      </c>
      <c r="C246" s="650">
        <f>Nøgletal!F616</f>
        <v>0</v>
      </c>
      <c r="D246" s="650">
        <f>Nøgletal!H616</f>
        <v>0</v>
      </c>
      <c r="E246" s="650">
        <f>Nøgletal!J616</f>
        <v>0</v>
      </c>
      <c r="F246" s="708">
        <f>Nøgletal!L616</f>
        <v>0</v>
      </c>
      <c r="G246" s="650">
        <f>Nøgletal!N616</f>
        <v>0</v>
      </c>
      <c r="H246" s="650">
        <f>Nøgletal!P616</f>
        <v>0</v>
      </c>
      <c r="I246" s="650">
        <f>Nøgletal!R616</f>
        <v>0</v>
      </c>
      <c r="J246" s="599">
        <v>0</v>
      </c>
      <c r="K246" s="598"/>
      <c r="L246" s="599">
        <v>0</v>
      </c>
      <c r="M246" s="598"/>
    </row>
    <row r="247" spans="1:13" hidden="1" x14ac:dyDescent="0.25">
      <c r="A247" s="604" t="s">
        <v>21</v>
      </c>
      <c r="B247" s="650">
        <f>Nøgletal!D617</f>
        <v>0</v>
      </c>
      <c r="C247" s="650">
        <f>Nøgletal!F617</f>
        <v>0</v>
      </c>
      <c r="D247" s="650">
        <f>Nøgletal!H617</f>
        <v>0</v>
      </c>
      <c r="E247" s="650">
        <f>Nøgletal!J617</f>
        <v>0</v>
      </c>
      <c r="F247" s="708">
        <f>Nøgletal!L617</f>
        <v>0</v>
      </c>
      <c r="G247" s="650">
        <f>Nøgletal!N617</f>
        <v>0</v>
      </c>
      <c r="H247" s="650">
        <f>Nøgletal!P617</f>
        <v>0</v>
      </c>
      <c r="I247" s="650">
        <f>Nøgletal!R617</f>
        <v>0</v>
      </c>
      <c r="J247" s="644">
        <f>IF(J54&gt;0,1-J248-J249-J250-J242-J243-J244-J245-J246,0)</f>
        <v>0</v>
      </c>
      <c r="K247" s="650"/>
      <c r="L247" s="644">
        <f>IF(L54&gt;0,1-L248-L249-L250-L242-L243-L244-L245-L246,0)</f>
        <v>0</v>
      </c>
      <c r="M247" s="598"/>
    </row>
    <row r="248" spans="1:13" hidden="1" x14ac:dyDescent="0.25">
      <c r="A248" s="604" t="s">
        <v>375</v>
      </c>
      <c r="B248" s="650">
        <f>Nøgletal!D618</f>
        <v>0</v>
      </c>
      <c r="C248" s="650">
        <f>Nøgletal!F618</f>
        <v>0</v>
      </c>
      <c r="D248" s="650">
        <f>Nøgletal!H618</f>
        <v>0</v>
      </c>
      <c r="E248" s="650">
        <f>Nøgletal!J618</f>
        <v>0</v>
      </c>
      <c r="F248" s="708">
        <f>Nøgletal!L618</f>
        <v>0</v>
      </c>
      <c r="G248" s="650">
        <f>Nøgletal!N618</f>
        <v>0</v>
      </c>
      <c r="H248" s="650">
        <f>Nøgletal!P618</f>
        <v>0</v>
      </c>
      <c r="I248" s="650">
        <f>Nøgletal!R618</f>
        <v>0</v>
      </c>
      <c r="J248" s="599">
        <v>0</v>
      </c>
      <c r="K248" s="598"/>
      <c r="L248" s="599">
        <v>0</v>
      </c>
      <c r="M248" s="598"/>
    </row>
    <row r="249" spans="1:13" hidden="1" x14ac:dyDescent="0.25">
      <c r="A249" s="604" t="s">
        <v>23</v>
      </c>
      <c r="B249" s="650">
        <f>Nøgletal!D619</f>
        <v>0</v>
      </c>
      <c r="C249" s="650">
        <f>Nøgletal!F619</f>
        <v>0</v>
      </c>
      <c r="D249" s="650">
        <f>Nøgletal!H619</f>
        <v>0</v>
      </c>
      <c r="E249" s="650">
        <f>Nøgletal!J619</f>
        <v>0</v>
      </c>
      <c r="F249" s="708">
        <f>Nøgletal!L619</f>
        <v>0</v>
      </c>
      <c r="G249" s="650">
        <f>Nøgletal!N619</f>
        <v>0</v>
      </c>
      <c r="H249" s="650">
        <f>Nøgletal!P619</f>
        <v>0</v>
      </c>
      <c r="I249" s="650">
        <f>Nøgletal!R619</f>
        <v>0</v>
      </c>
      <c r="J249" s="599">
        <v>0</v>
      </c>
      <c r="K249" s="598"/>
      <c r="L249" s="599">
        <v>0</v>
      </c>
      <c r="M249" s="598"/>
    </row>
    <row r="250" spans="1:13" hidden="1" x14ac:dyDescent="0.25">
      <c r="A250" s="604" t="s">
        <v>26</v>
      </c>
      <c r="B250" s="650">
        <f>Nøgletal!D620</f>
        <v>0</v>
      </c>
      <c r="C250" s="650">
        <f>Nøgletal!F620</f>
        <v>0</v>
      </c>
      <c r="D250" s="650">
        <f>Nøgletal!H620</f>
        <v>0</v>
      </c>
      <c r="E250" s="650">
        <f>Nøgletal!J620</f>
        <v>0</v>
      </c>
      <c r="F250" s="708">
        <f>Nøgletal!L620</f>
        <v>0</v>
      </c>
      <c r="G250" s="650">
        <f>Nøgletal!N620</f>
        <v>0</v>
      </c>
      <c r="H250" s="650">
        <f>Nøgletal!P620</f>
        <v>0</v>
      </c>
      <c r="I250" s="650">
        <f>Nøgletal!R620</f>
        <v>0</v>
      </c>
      <c r="J250" s="599">
        <v>0</v>
      </c>
      <c r="K250" s="598"/>
      <c r="L250" s="599">
        <v>0</v>
      </c>
      <c r="M250" s="598"/>
    </row>
    <row r="251" spans="1:13" hidden="1" x14ac:dyDescent="0.25">
      <c r="A251" s="629" t="s">
        <v>430</v>
      </c>
      <c r="B251" s="706"/>
      <c r="C251" s="706"/>
      <c r="D251" s="706"/>
      <c r="E251" s="706"/>
      <c r="F251" s="709"/>
      <c r="G251" s="706"/>
      <c r="H251" s="706"/>
      <c r="I251" s="706"/>
      <c r="J251" s="690"/>
      <c r="K251" s="690"/>
      <c r="L251" s="690"/>
      <c r="M251" s="690"/>
    </row>
    <row r="252" spans="1:13" hidden="1" x14ac:dyDescent="0.25">
      <c r="A252" s="604" t="s">
        <v>1</v>
      </c>
      <c r="B252" s="650">
        <f>Nøgletal!D622</f>
        <v>0</v>
      </c>
      <c r="C252" s="650">
        <f>Nøgletal!F622</f>
        <v>0</v>
      </c>
      <c r="D252" s="650">
        <f>Nøgletal!H622</f>
        <v>0</v>
      </c>
      <c r="E252" s="650">
        <f>Nøgletal!J622</f>
        <v>0</v>
      </c>
      <c r="F252" s="708">
        <f>Nøgletal!L622</f>
        <v>0</v>
      </c>
      <c r="G252" s="650">
        <f>Nøgletal!N622</f>
        <v>0</v>
      </c>
      <c r="H252" s="650">
        <f>Nøgletal!P622</f>
        <v>0</v>
      </c>
      <c r="I252" s="650">
        <f>Nøgletal!R622</f>
        <v>0</v>
      </c>
      <c r="J252" s="599">
        <v>0</v>
      </c>
      <c r="K252" s="598"/>
      <c r="L252" s="599">
        <v>0</v>
      </c>
      <c r="M252" s="598"/>
    </row>
    <row r="253" spans="1:13" hidden="1" x14ac:dyDescent="0.25">
      <c r="A253" s="604" t="s">
        <v>7</v>
      </c>
      <c r="B253" s="650">
        <f>Nøgletal!D623</f>
        <v>0</v>
      </c>
      <c r="C253" s="650">
        <f>Nøgletal!F623</f>
        <v>0</v>
      </c>
      <c r="D253" s="650">
        <f>Nøgletal!H623</f>
        <v>0</v>
      </c>
      <c r="E253" s="650">
        <f>Nøgletal!J623</f>
        <v>0</v>
      </c>
      <c r="F253" s="708">
        <f>Nøgletal!L623</f>
        <v>0</v>
      </c>
      <c r="G253" s="650">
        <f>Nøgletal!N623</f>
        <v>0</v>
      </c>
      <c r="H253" s="650">
        <f>Nøgletal!P623</f>
        <v>0</v>
      </c>
      <c r="I253" s="650">
        <f>Nøgletal!R623</f>
        <v>0</v>
      </c>
      <c r="J253" s="599">
        <v>0</v>
      </c>
      <c r="K253" s="598"/>
      <c r="L253" s="599">
        <v>0</v>
      </c>
      <c r="M253" s="598"/>
    </row>
    <row r="254" spans="1:13" hidden="1" x14ac:dyDescent="0.25">
      <c r="A254" s="604" t="s">
        <v>3</v>
      </c>
      <c r="B254" s="650">
        <f>Nøgletal!D624</f>
        <v>0</v>
      </c>
      <c r="C254" s="650">
        <f>Nøgletal!F624</f>
        <v>0</v>
      </c>
      <c r="D254" s="650">
        <f>Nøgletal!H624</f>
        <v>0</v>
      </c>
      <c r="E254" s="650">
        <f>Nøgletal!J624</f>
        <v>0</v>
      </c>
      <c r="F254" s="708">
        <f>Nøgletal!L624</f>
        <v>0</v>
      </c>
      <c r="G254" s="650">
        <f>Nøgletal!N624</f>
        <v>0</v>
      </c>
      <c r="H254" s="650">
        <f>Nøgletal!P624</f>
        <v>0</v>
      </c>
      <c r="I254" s="650">
        <f>Nøgletal!R624</f>
        <v>0</v>
      </c>
      <c r="J254" s="644">
        <f>IF(J55&gt;0,1-J255-J256-J257-J258-J259-J260-J252-J253,0)</f>
        <v>0</v>
      </c>
      <c r="K254" s="650"/>
      <c r="L254" s="644">
        <f>IF(L55&gt;0,1-L255-L256-L257-L258-L259-L260-L252-L253,0)</f>
        <v>0</v>
      </c>
      <c r="M254" s="598"/>
    </row>
    <row r="255" spans="1:13" hidden="1" x14ac:dyDescent="0.25">
      <c r="A255" s="604" t="s">
        <v>373</v>
      </c>
      <c r="B255" s="650">
        <f>Nøgletal!D625</f>
        <v>0</v>
      </c>
      <c r="C255" s="650">
        <f>Nøgletal!F625</f>
        <v>0</v>
      </c>
      <c r="D255" s="650">
        <f>Nøgletal!H625</f>
        <v>0</v>
      </c>
      <c r="E255" s="650">
        <f>Nøgletal!J625</f>
        <v>0</v>
      </c>
      <c r="F255" s="708">
        <f>Nøgletal!L625</f>
        <v>0</v>
      </c>
      <c r="G255" s="650">
        <f>Nøgletal!N625</f>
        <v>0</v>
      </c>
      <c r="H255" s="650">
        <f>Nøgletal!P625</f>
        <v>0</v>
      </c>
      <c r="I255" s="650">
        <f>Nøgletal!R625</f>
        <v>0</v>
      </c>
      <c r="J255" s="599">
        <v>0</v>
      </c>
      <c r="K255" s="598"/>
      <c r="L255" s="599">
        <v>0</v>
      </c>
      <c r="M255" s="598"/>
    </row>
    <row r="256" spans="1:13" hidden="1" x14ac:dyDescent="0.25">
      <c r="A256" s="604" t="s">
        <v>374</v>
      </c>
      <c r="B256" s="650">
        <f>Nøgletal!D626</f>
        <v>0</v>
      </c>
      <c r="C256" s="650">
        <f>Nøgletal!F626</f>
        <v>0</v>
      </c>
      <c r="D256" s="650">
        <f>Nøgletal!H626</f>
        <v>0</v>
      </c>
      <c r="E256" s="650">
        <f>Nøgletal!J626</f>
        <v>0</v>
      </c>
      <c r="F256" s="708">
        <f>Nøgletal!L626</f>
        <v>0</v>
      </c>
      <c r="G256" s="650">
        <f>Nøgletal!N626</f>
        <v>0</v>
      </c>
      <c r="H256" s="650">
        <f>Nøgletal!P626</f>
        <v>0</v>
      </c>
      <c r="I256" s="650">
        <f>Nøgletal!R626</f>
        <v>0</v>
      </c>
      <c r="J256" s="599">
        <v>0</v>
      </c>
      <c r="K256" s="598"/>
      <c r="L256" s="599">
        <v>0</v>
      </c>
      <c r="M256" s="598"/>
    </row>
    <row r="257" spans="1:13" hidden="1" x14ac:dyDescent="0.25">
      <c r="A257" s="604" t="s">
        <v>21</v>
      </c>
      <c r="B257" s="650">
        <f>Nøgletal!D627</f>
        <v>0</v>
      </c>
      <c r="C257" s="650">
        <f>Nøgletal!F627</f>
        <v>0</v>
      </c>
      <c r="D257" s="650">
        <f>Nøgletal!H627</f>
        <v>0</v>
      </c>
      <c r="E257" s="650">
        <f>Nøgletal!J627</f>
        <v>0</v>
      </c>
      <c r="F257" s="708">
        <f>Nøgletal!L627</f>
        <v>0</v>
      </c>
      <c r="G257" s="650">
        <f>Nøgletal!N627</f>
        <v>0</v>
      </c>
      <c r="H257" s="650">
        <f>Nøgletal!P627</f>
        <v>0</v>
      </c>
      <c r="I257" s="650">
        <f>Nøgletal!R627</f>
        <v>0</v>
      </c>
      <c r="J257" s="599">
        <v>0</v>
      </c>
      <c r="K257" s="598"/>
      <c r="L257" s="599">
        <v>0</v>
      </c>
      <c r="M257" s="598"/>
    </row>
    <row r="258" spans="1:13" hidden="1" x14ac:dyDescent="0.25">
      <c r="A258" s="604" t="s">
        <v>375</v>
      </c>
      <c r="B258" s="650">
        <f>Nøgletal!D628</f>
        <v>0</v>
      </c>
      <c r="C258" s="650">
        <f>Nøgletal!F628</f>
        <v>0</v>
      </c>
      <c r="D258" s="650">
        <f>Nøgletal!H628</f>
        <v>0</v>
      </c>
      <c r="E258" s="650">
        <f>Nøgletal!J628</f>
        <v>0</v>
      </c>
      <c r="F258" s="708">
        <f>Nøgletal!L628</f>
        <v>0</v>
      </c>
      <c r="G258" s="650">
        <f>Nøgletal!N628</f>
        <v>0</v>
      </c>
      <c r="H258" s="650">
        <f>Nøgletal!P628</f>
        <v>0</v>
      </c>
      <c r="I258" s="650">
        <f>Nøgletal!R628</f>
        <v>0</v>
      </c>
      <c r="J258" s="599">
        <v>0</v>
      </c>
      <c r="K258" s="598"/>
      <c r="L258" s="599">
        <v>0</v>
      </c>
      <c r="M258" s="598"/>
    </row>
    <row r="259" spans="1:13" hidden="1" x14ac:dyDescent="0.25">
      <c r="A259" s="604" t="s">
        <v>23</v>
      </c>
      <c r="B259" s="650">
        <f>Nøgletal!D629</f>
        <v>0</v>
      </c>
      <c r="C259" s="650">
        <f>Nøgletal!F629</f>
        <v>0</v>
      </c>
      <c r="D259" s="650">
        <f>Nøgletal!H629</f>
        <v>0</v>
      </c>
      <c r="E259" s="650">
        <f>Nøgletal!J629</f>
        <v>0</v>
      </c>
      <c r="F259" s="708">
        <f>Nøgletal!L629</f>
        <v>0</v>
      </c>
      <c r="G259" s="650">
        <f>Nøgletal!N629</f>
        <v>0</v>
      </c>
      <c r="H259" s="650">
        <f>Nøgletal!P629</f>
        <v>0</v>
      </c>
      <c r="I259" s="650">
        <f>Nøgletal!R629</f>
        <v>0</v>
      </c>
      <c r="J259" s="599">
        <v>0</v>
      </c>
      <c r="K259" s="598"/>
      <c r="L259" s="599">
        <v>0</v>
      </c>
      <c r="M259" s="598"/>
    </row>
    <row r="260" spans="1:13" hidden="1" x14ac:dyDescent="0.25">
      <c r="A260" s="604" t="s">
        <v>26</v>
      </c>
      <c r="B260" s="650">
        <f>Nøgletal!D630</f>
        <v>0</v>
      </c>
      <c r="C260" s="650">
        <f>Nøgletal!F630</f>
        <v>0</v>
      </c>
      <c r="D260" s="650">
        <f>Nøgletal!H630</f>
        <v>0</v>
      </c>
      <c r="E260" s="650">
        <f>Nøgletal!J630</f>
        <v>0</v>
      </c>
      <c r="F260" s="708">
        <f>Nøgletal!L630</f>
        <v>0</v>
      </c>
      <c r="G260" s="650">
        <f>Nøgletal!N630</f>
        <v>0</v>
      </c>
      <c r="H260" s="650">
        <f>Nøgletal!P630</f>
        <v>0</v>
      </c>
      <c r="I260" s="650">
        <f>Nøgletal!R630</f>
        <v>0</v>
      </c>
      <c r="J260" s="599">
        <v>0</v>
      </c>
      <c r="K260" s="598"/>
      <c r="L260" s="599">
        <v>0</v>
      </c>
      <c r="M260" s="598"/>
    </row>
    <row r="261" spans="1:13" x14ac:dyDescent="0.25">
      <c r="A261" s="629" t="s">
        <v>431</v>
      </c>
      <c r="B261" s="706"/>
      <c r="C261" s="706"/>
      <c r="D261" s="706"/>
      <c r="E261" s="706"/>
      <c r="F261" s="709"/>
      <c r="G261" s="706"/>
      <c r="H261" s="706"/>
      <c r="I261" s="706"/>
      <c r="J261" s="690"/>
      <c r="K261" s="690"/>
      <c r="L261" s="690"/>
      <c r="M261" s="690"/>
    </row>
    <row r="262" spans="1:13" x14ac:dyDescent="0.25">
      <c r="A262" s="654" t="s">
        <v>432</v>
      </c>
      <c r="B262" s="650">
        <f>Nøgletal!D632</f>
        <v>1</v>
      </c>
      <c r="C262" s="650">
        <f>Nøgletal!F632</f>
        <v>1</v>
      </c>
      <c r="D262" s="650">
        <f>Nøgletal!H632</f>
        <v>1</v>
      </c>
      <c r="E262" s="650">
        <f>Nøgletal!J632</f>
        <v>1</v>
      </c>
      <c r="F262" s="708">
        <f>Nøgletal!L632</f>
        <v>1</v>
      </c>
      <c r="G262" s="650">
        <f>Nøgletal!N632</f>
        <v>1</v>
      </c>
      <c r="H262" s="650">
        <f>Nøgletal!P632</f>
        <v>1</v>
      </c>
      <c r="I262" s="650">
        <f>Nøgletal!R632</f>
        <v>1</v>
      </c>
      <c r="J262" s="688">
        <f>IF(J56&gt;0,1,0)</f>
        <v>1</v>
      </c>
      <c r="K262" s="635"/>
      <c r="L262" s="688">
        <f>IF(L56&gt;0,1,0)</f>
        <v>1</v>
      </c>
      <c r="M262" s="598"/>
    </row>
    <row r="263" spans="1:13" x14ac:dyDescent="0.25">
      <c r="A263" s="604"/>
      <c r="B263" s="604"/>
      <c r="C263" s="604"/>
      <c r="D263" s="604"/>
      <c r="E263" s="604"/>
      <c r="F263" s="604"/>
      <c r="G263" s="604"/>
      <c r="H263" s="604"/>
      <c r="I263" s="604"/>
    </row>
    <row r="264" spans="1:13" x14ac:dyDescent="0.25">
      <c r="A264" s="604"/>
      <c r="B264" s="604"/>
      <c r="C264" s="604"/>
      <c r="D264" s="604"/>
      <c r="E264" s="604"/>
      <c r="F264" s="604"/>
      <c r="G264" s="604"/>
      <c r="H264" s="604"/>
      <c r="I264" s="604"/>
    </row>
    <row r="265" spans="1:13" x14ac:dyDescent="0.25">
      <c r="A265" s="604"/>
      <c r="B265" s="604"/>
      <c r="C265" s="604"/>
      <c r="D265" s="604"/>
      <c r="E265" s="604"/>
      <c r="F265" s="604"/>
      <c r="G265" s="604"/>
      <c r="H265" s="604"/>
      <c r="I265" s="604"/>
    </row>
  </sheetData>
  <sheetProtection algorithmName="SHA-512" hashValue="gUOos/vHTqQ02AdaALsYUqgF/5nKzeVzEkSR43cap0jgrj7xCLwuYOMtby9qfxpepQKDPxmJjXEdPXOGTJdXsA==" saltValue="hECV5MVwydiHfbUFlE/BpA==" spinCount="100000" sheet="1" objects="1" scenarios="1"/>
  <protectedRanges>
    <protectedRange algorithmName="SHA-512" hashValue="zt4d3yYbNElECj3YUGj3RwGwU2crKzaOJVHMSb0oXWLFY5oiaCPA97i98Q2lzQZ4nvIj3DM/K3x2KsoElVXvEQ==" saltValue="oK2KBCWpMdg+HtfuVex5nw==" spinCount="100000" sqref="A1:I1048576" name="Område33"/>
    <protectedRange algorithmName="SHA-512" hashValue="Sr5bXlty5LSE30SHgbz91oM3SAyNlZsIQV6zmfiN1YR3tUMvWn32SEkkQH8JAFt18qjPJoM8sfFRsziN4FA3KA==" saltValue="bgpxwDHRpGZdTk9Na0h1kw==" spinCount="100000" sqref="K144:M144" name="Område31"/>
    <protectedRange algorithmName="SHA-512" hashValue="TSnVwGmSEk7Ok2auQ2ThlBdX9P+caIfArCoNUuDlD+XlQXsQ0quCNrxI63f9tYQUV44CfR7AT7X41zwStgx0uA==" saltValue="yKo/BzGXX3IbR6s7TUDi/A==" spinCount="100000" sqref="J254:L254" name="Område29"/>
    <protectedRange algorithmName="SHA-512" hashValue="2iI2E9BT9xKimXBkMqnRWGkrdiRRnqztfLLEGjXkkVTj43hEJuFPexBcQiIFETr8CtXl8ebYVSeFv5rz9cgFqw==" saltValue="UtAmIxGHH2wHCPLhzUhb2w==" spinCount="100000" sqref="J238:L238" name="Område27"/>
    <protectedRange algorithmName="SHA-512" hashValue="Wixs8tr2CLIaSm2Iox+z97DCb9AO3g1tqbpPfildT2O5t8NNxb6zfngAW0XpQSXgOaHQPgdvvBf97Em9nKslng==" saltValue="hXI4MeGfuuI6huoyynt+jw==" spinCount="100000" sqref="J217:L217" name="Område25"/>
    <protectedRange algorithmName="SHA-512" hashValue="+3+Qc53TrKExvPU5hF3G412HMg2H/jZHZ32NWV+KqlAiPAB1FxfB+/8tUIpVY47dtkKG05+LBPlnNNBi53iTtw==" saltValue="1nKU4yASaXDuokmRmrLXxg==" spinCount="100000" sqref="J186:L186" name="Område23"/>
    <protectedRange algorithmName="SHA-512" hashValue="PTaAydJVpAKnVbvxaucTH2JP+6mVP+2lCmHRdVsAo00VPsY+ojjSYMXep40+7xmZypHYAW+voiWdyaSeipeUWg==" saltValue="TcVjXFgzq3MjKh6tUWPDSA==" spinCount="100000" sqref="J168:L168" name="Område21"/>
    <protectedRange algorithmName="SHA-512" hashValue="6wNt2agYrV0irbwtsJARLxLxC+tXYv2WZVz3UEl5lDwLIyRWrgwGur7QiY6Tv+nrJcQBW58WV98bb8MS0p5kqg==" saltValue="Z7r+tlEvOnsHdYrkvGOhTg==" spinCount="100000" sqref="J139:L139" name="Område19"/>
    <protectedRange algorithmName="SHA-512" hashValue="UA/5REpVlRaD35mjkZbiqbRvQGkgLsPKH0wv061u4oY+1QEBR3AIHrZKGtAtbV/mzCWAgRZ0vCKLiatQwO3htw==" saltValue="p5huSvLSus9g+Govi2oTcw==" spinCount="100000" sqref="J122:L122" name="Område17"/>
    <protectedRange algorithmName="SHA-512" hashValue="OJXXJh72n9Nmq1QBgjhbQt52qafXjcsBQ7hjVjjRASoutm88Uzg1I48+RY10D9fkhX1WLi20umqXTulKzYqPAw==" saltValue="nI7jQsDsKas1Pz7ICWCIPw==" spinCount="100000" sqref="J105:L105" name="Område15"/>
    <protectedRange algorithmName="SHA-512" hashValue="3q2rZ64ORwNPMqE1wFerofjXr4smIjA8B9K0PHYWOwphgbG/N1man5MFUe1vAqhiR8ya60R10lleo+DzXc8j3w==" saltValue="ei5WckBP6qHppxOsbw3jNA==" spinCount="100000" sqref="J97:L97" name="Område13"/>
    <protectedRange algorithmName="SHA-512" hashValue="D6p1HP4wm7wPri8XWBuIZgO76feSlp7RrWgXGWezDdCQkFxJWXSRQ7PBJMLd1Kr9ZKbJvEJxMqUvsZGdL2ZzKQ==" saltValue="njzM3UXmF5XAPX6c8t2j5w==" spinCount="100000" sqref="J81:L81" name="Område11"/>
    <protectedRange algorithmName="SHA-512" hashValue="hXfyIjhUkWisYaO79qqDTFcNbYMGnhjHFpcHWu9bhyiQVvvIz82vtmK7SaEA3Daxp09ChMMwRHyxLrZOYBRPDg==" saltValue="AEt9ID4djd9ZSo9jWupJzg==" spinCount="100000" sqref="J59:L59" name="Område9"/>
    <protectedRange algorithmName="SHA-512" hashValue="Js8Jy/Gs3crG6seRmq6k7jffNgd3jcjAEVMx9TzBmbAln7Iuq4NNAWznsP5YKGPfo4NrZSKbGn4fzW1is+YjBw==" saltValue="haQwyRh5mj6jxB2GwUUffg==" spinCount="100000" sqref="J48:L48" name="Område7"/>
    <protectedRange algorithmName="SHA-512" hashValue="HGXD7wFo0BXVnmk9C3ejanVCjKQeM7PrCbBlis5VdTN8rgdCGcEjp+WWn7M7snB20nILHGonMAPm91nl755ctg==" saltValue="wSXAfTMPSpIlJGV6LKHNRw==" spinCount="100000" sqref="J29:L29" name="Område5"/>
    <protectedRange algorithmName="SHA-512" hashValue="fsdMqboSREs/pb2VXhmu+9x1P45Da2CETVua6y2vXpWG/JJ15XB6G47FJrbhb4t+MoStJTEdZoafYg8C9Hh6hA==" saltValue="4eIa2MMQICB14uDNDFhiRQ==" spinCount="100000" sqref="J21:L21" name="Område3"/>
    <protectedRange algorithmName="SHA-512" hashValue="T6GU0+AU+wT5LdyHSpJVdoBlhp7WlFIC0/kpMU5Vo+zVhcdZDvtQ/weCegQkCxwEadMR1e6dOweXHwuDgu1/Ig==" saltValue="5tJOHhRcQ8kq7yqsuEplxw==" spinCount="100000" sqref="J1:P4" name="Område1"/>
    <protectedRange algorithmName="SHA-512" hashValue="Se+ZPb7pR/SESJgfJXXL3XmLAuPM4ecQfrWZ0ehpfUuFBkViOSUcLta3s6JJcNqnKFiwiHWH6ecX4aGNNvtn/Q==" saltValue="OVESm/j88/VgE6MewUJejA==" spinCount="100000" sqref="J11:L11" name="Område2"/>
    <protectedRange algorithmName="SHA-512" hashValue="9bA4se6niUSpgYyk7az0ZmFquoJ3fdSnfA5XtwguyRz5DulUK8OoOhNqdNN0NTF0b4ipz83hCBo0TrnnKBqiXA==" saltValue="NlYtCyZQ8eGjb3YT74w5qw==" spinCount="100000" sqref="J26:L26" name="Område4"/>
    <protectedRange algorithmName="SHA-512" hashValue="lTVjj9UUlGr5ZJtQqpE4rCqseLZs8Mjck4TXokQzZYX63RYWIdWMD4WsJRHOoT3phDVRombylSt4ATwvmBfvpQ==" saltValue="VWgErU2fqX3rt/nyMzVGSA==" spinCount="100000" sqref="J40:L40" name="Område6"/>
    <protectedRange algorithmName="SHA-512" hashValue="REsZvXk2OUdpk4ZxUOdYVq1a9rOi7A0MO0cGHCX4l15hIwJjvI66F9H8rbG1+QjIMRx49u7bSXqZX6pdBfLaJA==" saltValue="9OtCVjvPL/WkSjvNKDi85w==" spinCount="100000" sqref="J51:L51" name="Område8"/>
    <protectedRange algorithmName="SHA-512" hashValue="DhJnQeD4O5nW41lih4vrSr9IOZ2I+Fy3rGzUkFpy9gjK3vu8xFDr1JTXC63vBroKUvuHuVcJm2lX7nE0QaxSEA==" saltValue="1G3oRfEI8yu830oaHdyPag==" spinCount="100000" sqref="J69:L69" name="Område10"/>
    <protectedRange algorithmName="SHA-512" hashValue="utuQDNMMrJZh8Uu96FgxTQNzdTyWfWthoEGTFgNsfgG1GitCq9gJVkPMGB02uHh3TdQb8/YU++oxBPYgyLmeKQ==" saltValue="WZnUi7CQQvTaK/F+hLmvTA==" spinCount="100000" sqref="J85:L85" name="Område12"/>
    <protectedRange algorithmName="SHA-512" hashValue="W9lyvdC95+lro6PTCBiyrKCeSd/4x/wFLuhobnfzD7C99pUmIrhl3uF5VpYENEYnjzIK5EBVMjKYfOMgBldaag==" saltValue="Stgv/8K6V5Ut5TH/z0sJbA==" spinCount="100000" sqref="J101:L101" name="Område14"/>
    <protectedRange algorithmName="SHA-512" hashValue="s1XLjRd76Ck1alsbIDRViXNNjcflNUD0VTvizoOvuGtLiDOD+pDKcYlAhjv1Rf1Vmsr6Ksx02RDV5TSSs3NjXw==" saltValue="W/Ai1p7ERb5r6kiHuHmHxQ==" spinCount="100000" sqref="J111:L111" name="Område16"/>
    <protectedRange algorithmName="SHA-512" hashValue="xpbEHP9KDKK2FVMKhSMVW/2dX40T5wi9NtWXYSK3S4EoGk2KE54gtLpsg8cZ67zRNtJPEMewo8WG4ciHrF29NQ==" saltValue="/vP/xrM4/EzZOw19XdjRJg==" spinCount="100000" sqref="J130:L130" name="Område18"/>
    <protectedRange algorithmName="SHA-512" hashValue="/y0M717SxaCUqz7hcTFZ0BQx2JmRAV6l/croC7g5Jt3TwxEQEkdN/6DC9qV2kEbnTImPP6WcUcCR1vOLg99EaQ==" saltValue="iMAXnsmgGBQ+GmDYMODxDw==" spinCount="100000" sqref="J150:L150" name="Område20"/>
    <protectedRange algorithmName="SHA-512" hashValue="m/CqhoEpL3OBslVQxDZxZ1vovarolvCoyaSoyf2VPqew/VyBH4JMQEDSAVgJSJ8WBa7Ji6p8EWSfXHqVyiF4sw==" saltValue="k/I+xPe+FIBlp4fKoIbmOA==" spinCount="100000" sqref="J177:L177" name="Område22"/>
    <protectedRange algorithmName="SHA-512" hashValue="n5i9DmR/76vd/MV5Zvn0EJ0fcicTUk3HgG5kIegTNIjMfGle8G53nLfuLDeMrydyKIlDNw4mv/3UYQZ+qEa6Sg==" saltValue="Qr293AAhArXxanrWZjuB9g==" spinCount="100000" sqref="J210:L210" name="Område24"/>
    <protectedRange algorithmName="SHA-512" hashValue="LijQRgMosJNCOe5yj2yMi9f2P0VudKohVOgyBiWEYkevV5U4Jc11FXXEhD8ny5x44OuMD+bSVYa/MBEksRma0g==" saltValue="oaqzXRcpHqbL6ywmIELCSA==" spinCount="100000" sqref="J230:L230" name="Område26"/>
    <protectedRange algorithmName="SHA-512" hashValue="jNgffwBOuK5vOt9k1VcAtY4FTOmcchJWx72jOKpubu+nKyndaIKkDkeN/zNrZPjfJdCm05QcfWAjuYs78fkfqg==" saltValue="s2DFVcuroSAmawH5DiDu7g==" spinCount="100000" sqref="J247:L247" name="Område28"/>
    <protectedRange algorithmName="SHA-512" hashValue="4dLqB7DgDGVojQ2aZP+OcnN5Coe8FQv0o7yWT0PTqJIrz1krXOFkGTjaM7AuZ/vCaIN3tJ6cg1XBVDD9DiwfkA==" saltValue="xWqHCIehz5pWyADxNC8oMA==" spinCount="100000" sqref="K95:M95" name="Område30"/>
    <protectedRange algorithmName="SHA-512" hashValue="4ZdpJxMYdWo6o9l7UI8YkCti9x6NeFd+qPdVsKOjxKY72dAeS8UkNyTaEl8/+i5SjntmxHEfPN3Vv1jS40Rjhw==" saltValue="JlnE+ThgRtu2HAtbT5vzwA==" spinCount="100000" sqref="A1:I1048576" name="Område32"/>
  </protectedRanges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/>
  <dimension ref="A2:B8"/>
  <sheetViews>
    <sheetView workbookViewId="0">
      <selection activeCell="F7" sqref="F7"/>
    </sheetView>
  </sheetViews>
  <sheetFormatPr defaultRowHeight="15" x14ac:dyDescent="0.25"/>
  <cols>
    <col min="1" max="1" width="21.140625" customWidth="1"/>
    <col min="2" max="2" width="14.5703125" customWidth="1"/>
  </cols>
  <sheetData>
    <row r="2" spans="1:2" x14ac:dyDescent="0.25">
      <c r="A2" s="231" t="s">
        <v>602</v>
      </c>
      <c r="B2" s="231" t="s">
        <v>603</v>
      </c>
    </row>
    <row r="3" spans="1:2" x14ac:dyDescent="0.25">
      <c r="A3" s="148" t="s">
        <v>333</v>
      </c>
      <c r="B3" s="148" t="s">
        <v>791</v>
      </c>
    </row>
    <row r="4" spans="1:2" x14ac:dyDescent="0.25">
      <c r="A4" s="148" t="s">
        <v>334</v>
      </c>
      <c r="B4" s="148" t="s">
        <v>335</v>
      </c>
    </row>
    <row r="5" spans="1:2" x14ac:dyDescent="0.25">
      <c r="A5" s="148" t="s">
        <v>336</v>
      </c>
      <c r="B5" s="148" t="s">
        <v>337</v>
      </c>
    </row>
    <row r="6" spans="1:2" x14ac:dyDescent="0.25">
      <c r="A6" s="148" t="s">
        <v>338</v>
      </c>
      <c r="B6" s="148" t="s">
        <v>339</v>
      </c>
    </row>
    <row r="7" spans="1:2" x14ac:dyDescent="0.25">
      <c r="A7" s="148" t="s">
        <v>340</v>
      </c>
      <c r="B7" s="148">
        <f>'2030 '!BY9+'2030 '!BY66+'2030 '!BY68</f>
        <v>2168.9332871825836</v>
      </c>
    </row>
    <row r="8" spans="1:2" x14ac:dyDescent="0.25">
      <c r="A8" s="148" t="s">
        <v>341</v>
      </c>
      <c r="B8" s="148">
        <f>'2030 '!BZ9+'2030 '!BZ68</f>
        <v>255.10348315360176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30"/>
  <sheetViews>
    <sheetView tabSelected="1" workbookViewId="0">
      <selection activeCell="P24" sqref="P24"/>
    </sheetView>
  </sheetViews>
  <sheetFormatPr defaultRowHeight="15" x14ac:dyDescent="0.25"/>
  <cols>
    <col min="1" max="1" width="64.28515625" style="582" customWidth="1"/>
    <col min="2" max="5" width="9.140625" style="582" hidden="1" customWidth="1"/>
    <col min="6" max="6" width="9.140625" style="582" customWidth="1"/>
    <col min="7" max="7" width="9.140625" style="582"/>
    <col min="8" max="9" width="9.140625" style="582" customWidth="1"/>
    <col min="10" max="16384" width="9.140625" style="582"/>
  </cols>
  <sheetData>
    <row r="1" spans="1:12" x14ac:dyDescent="0.25">
      <c r="A1" s="582" t="s">
        <v>804</v>
      </c>
      <c r="B1" s="582">
        <v>2006</v>
      </c>
      <c r="C1" s="582">
        <v>2008</v>
      </c>
      <c r="D1" s="582">
        <v>2009</v>
      </c>
      <c r="E1" s="582">
        <v>2011</v>
      </c>
      <c r="F1" s="582">
        <v>2013</v>
      </c>
      <c r="G1" s="582">
        <v>2015</v>
      </c>
      <c r="H1" s="582">
        <v>2017</v>
      </c>
      <c r="I1" s="582">
        <v>2017</v>
      </c>
      <c r="J1" s="647">
        <v>2025</v>
      </c>
      <c r="K1" s="647">
        <v>2030</v>
      </c>
    </row>
    <row r="2" spans="1:12" x14ac:dyDescent="0.25">
      <c r="A2" s="582" t="s">
        <v>668</v>
      </c>
      <c r="J2" s="661">
        <f>'2025'!$G$69</f>
        <v>0</v>
      </c>
      <c r="K2" s="661">
        <f>'2030 '!$G$69</f>
        <v>-2.636660570294229E-15</v>
      </c>
    </row>
    <row r="3" spans="1:12" x14ac:dyDescent="0.25">
      <c r="A3" s="582" t="s">
        <v>669</v>
      </c>
      <c r="J3" s="661">
        <f>'2025'!$AV$10</f>
        <v>2012.1608405992283</v>
      </c>
      <c r="K3" s="661">
        <f>'2030 '!$AV$10</f>
        <v>1924.5276736828198</v>
      </c>
    </row>
    <row r="4" spans="1:12" x14ac:dyDescent="0.25">
      <c r="A4" s="582" t="s">
        <v>670</v>
      </c>
      <c r="J4" s="687">
        <f>'2025'!$AE$69</f>
        <v>0</v>
      </c>
      <c r="K4" s="687">
        <f>'2030 '!$AE$69</f>
        <v>0</v>
      </c>
    </row>
    <row r="5" spans="1:12" x14ac:dyDescent="0.25">
      <c r="A5" s="582" t="s">
        <v>671</v>
      </c>
      <c r="J5" s="687">
        <f>'2025'!$BT$10</f>
        <v>0</v>
      </c>
      <c r="K5" s="687">
        <f>'2030 '!$BT$10</f>
        <v>0</v>
      </c>
    </row>
    <row r="6" spans="1:12" ht="18" x14ac:dyDescent="0.35">
      <c r="A6" s="582" t="s">
        <v>672</v>
      </c>
      <c r="J6" s="647">
        <f>J4*J30-J5*J30</f>
        <v>0</v>
      </c>
      <c r="K6" s="647">
        <f>K4*K30-K5*K30</f>
        <v>0</v>
      </c>
    </row>
    <row r="8" spans="1:12" x14ac:dyDescent="0.25">
      <c r="A8" s="587" t="s">
        <v>631</v>
      </c>
    </row>
    <row r="9" spans="1:12" x14ac:dyDescent="0.25">
      <c r="A9" s="675" t="s">
        <v>529</v>
      </c>
    </row>
    <row r="10" spans="1:12" x14ac:dyDescent="0.25">
      <c r="A10" s="675" t="s">
        <v>633</v>
      </c>
      <c r="B10" s="676"/>
      <c r="C10" s="676"/>
      <c r="D10" s="676"/>
      <c r="E10" s="676"/>
      <c r="F10" s="676"/>
      <c r="G10" s="676"/>
      <c r="H10" s="676"/>
      <c r="I10" s="676"/>
      <c r="J10" s="677">
        <v>0</v>
      </c>
      <c r="K10" s="677">
        <v>0</v>
      </c>
      <c r="L10" s="582" t="s">
        <v>337</v>
      </c>
    </row>
    <row r="11" spans="1:12" x14ac:dyDescent="0.25">
      <c r="A11" s="663" t="s">
        <v>634</v>
      </c>
      <c r="J11" s="678">
        <v>0</v>
      </c>
      <c r="K11" s="678">
        <v>0</v>
      </c>
    </row>
    <row r="12" spans="1:12" x14ac:dyDescent="0.25">
      <c r="A12" s="663" t="s">
        <v>635</v>
      </c>
      <c r="J12" s="678">
        <v>0</v>
      </c>
      <c r="K12" s="678">
        <v>0</v>
      </c>
    </row>
    <row r="13" spans="1:12" x14ac:dyDescent="0.25">
      <c r="A13" s="663" t="s">
        <v>636</v>
      </c>
      <c r="J13" s="678">
        <v>0</v>
      </c>
      <c r="K13" s="678">
        <v>0</v>
      </c>
    </row>
    <row r="14" spans="1:12" x14ac:dyDescent="0.25">
      <c r="A14" s="663" t="s">
        <v>637</v>
      </c>
      <c r="J14" s="648">
        <f>1-J11-J12-J13-J15-J16</f>
        <v>0.5</v>
      </c>
      <c r="K14" s="648">
        <f>1-K11-K12-K13-K15-K16</f>
        <v>0.5</v>
      </c>
    </row>
    <row r="15" spans="1:12" x14ac:dyDescent="0.25">
      <c r="A15" s="663" t="s">
        <v>638</v>
      </c>
      <c r="J15" s="678">
        <v>0</v>
      </c>
      <c r="K15" s="678">
        <v>0</v>
      </c>
    </row>
    <row r="16" spans="1:12" x14ac:dyDescent="0.25">
      <c r="A16" s="663" t="s">
        <v>639</v>
      </c>
      <c r="J16" s="678">
        <v>0.5</v>
      </c>
      <c r="K16" s="678">
        <v>0.5</v>
      </c>
    </row>
    <row r="17" spans="1:22" x14ac:dyDescent="0.25">
      <c r="A17" s="679" t="s">
        <v>640</v>
      </c>
      <c r="J17" s="678">
        <v>0.9</v>
      </c>
      <c r="K17" s="678">
        <v>0.9</v>
      </c>
      <c r="T17" s="593"/>
      <c r="U17" s="593"/>
      <c r="V17" s="593"/>
    </row>
    <row r="18" spans="1:22" x14ac:dyDescent="0.25">
      <c r="A18" s="680" t="s">
        <v>646</v>
      </c>
      <c r="B18" s="676"/>
      <c r="C18" s="676"/>
      <c r="D18" s="676"/>
      <c r="E18" s="676"/>
      <c r="F18" s="676"/>
      <c r="G18" s="676"/>
      <c r="H18" s="676"/>
      <c r="I18" s="676"/>
      <c r="J18" s="681">
        <v>0</v>
      </c>
      <c r="K18" s="681">
        <v>0</v>
      </c>
      <c r="L18" s="582" t="s">
        <v>337</v>
      </c>
      <c r="T18" s="593"/>
      <c r="U18" s="593"/>
      <c r="V18" s="593"/>
    </row>
    <row r="19" spans="1:22" x14ac:dyDescent="0.25">
      <c r="A19" s="663" t="s">
        <v>641</v>
      </c>
      <c r="J19" s="678">
        <v>0.5</v>
      </c>
      <c r="K19" s="678">
        <v>0.5</v>
      </c>
      <c r="T19" s="593"/>
      <c r="U19" s="593"/>
      <c r="V19" s="593"/>
    </row>
    <row r="20" spans="1:22" x14ac:dyDescent="0.25">
      <c r="A20" s="682" t="s">
        <v>647</v>
      </c>
      <c r="J20" s="648">
        <f>IF(J19&gt;0,1-J21-J22-J23-J24-J25-J26-J27,0)</f>
        <v>1</v>
      </c>
      <c r="K20" s="648">
        <f>IF(K19&gt;0,1-K21-K22-K23-K24-K25-K26-K27,0)</f>
        <v>1</v>
      </c>
      <c r="T20" s="683"/>
      <c r="U20" s="593"/>
      <c r="V20" s="683"/>
    </row>
    <row r="21" spans="1:22" x14ac:dyDescent="0.25">
      <c r="A21" s="682" t="s">
        <v>648</v>
      </c>
      <c r="J21" s="678">
        <v>0</v>
      </c>
      <c r="K21" s="678">
        <v>0</v>
      </c>
      <c r="T21" s="683"/>
      <c r="U21" s="593"/>
      <c r="V21" s="683"/>
    </row>
    <row r="22" spans="1:22" x14ac:dyDescent="0.25">
      <c r="A22" s="684" t="s">
        <v>649</v>
      </c>
      <c r="J22" s="678">
        <v>0</v>
      </c>
      <c r="K22" s="678">
        <v>0</v>
      </c>
      <c r="T22" s="683"/>
      <c r="U22" s="593"/>
      <c r="V22" s="683"/>
    </row>
    <row r="23" spans="1:22" x14ac:dyDescent="0.25">
      <c r="A23" s="684" t="s">
        <v>650</v>
      </c>
      <c r="J23" s="678">
        <v>0</v>
      </c>
      <c r="K23" s="678">
        <v>0</v>
      </c>
      <c r="T23" s="683"/>
      <c r="U23" s="593"/>
      <c r="V23" s="683"/>
    </row>
    <row r="24" spans="1:22" x14ac:dyDescent="0.25">
      <c r="A24" s="684" t="s">
        <v>651</v>
      </c>
      <c r="J24" s="678">
        <v>0</v>
      </c>
      <c r="K24" s="678">
        <v>0</v>
      </c>
      <c r="T24" s="683"/>
      <c r="U24" s="593"/>
      <c r="V24" s="683"/>
    </row>
    <row r="25" spans="1:22" x14ac:dyDescent="0.25">
      <c r="A25" s="682" t="s">
        <v>652</v>
      </c>
      <c r="J25" s="678">
        <v>0</v>
      </c>
      <c r="K25" s="678">
        <v>0</v>
      </c>
      <c r="T25" s="683"/>
      <c r="U25" s="593"/>
      <c r="V25" s="683"/>
    </row>
    <row r="26" spans="1:22" x14ac:dyDescent="0.25">
      <c r="A26" s="682" t="s">
        <v>653</v>
      </c>
      <c r="J26" s="678">
        <v>0</v>
      </c>
      <c r="K26" s="678">
        <v>0</v>
      </c>
      <c r="T26" s="683"/>
      <c r="U26" s="593"/>
      <c r="V26" s="683"/>
    </row>
    <row r="27" spans="1:22" x14ac:dyDescent="0.25">
      <c r="A27" s="684" t="s">
        <v>654</v>
      </c>
      <c r="J27" s="678">
        <v>0</v>
      </c>
      <c r="K27" s="678">
        <v>0</v>
      </c>
      <c r="T27" s="683"/>
      <c r="U27" s="593"/>
      <c r="V27" s="683"/>
    </row>
    <row r="28" spans="1:22" x14ac:dyDescent="0.25">
      <c r="A28" s="663" t="s">
        <v>642</v>
      </c>
      <c r="J28" s="678">
        <v>0.5</v>
      </c>
      <c r="K28" s="678">
        <v>0.5</v>
      </c>
      <c r="T28" s="593"/>
      <c r="U28" s="593"/>
      <c r="V28" s="593"/>
    </row>
    <row r="29" spans="1:22" x14ac:dyDescent="0.25">
      <c r="A29" s="679" t="s">
        <v>643</v>
      </c>
      <c r="J29" s="678">
        <v>0.5</v>
      </c>
      <c r="K29" s="678">
        <v>0.5</v>
      </c>
      <c r="T29" s="593"/>
      <c r="U29" s="593"/>
      <c r="V29" s="593"/>
    </row>
    <row r="30" spans="1:22" x14ac:dyDescent="0.25">
      <c r="A30" s="685" t="s">
        <v>664</v>
      </c>
      <c r="J30" s="686">
        <v>7.2999999999999995E-2</v>
      </c>
      <c r="K30" s="686">
        <v>7.2999999999999995E-2</v>
      </c>
      <c r="L30" s="582" t="s">
        <v>665</v>
      </c>
    </row>
  </sheetData>
  <sheetProtection algorithmName="SHA-512" hashValue="cJDhCMhN1hXL3dcx6+AzrUlLITuC/WwJSSS4KP6p00JMXfHN/X8xeVUlhnTUMlncV2uW2/yFyR/Wan0cN/FPeQ==" saltValue="uIPE6Bl+f/M7jGIXDmQ6/Q==" spinCount="100000" sheet="1" objects="1" scenarios="1"/>
  <protectedRanges>
    <protectedRange algorithmName="SHA-512" hashValue="WolCy9FJkrCSEDwJaWLtwWMY9eOduj2JJYybFIe+rhtBfWlTPRaVKQUq5f19K66cvtAC32inopQxVTUdCZjbtA==" saltValue="FULfvqW8KXbvSrp8DzlZnQ==" spinCount="100000" sqref="A1:I1048576" name="Område4"/>
    <protectedRange algorithmName="SHA-512" hashValue="0yNTHJ8ggJaHPaOpNBEuDcaHDTxEMNnNP6UmJSaIHFcZdiIgvK+yyoeAHYhqCfivD8sbADYnOaJr96AbbnL3NA==" saltValue="/6zsSRw6pbO/Ih6bJGkPMQ==" spinCount="100000" sqref="J20:K20" name="Område2"/>
    <protectedRange algorithmName="SHA-512" hashValue="ygHiEixTnV2RHGPRvwdDiIlpGTq6ZpdwGn/59QNO2Yu3W+Jnll9V4R4eO2CVnfAflKDY71oDdtqO42mrA2Ahew==" saltValue="cgyS8pqOezOXdHG9P3VJvA==" spinCount="100000" sqref="J1:K6" name="Område1"/>
    <protectedRange algorithmName="SHA-512" hashValue="RCgXgZgj9aUBvmLUXVfstUMMiWDWTgN0idghX9WmpgpeJ/A9raMObHCN7y5lzDmibPheVP/B3YQ5/iO0y0Qfbw==" saltValue="fFR21OSMHg7f7daS7dT/bw==" spinCount="100000" sqref="J14:K14" name="Område3"/>
  </protectedRanges>
  <pageMargins left="0.7" right="0.7" top="0.75" bottom="0.75" header="0.3" footer="0.3"/>
  <pageSetup paperSize="9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15"/>
  <dimension ref="A1:U69"/>
  <sheetViews>
    <sheetView workbookViewId="0">
      <selection activeCell="AB62" sqref="AB62"/>
    </sheetView>
  </sheetViews>
  <sheetFormatPr defaultRowHeight="15" x14ac:dyDescent="0.25"/>
  <cols>
    <col min="1" max="1" width="60" style="582" customWidth="1"/>
    <col min="2" max="9" width="9.140625" style="582" hidden="1" customWidth="1"/>
    <col min="10" max="11" width="9.140625" style="582" customWidth="1"/>
    <col min="12" max="15" width="9.140625" style="582"/>
    <col min="16" max="17" width="9.140625" style="582" hidden="1" customWidth="1"/>
    <col min="18" max="16384" width="9.140625" style="582"/>
  </cols>
  <sheetData>
    <row r="1" spans="1:21" x14ac:dyDescent="0.25">
      <c r="A1" s="604"/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</row>
    <row r="2" spans="1:21" x14ac:dyDescent="0.25">
      <c r="A2" s="604"/>
      <c r="B2" s="784">
        <v>2006</v>
      </c>
      <c r="C2" s="784"/>
      <c r="D2" s="784">
        <v>2008</v>
      </c>
      <c r="E2" s="784"/>
      <c r="F2" s="784">
        <v>2009</v>
      </c>
      <c r="G2" s="784"/>
      <c r="H2" s="784">
        <v>2011</v>
      </c>
      <c r="I2" s="784"/>
      <c r="J2" s="784">
        <v>2013</v>
      </c>
      <c r="K2" s="784"/>
      <c r="L2" s="766">
        <v>2015</v>
      </c>
      <c r="M2" s="766"/>
      <c r="N2" s="766">
        <v>2017</v>
      </c>
      <c r="O2" s="766"/>
      <c r="P2" s="766">
        <v>2017</v>
      </c>
      <c r="Q2" s="766"/>
      <c r="R2" s="787">
        <v>2025</v>
      </c>
      <c r="S2" s="787"/>
      <c r="T2" s="787">
        <v>2030</v>
      </c>
      <c r="U2" s="787"/>
    </row>
    <row r="3" spans="1:21" x14ac:dyDescent="0.25">
      <c r="A3" s="629" t="s">
        <v>364</v>
      </c>
      <c r="B3" s="666" t="s">
        <v>27</v>
      </c>
      <c r="C3" s="666" t="s">
        <v>30</v>
      </c>
      <c r="D3" s="666" t="s">
        <v>27</v>
      </c>
      <c r="E3" s="666" t="s">
        <v>30</v>
      </c>
      <c r="F3" s="666" t="s">
        <v>27</v>
      </c>
      <c r="G3" s="666" t="s">
        <v>30</v>
      </c>
      <c r="H3" s="666" t="s">
        <v>27</v>
      </c>
      <c r="I3" s="666" t="s">
        <v>30</v>
      </c>
      <c r="J3" s="650" t="s">
        <v>27</v>
      </c>
      <c r="K3" s="650" t="s">
        <v>30</v>
      </c>
      <c r="L3" s="666" t="s">
        <v>27</v>
      </c>
      <c r="M3" s="666" t="s">
        <v>30</v>
      </c>
      <c r="N3" s="666" t="s">
        <v>27</v>
      </c>
      <c r="O3" s="666" t="s">
        <v>30</v>
      </c>
      <c r="P3" s="666" t="s">
        <v>27</v>
      </c>
      <c r="Q3" s="666" t="s">
        <v>30</v>
      </c>
      <c r="R3" s="655" t="s">
        <v>27</v>
      </c>
      <c r="S3" s="655" t="s">
        <v>30</v>
      </c>
      <c r="T3" s="655" t="s">
        <v>27</v>
      </c>
      <c r="U3" s="655" t="s">
        <v>30</v>
      </c>
    </row>
    <row r="4" spans="1:21" x14ac:dyDescent="0.25">
      <c r="A4" s="604" t="s">
        <v>145</v>
      </c>
      <c r="B4" s="717">
        <f>Nøgletal!D345</f>
        <v>0.38700000000000001</v>
      </c>
      <c r="C4" s="717">
        <f>Nøgletal!E345</f>
        <v>0.53</v>
      </c>
      <c r="D4" s="717">
        <f>Nøgletal!F345</f>
        <v>0</v>
      </c>
      <c r="E4" s="717">
        <f>Nøgletal!G345</f>
        <v>0</v>
      </c>
      <c r="F4" s="717">
        <f>Nøgletal!H345</f>
        <v>0</v>
      </c>
      <c r="G4" s="717">
        <f>Nøgletal!I345</f>
        <v>0</v>
      </c>
      <c r="H4" s="717">
        <f>Nøgletal!J345</f>
        <v>0.34399999999999997</v>
      </c>
      <c r="I4" s="717">
        <f>Nøgletal!K345</f>
        <v>0.51600000000000001</v>
      </c>
      <c r="J4" s="717">
        <f>Nøgletal!L345</f>
        <v>0.34399999999999997</v>
      </c>
      <c r="K4" s="717">
        <f>Nøgletal!M345</f>
        <v>0.51600000000000001</v>
      </c>
      <c r="L4" s="717">
        <f>Nøgletal!N345</f>
        <v>0.34399999999999997</v>
      </c>
      <c r="M4" s="717">
        <f>Nøgletal!O345</f>
        <v>0.51600000000000001</v>
      </c>
      <c r="N4" s="717">
        <f>Nøgletal!P345</f>
        <v>0</v>
      </c>
      <c r="O4" s="717">
        <f>Nøgletal!Q345</f>
        <v>0</v>
      </c>
      <c r="P4" s="717">
        <f>Nøgletal!R345</f>
        <v>0</v>
      </c>
      <c r="Q4" s="717">
        <f>Nøgletal!S345</f>
        <v>0</v>
      </c>
      <c r="R4" s="711">
        <v>0</v>
      </c>
      <c r="S4" s="711">
        <v>0</v>
      </c>
      <c r="T4" s="711">
        <v>0.34399999999999997</v>
      </c>
      <c r="U4" s="711">
        <v>0.51600000000000001</v>
      </c>
    </row>
    <row r="5" spans="1:21" x14ac:dyDescent="0.25">
      <c r="A5" s="604" t="s">
        <v>147</v>
      </c>
      <c r="B5" s="717">
        <f>Nøgletal!D346</f>
        <v>0</v>
      </c>
      <c r="C5" s="717">
        <f>Nøgletal!E346</f>
        <v>0</v>
      </c>
      <c r="D5" s="717">
        <f>Nøgletal!F346</f>
        <v>0</v>
      </c>
      <c r="E5" s="717">
        <f>Nøgletal!G346</f>
        <v>0</v>
      </c>
      <c r="F5" s="717">
        <f>Nøgletal!H346</f>
        <v>0</v>
      </c>
      <c r="G5" s="717">
        <f>Nøgletal!I346</f>
        <v>0</v>
      </c>
      <c r="H5" s="717">
        <f>Nøgletal!J346</f>
        <v>0</v>
      </c>
      <c r="I5" s="717">
        <f>Nøgletal!K346</f>
        <v>0</v>
      </c>
      <c r="J5" s="717">
        <f>Nøgletal!L346</f>
        <v>0</v>
      </c>
      <c r="K5" s="717">
        <f>Nøgletal!M346</f>
        <v>0</v>
      </c>
      <c r="L5" s="717">
        <f>Nøgletal!N346</f>
        <v>0</v>
      </c>
      <c r="M5" s="717">
        <f>Nøgletal!O346</f>
        <v>0</v>
      </c>
      <c r="N5" s="717">
        <f>Nøgletal!P346</f>
        <v>0</v>
      </c>
      <c r="O5" s="717">
        <f>Nøgletal!Q346</f>
        <v>0</v>
      </c>
      <c r="P5" s="717">
        <f>Nøgletal!R346</f>
        <v>0</v>
      </c>
      <c r="Q5" s="717">
        <f>Nøgletal!S346</f>
        <v>0</v>
      </c>
      <c r="R5" s="711">
        <v>0</v>
      </c>
      <c r="S5" s="711">
        <v>0</v>
      </c>
      <c r="T5" s="711">
        <v>0</v>
      </c>
      <c r="U5" s="711">
        <v>0</v>
      </c>
    </row>
    <row r="6" spans="1:21" x14ac:dyDescent="0.25">
      <c r="A6" s="604" t="s">
        <v>149</v>
      </c>
      <c r="B6" s="717">
        <f>Nøgletal!D347</f>
        <v>0</v>
      </c>
      <c r="C6" s="717">
        <f>Nøgletal!E347</f>
        <v>0</v>
      </c>
      <c r="D6" s="717">
        <f>Nøgletal!F347</f>
        <v>0</v>
      </c>
      <c r="E6" s="717">
        <f>Nøgletal!G347</f>
        <v>0</v>
      </c>
      <c r="F6" s="717">
        <f>Nøgletal!H347</f>
        <v>0</v>
      </c>
      <c r="G6" s="717">
        <f>Nøgletal!I347</f>
        <v>0</v>
      </c>
      <c r="H6" s="717">
        <f>Nøgletal!J347</f>
        <v>0</v>
      </c>
      <c r="I6" s="717">
        <f>Nøgletal!K347</f>
        <v>0</v>
      </c>
      <c r="J6" s="717">
        <f>Nøgletal!L347</f>
        <v>0</v>
      </c>
      <c r="K6" s="717">
        <f>Nøgletal!M347</f>
        <v>0</v>
      </c>
      <c r="L6" s="717">
        <f>Nøgletal!N347</f>
        <v>0</v>
      </c>
      <c r="M6" s="717">
        <f>Nøgletal!O347</f>
        <v>0</v>
      </c>
      <c r="N6" s="717">
        <f>Nøgletal!P347</f>
        <v>0</v>
      </c>
      <c r="O6" s="717">
        <f>Nøgletal!Q347</f>
        <v>0</v>
      </c>
      <c r="P6" s="717">
        <f>Nøgletal!R347</f>
        <v>0</v>
      </c>
      <c r="Q6" s="717">
        <f>Nøgletal!S347</f>
        <v>0</v>
      </c>
      <c r="R6" s="711">
        <v>0</v>
      </c>
      <c r="S6" s="711">
        <v>0</v>
      </c>
      <c r="T6" s="711">
        <v>0</v>
      </c>
      <c r="U6" s="711">
        <v>0</v>
      </c>
    </row>
    <row r="7" spans="1:21" x14ac:dyDescent="0.25">
      <c r="A7" s="604" t="s">
        <v>151</v>
      </c>
      <c r="B7" s="717">
        <f>Nøgletal!D348</f>
        <v>0</v>
      </c>
      <c r="C7" s="717">
        <f>Nøgletal!E348</f>
        <v>0</v>
      </c>
      <c r="D7" s="717">
        <f>Nøgletal!F348</f>
        <v>0</v>
      </c>
      <c r="E7" s="717">
        <f>Nøgletal!G348</f>
        <v>0</v>
      </c>
      <c r="F7" s="717">
        <f>Nøgletal!H348</f>
        <v>0</v>
      </c>
      <c r="G7" s="717">
        <f>Nøgletal!I348</f>
        <v>0</v>
      </c>
      <c r="H7" s="717">
        <f>Nøgletal!J348</f>
        <v>0</v>
      </c>
      <c r="I7" s="717">
        <f>Nøgletal!K348</f>
        <v>0</v>
      </c>
      <c r="J7" s="717">
        <f>Nøgletal!L348</f>
        <v>0</v>
      </c>
      <c r="K7" s="717">
        <f>Nøgletal!M348</f>
        <v>0</v>
      </c>
      <c r="L7" s="717">
        <f>Nøgletal!N348</f>
        <v>0</v>
      </c>
      <c r="M7" s="717">
        <f>Nøgletal!O348</f>
        <v>0</v>
      </c>
      <c r="N7" s="717">
        <f>Nøgletal!P348</f>
        <v>0</v>
      </c>
      <c r="O7" s="717">
        <f>Nøgletal!Q348</f>
        <v>0</v>
      </c>
      <c r="P7" s="717">
        <f>Nøgletal!R348</f>
        <v>0</v>
      </c>
      <c r="Q7" s="717">
        <f>Nøgletal!S348</f>
        <v>0</v>
      </c>
      <c r="R7" s="711">
        <v>0</v>
      </c>
      <c r="S7" s="711">
        <v>0</v>
      </c>
      <c r="T7" s="711">
        <v>0</v>
      </c>
      <c r="U7" s="711">
        <v>0</v>
      </c>
    </row>
    <row r="8" spans="1:21" x14ac:dyDescent="0.25">
      <c r="A8" s="604" t="s">
        <v>153</v>
      </c>
      <c r="B8" s="717">
        <f>Nøgletal!D349</f>
        <v>0</v>
      </c>
      <c r="C8" s="717">
        <f>Nøgletal!E349</f>
        <v>0</v>
      </c>
      <c r="D8" s="717">
        <f>Nøgletal!F349</f>
        <v>0</v>
      </c>
      <c r="E8" s="717">
        <f>Nøgletal!G349</f>
        <v>0</v>
      </c>
      <c r="F8" s="717">
        <f>Nøgletal!H349</f>
        <v>0</v>
      </c>
      <c r="G8" s="717">
        <f>Nøgletal!I349</f>
        <v>0</v>
      </c>
      <c r="H8" s="717">
        <f>Nøgletal!J349</f>
        <v>0</v>
      </c>
      <c r="I8" s="717">
        <f>Nøgletal!K349</f>
        <v>0</v>
      </c>
      <c r="J8" s="717">
        <f>Nøgletal!L349</f>
        <v>0</v>
      </c>
      <c r="K8" s="717">
        <f>Nøgletal!M349</f>
        <v>0</v>
      </c>
      <c r="L8" s="717">
        <f>Nøgletal!N349</f>
        <v>0</v>
      </c>
      <c r="M8" s="717">
        <f>Nøgletal!O349</f>
        <v>0</v>
      </c>
      <c r="N8" s="717">
        <f>Nøgletal!P349</f>
        <v>0</v>
      </c>
      <c r="O8" s="717">
        <f>Nøgletal!Q349</f>
        <v>0</v>
      </c>
      <c r="P8" s="717">
        <f>Nøgletal!R349</f>
        <v>0</v>
      </c>
      <c r="Q8" s="717">
        <f>Nøgletal!S349</f>
        <v>0</v>
      </c>
      <c r="R8" s="711">
        <v>0</v>
      </c>
      <c r="S8" s="711">
        <v>4</v>
      </c>
      <c r="T8" s="711">
        <v>0</v>
      </c>
      <c r="U8" s="711">
        <v>4</v>
      </c>
    </row>
    <row r="9" spans="1:21" x14ac:dyDescent="0.25">
      <c r="A9" s="604" t="s">
        <v>155</v>
      </c>
      <c r="B9" s="717">
        <f>Nøgletal!D350</f>
        <v>0</v>
      </c>
      <c r="C9" s="717">
        <f>Nøgletal!E350</f>
        <v>0</v>
      </c>
      <c r="D9" s="717">
        <f>Nøgletal!F350</f>
        <v>0</v>
      </c>
      <c r="E9" s="717">
        <f>Nøgletal!G350</f>
        <v>0</v>
      </c>
      <c r="F9" s="717">
        <f>Nøgletal!H350</f>
        <v>0</v>
      </c>
      <c r="G9" s="717">
        <f>Nøgletal!I350</f>
        <v>0</v>
      </c>
      <c r="H9" s="717">
        <f>Nøgletal!J350</f>
        <v>0</v>
      </c>
      <c r="I9" s="717">
        <f>Nøgletal!K350</f>
        <v>0</v>
      </c>
      <c r="J9" s="717">
        <f>Nøgletal!L350</f>
        <v>0</v>
      </c>
      <c r="K9" s="717">
        <f>Nøgletal!M350</f>
        <v>0</v>
      </c>
      <c r="L9" s="717">
        <f>Nøgletal!N350</f>
        <v>0</v>
      </c>
      <c r="M9" s="717">
        <f>Nøgletal!O350</f>
        <v>0</v>
      </c>
      <c r="N9" s="717">
        <f>Nøgletal!P350</f>
        <v>0</v>
      </c>
      <c r="O9" s="717">
        <f>Nøgletal!Q350</f>
        <v>0</v>
      </c>
      <c r="P9" s="717">
        <f>Nøgletal!R350</f>
        <v>0</v>
      </c>
      <c r="Q9" s="717">
        <f>Nøgletal!S350</f>
        <v>0</v>
      </c>
      <c r="R9" s="711">
        <v>0</v>
      </c>
      <c r="S9" s="711">
        <v>1</v>
      </c>
      <c r="T9" s="711">
        <v>0</v>
      </c>
      <c r="U9" s="711">
        <v>1</v>
      </c>
    </row>
    <row r="10" spans="1:21" x14ac:dyDescent="0.25">
      <c r="A10" s="629" t="s">
        <v>365</v>
      </c>
      <c r="B10" s="717"/>
      <c r="C10" s="717"/>
      <c r="D10" s="717"/>
      <c r="E10" s="717"/>
      <c r="F10" s="717"/>
      <c r="G10" s="717"/>
      <c r="H10" s="717"/>
      <c r="I10" s="717"/>
      <c r="J10" s="717"/>
      <c r="K10" s="717"/>
      <c r="L10" s="717"/>
      <c r="M10" s="717"/>
      <c r="N10" s="717"/>
      <c r="O10" s="717"/>
      <c r="P10" s="717"/>
      <c r="Q10" s="717"/>
      <c r="R10" s="712"/>
      <c r="S10" s="712"/>
      <c r="T10" s="712"/>
      <c r="U10" s="712"/>
    </row>
    <row r="11" spans="1:21" x14ac:dyDescent="0.25">
      <c r="A11" s="604" t="s">
        <v>163</v>
      </c>
      <c r="B11" s="717">
        <f>Nøgletal!D353</f>
        <v>0</v>
      </c>
      <c r="C11" s="717">
        <f>Nøgletal!E353</f>
        <v>0</v>
      </c>
      <c r="D11" s="717">
        <f>Nøgletal!F353</f>
        <v>0</v>
      </c>
      <c r="E11" s="717">
        <f>Nøgletal!G353</f>
        <v>0</v>
      </c>
      <c r="F11" s="717">
        <f>Nøgletal!H353</f>
        <v>0</v>
      </c>
      <c r="G11" s="717">
        <f>Nøgletal!I353</f>
        <v>0</v>
      </c>
      <c r="H11" s="717">
        <f>Nøgletal!J353</f>
        <v>0</v>
      </c>
      <c r="I11" s="717">
        <f>Nøgletal!K353</f>
        <v>0</v>
      </c>
      <c r="J11" s="717">
        <f>Nøgletal!L353</f>
        <v>0</v>
      </c>
      <c r="K11" s="717">
        <f>Nøgletal!M353</f>
        <v>0</v>
      </c>
      <c r="L11" s="717">
        <f>Nøgletal!N353</f>
        <v>0</v>
      </c>
      <c r="M11" s="717">
        <f>Nøgletal!O353</f>
        <v>0</v>
      </c>
      <c r="N11" s="717">
        <f>Nøgletal!P353</f>
        <v>0</v>
      </c>
      <c r="O11" s="717">
        <f>Nøgletal!Q353</f>
        <v>0</v>
      </c>
      <c r="P11" s="717">
        <f>Nøgletal!R353</f>
        <v>0</v>
      </c>
      <c r="Q11" s="717">
        <f>Nøgletal!S353</f>
        <v>0</v>
      </c>
      <c r="R11" s="711">
        <v>0</v>
      </c>
      <c r="S11" s="711">
        <v>0</v>
      </c>
      <c r="T11" s="711">
        <v>0</v>
      </c>
      <c r="U11" s="711">
        <v>0</v>
      </c>
    </row>
    <row r="12" spans="1:21" x14ac:dyDescent="0.25">
      <c r="A12" s="604" t="s">
        <v>165</v>
      </c>
      <c r="B12" s="717">
        <f>Nøgletal!D354</f>
        <v>0</v>
      </c>
      <c r="C12" s="717">
        <f>Nøgletal!E354</f>
        <v>0</v>
      </c>
      <c r="D12" s="717">
        <f>Nøgletal!F354</f>
        <v>0</v>
      </c>
      <c r="E12" s="717">
        <f>Nøgletal!G354</f>
        <v>0</v>
      </c>
      <c r="F12" s="717">
        <f>Nøgletal!H354</f>
        <v>0</v>
      </c>
      <c r="G12" s="717">
        <f>Nøgletal!I354</f>
        <v>0</v>
      </c>
      <c r="H12" s="717">
        <f>Nøgletal!J354</f>
        <v>0</v>
      </c>
      <c r="I12" s="717">
        <f>Nøgletal!K354</f>
        <v>0</v>
      </c>
      <c r="J12" s="717">
        <f>Nøgletal!L354</f>
        <v>0</v>
      </c>
      <c r="K12" s="717">
        <f>Nøgletal!M354</f>
        <v>0</v>
      </c>
      <c r="L12" s="717">
        <f>Nøgletal!N354</f>
        <v>0</v>
      </c>
      <c r="M12" s="717">
        <f>Nøgletal!O354</f>
        <v>0</v>
      </c>
      <c r="N12" s="717">
        <f>Nøgletal!P354</f>
        <v>0</v>
      </c>
      <c r="O12" s="717">
        <f>Nøgletal!Q354</f>
        <v>0</v>
      </c>
      <c r="P12" s="717">
        <f>Nøgletal!R354</f>
        <v>0</v>
      </c>
      <c r="Q12" s="717">
        <f>Nøgletal!S354</f>
        <v>0</v>
      </c>
      <c r="R12" s="711">
        <v>0</v>
      </c>
      <c r="S12" s="711">
        <v>0</v>
      </c>
      <c r="T12" s="711">
        <v>0</v>
      </c>
      <c r="U12" s="711">
        <v>0</v>
      </c>
    </row>
    <row r="13" spans="1:21" x14ac:dyDescent="0.25">
      <c r="A13" s="604" t="s">
        <v>167</v>
      </c>
      <c r="B13" s="717">
        <f>Nøgletal!D355</f>
        <v>0</v>
      </c>
      <c r="C13" s="717">
        <f>Nøgletal!E355</f>
        <v>0</v>
      </c>
      <c r="D13" s="717">
        <f>Nøgletal!F355</f>
        <v>0</v>
      </c>
      <c r="E13" s="717">
        <f>Nøgletal!G355</f>
        <v>0</v>
      </c>
      <c r="F13" s="717">
        <f>Nøgletal!H355</f>
        <v>0</v>
      </c>
      <c r="G13" s="717">
        <f>Nøgletal!I355</f>
        <v>0</v>
      </c>
      <c r="H13" s="717">
        <f>Nøgletal!J355</f>
        <v>0</v>
      </c>
      <c r="I13" s="717">
        <f>Nøgletal!K355</f>
        <v>0</v>
      </c>
      <c r="J13" s="717">
        <f>Nøgletal!L355</f>
        <v>0</v>
      </c>
      <c r="K13" s="717">
        <f>Nøgletal!M355</f>
        <v>0</v>
      </c>
      <c r="L13" s="717">
        <f>Nøgletal!N355</f>
        <v>0</v>
      </c>
      <c r="M13" s="717">
        <f>Nøgletal!O355</f>
        <v>0</v>
      </c>
      <c r="N13" s="717">
        <f>Nøgletal!P355</f>
        <v>0</v>
      </c>
      <c r="O13" s="717">
        <f>Nøgletal!Q355</f>
        <v>0</v>
      </c>
      <c r="P13" s="717">
        <f>Nøgletal!R355</f>
        <v>0</v>
      </c>
      <c r="Q13" s="717">
        <f>Nøgletal!S355</f>
        <v>0</v>
      </c>
      <c r="R13" s="711">
        <v>0</v>
      </c>
      <c r="S13" s="711">
        <v>0</v>
      </c>
      <c r="T13" s="711">
        <v>0</v>
      </c>
      <c r="U13" s="711">
        <v>0</v>
      </c>
    </row>
    <row r="14" spans="1:21" x14ac:dyDescent="0.25">
      <c r="A14" s="629" t="s">
        <v>366</v>
      </c>
      <c r="B14" s="718"/>
      <c r="C14" s="718"/>
      <c r="D14" s="718"/>
      <c r="E14" s="718"/>
      <c r="F14" s="718"/>
      <c r="G14" s="718"/>
      <c r="H14" s="718"/>
      <c r="I14" s="718"/>
      <c r="J14" s="718"/>
      <c r="K14" s="718"/>
      <c r="L14" s="718"/>
      <c r="M14" s="718"/>
      <c r="N14" s="718"/>
      <c r="O14" s="718"/>
      <c r="P14" s="718"/>
      <c r="Q14" s="718"/>
      <c r="R14" s="712"/>
      <c r="S14" s="712"/>
      <c r="T14" s="712"/>
      <c r="U14" s="712"/>
    </row>
    <row r="15" spans="1:21" x14ac:dyDescent="0.25">
      <c r="A15" s="604" t="s">
        <v>173</v>
      </c>
      <c r="B15" s="717">
        <f>Nøgletal!D357</f>
        <v>0</v>
      </c>
      <c r="C15" s="717">
        <f>Nøgletal!E357</f>
        <v>0</v>
      </c>
      <c r="D15" s="717">
        <f>Nøgletal!F357</f>
        <v>0</v>
      </c>
      <c r="E15" s="717">
        <f>Nøgletal!G357</f>
        <v>0</v>
      </c>
      <c r="F15" s="717">
        <f>Nøgletal!H357</f>
        <v>0</v>
      </c>
      <c r="G15" s="717">
        <f>Nøgletal!I357</f>
        <v>0</v>
      </c>
      <c r="H15" s="717">
        <f>Nøgletal!J357</f>
        <v>0</v>
      </c>
      <c r="I15" s="717">
        <f>Nøgletal!K357</f>
        <v>0</v>
      </c>
      <c r="J15" s="717">
        <f>Nøgletal!L357</f>
        <v>0</v>
      </c>
      <c r="K15" s="717">
        <f>Nøgletal!M357</f>
        <v>0</v>
      </c>
      <c r="L15" s="717">
        <f>Nøgletal!N357</f>
        <v>0</v>
      </c>
      <c r="M15" s="717">
        <f>Nøgletal!O357</f>
        <v>0</v>
      </c>
      <c r="N15" s="717">
        <f>Nøgletal!P357</f>
        <v>0</v>
      </c>
      <c r="O15" s="717">
        <f>Nøgletal!Q357</f>
        <v>0</v>
      </c>
      <c r="P15" s="717">
        <f>Nøgletal!R357</f>
        <v>0</v>
      </c>
      <c r="Q15" s="717">
        <f>Nøgletal!S357</f>
        <v>0</v>
      </c>
      <c r="R15" s="713">
        <v>0</v>
      </c>
      <c r="S15" s="713">
        <v>0</v>
      </c>
      <c r="T15" s="713">
        <v>0</v>
      </c>
      <c r="U15" s="713">
        <v>0</v>
      </c>
    </row>
    <row r="16" spans="1:21" x14ac:dyDescent="0.25">
      <c r="A16" s="604" t="s">
        <v>175</v>
      </c>
      <c r="B16" s="717">
        <f>Nøgletal!D358</f>
        <v>0</v>
      </c>
      <c r="C16" s="717">
        <f>Nøgletal!E358</f>
        <v>0</v>
      </c>
      <c r="D16" s="717">
        <f>Nøgletal!F358</f>
        <v>0</v>
      </c>
      <c r="E16" s="717">
        <f>Nøgletal!G358</f>
        <v>0</v>
      </c>
      <c r="F16" s="717">
        <f>Nøgletal!H358</f>
        <v>0</v>
      </c>
      <c r="G16" s="717">
        <f>Nøgletal!I358</f>
        <v>0</v>
      </c>
      <c r="H16" s="717">
        <f>Nøgletal!J358</f>
        <v>0</v>
      </c>
      <c r="I16" s="717">
        <f>Nøgletal!K358</f>
        <v>0</v>
      </c>
      <c r="J16" s="717">
        <f>Nøgletal!L358</f>
        <v>0</v>
      </c>
      <c r="K16" s="717">
        <f>Nøgletal!M358</f>
        <v>0</v>
      </c>
      <c r="L16" s="717">
        <f>Nøgletal!N358</f>
        <v>0</v>
      </c>
      <c r="M16" s="717">
        <f>Nøgletal!O358</f>
        <v>0</v>
      </c>
      <c r="N16" s="717">
        <f>Nøgletal!P358</f>
        <v>0</v>
      </c>
      <c r="O16" s="717">
        <f>Nøgletal!Q358</f>
        <v>0</v>
      </c>
      <c r="P16" s="717">
        <f>Nøgletal!R358</f>
        <v>0</v>
      </c>
      <c r="Q16" s="717">
        <f>Nøgletal!S358</f>
        <v>0</v>
      </c>
      <c r="R16" s="711">
        <v>0</v>
      </c>
      <c r="S16" s="711">
        <v>0</v>
      </c>
      <c r="T16" s="711">
        <v>0.38</v>
      </c>
      <c r="U16" s="711">
        <v>0.34200000000000003</v>
      </c>
    </row>
    <row r="17" spans="1:21" x14ac:dyDescent="0.25">
      <c r="A17" s="604" t="s">
        <v>177</v>
      </c>
      <c r="B17" s="717">
        <f>Nøgletal!D359</f>
        <v>0</v>
      </c>
      <c r="C17" s="717">
        <f>Nøgletal!E359</f>
        <v>0</v>
      </c>
      <c r="D17" s="717">
        <f>Nøgletal!F359</f>
        <v>0</v>
      </c>
      <c r="E17" s="717">
        <f>Nøgletal!G359</f>
        <v>0</v>
      </c>
      <c r="F17" s="717">
        <f>Nøgletal!H359</f>
        <v>0</v>
      </c>
      <c r="G17" s="717">
        <f>Nøgletal!I359</f>
        <v>0</v>
      </c>
      <c r="H17" s="717">
        <f>Nøgletal!J359</f>
        <v>0</v>
      </c>
      <c r="I17" s="717">
        <f>Nøgletal!K359</f>
        <v>0</v>
      </c>
      <c r="J17" s="717">
        <f>Nøgletal!L359</f>
        <v>0</v>
      </c>
      <c r="K17" s="717">
        <f>Nøgletal!M359</f>
        <v>0</v>
      </c>
      <c r="L17" s="717">
        <f>Nøgletal!N359</f>
        <v>0</v>
      </c>
      <c r="M17" s="717">
        <f>Nøgletal!O359</f>
        <v>0</v>
      </c>
      <c r="N17" s="717">
        <f>Nøgletal!P359</f>
        <v>0</v>
      </c>
      <c r="O17" s="717">
        <f>Nøgletal!Q359</f>
        <v>0</v>
      </c>
      <c r="P17" s="717">
        <f>Nøgletal!R359</f>
        <v>0</v>
      </c>
      <c r="Q17" s="717">
        <f>Nøgletal!S359</f>
        <v>0</v>
      </c>
      <c r="R17" s="711">
        <v>0</v>
      </c>
      <c r="S17" s="711">
        <v>0</v>
      </c>
      <c r="T17" s="711">
        <v>0</v>
      </c>
      <c r="U17" s="711">
        <v>0</v>
      </c>
    </row>
    <row r="18" spans="1:21" x14ac:dyDescent="0.25">
      <c r="A18" s="604" t="s">
        <v>179</v>
      </c>
      <c r="B18" s="717">
        <f>Nøgletal!D360</f>
        <v>0</v>
      </c>
      <c r="C18" s="717">
        <f>Nøgletal!E360</f>
        <v>0</v>
      </c>
      <c r="D18" s="717">
        <f>Nøgletal!F360</f>
        <v>0</v>
      </c>
      <c r="E18" s="717">
        <f>Nøgletal!G360</f>
        <v>0</v>
      </c>
      <c r="F18" s="717">
        <f>Nøgletal!H360</f>
        <v>0</v>
      </c>
      <c r="G18" s="717">
        <f>Nøgletal!I360</f>
        <v>0</v>
      </c>
      <c r="H18" s="717">
        <f>Nøgletal!J360</f>
        <v>0</v>
      </c>
      <c r="I18" s="717">
        <f>Nøgletal!K360</f>
        <v>0</v>
      </c>
      <c r="J18" s="717">
        <f>Nøgletal!L360</f>
        <v>0</v>
      </c>
      <c r="K18" s="717">
        <f>Nøgletal!M360</f>
        <v>0</v>
      </c>
      <c r="L18" s="717">
        <f>Nøgletal!N360</f>
        <v>0</v>
      </c>
      <c r="M18" s="717">
        <f>Nøgletal!O360</f>
        <v>0</v>
      </c>
      <c r="N18" s="717">
        <f>Nøgletal!P360</f>
        <v>0</v>
      </c>
      <c r="O18" s="717">
        <f>Nøgletal!Q360</f>
        <v>0</v>
      </c>
      <c r="P18" s="717">
        <f>Nøgletal!R360</f>
        <v>0</v>
      </c>
      <c r="Q18" s="717">
        <f>Nøgletal!S360</f>
        <v>0</v>
      </c>
      <c r="R18" s="711">
        <v>0</v>
      </c>
      <c r="S18" s="711">
        <v>0</v>
      </c>
      <c r="T18" s="711">
        <v>0</v>
      </c>
      <c r="U18" s="711">
        <v>0</v>
      </c>
    </row>
    <row r="19" spans="1:21" x14ac:dyDescent="0.25">
      <c r="A19" s="604" t="s">
        <v>181</v>
      </c>
      <c r="B19" s="717">
        <f>Nøgletal!D361</f>
        <v>0</v>
      </c>
      <c r="C19" s="717">
        <f>Nøgletal!E361</f>
        <v>0</v>
      </c>
      <c r="D19" s="717">
        <f>Nøgletal!F361</f>
        <v>0</v>
      </c>
      <c r="E19" s="717">
        <f>Nøgletal!G361</f>
        <v>0</v>
      </c>
      <c r="F19" s="717">
        <f>Nøgletal!H361</f>
        <v>0</v>
      </c>
      <c r="G19" s="717">
        <f>Nøgletal!I361</f>
        <v>0</v>
      </c>
      <c r="H19" s="717">
        <f>Nøgletal!J361</f>
        <v>0</v>
      </c>
      <c r="I19" s="717">
        <f>Nøgletal!K361</f>
        <v>0</v>
      </c>
      <c r="J19" s="717">
        <f>Nøgletal!L361</f>
        <v>0</v>
      </c>
      <c r="K19" s="717">
        <f>Nøgletal!M361</f>
        <v>0</v>
      </c>
      <c r="L19" s="717">
        <f>Nøgletal!N361</f>
        <v>0</v>
      </c>
      <c r="M19" s="717">
        <f>Nøgletal!O361</f>
        <v>0</v>
      </c>
      <c r="N19" s="717">
        <f>Nøgletal!P361</f>
        <v>0</v>
      </c>
      <c r="O19" s="717">
        <f>Nøgletal!Q361</f>
        <v>0</v>
      </c>
      <c r="P19" s="717">
        <f>Nøgletal!R361</f>
        <v>0</v>
      </c>
      <c r="Q19" s="717">
        <f>Nøgletal!S361</f>
        <v>0</v>
      </c>
      <c r="R19" s="711">
        <v>0</v>
      </c>
      <c r="S19" s="711">
        <v>4</v>
      </c>
      <c r="T19" s="711">
        <v>0</v>
      </c>
      <c r="U19" s="711">
        <v>4</v>
      </c>
    </row>
    <row r="20" spans="1:21" x14ac:dyDescent="0.25">
      <c r="A20" s="604" t="s">
        <v>183</v>
      </c>
      <c r="B20" s="717">
        <f>Nøgletal!D362</f>
        <v>0</v>
      </c>
      <c r="C20" s="717">
        <f>Nøgletal!E362</f>
        <v>0</v>
      </c>
      <c r="D20" s="717">
        <f>Nøgletal!F362</f>
        <v>0</v>
      </c>
      <c r="E20" s="717">
        <f>Nøgletal!G362</f>
        <v>0</v>
      </c>
      <c r="F20" s="717">
        <f>Nøgletal!H362</f>
        <v>0</v>
      </c>
      <c r="G20" s="717">
        <f>Nøgletal!I362</f>
        <v>0</v>
      </c>
      <c r="H20" s="717">
        <f>Nøgletal!J362</f>
        <v>0</v>
      </c>
      <c r="I20" s="717">
        <f>Nøgletal!K362</f>
        <v>0</v>
      </c>
      <c r="J20" s="717">
        <f>Nøgletal!L362</f>
        <v>0</v>
      </c>
      <c r="K20" s="717">
        <f>Nøgletal!M362</f>
        <v>0</v>
      </c>
      <c r="L20" s="717">
        <f>Nøgletal!N362</f>
        <v>0</v>
      </c>
      <c r="M20" s="717">
        <f>Nøgletal!O362</f>
        <v>0</v>
      </c>
      <c r="N20" s="717">
        <f>Nøgletal!P362</f>
        <v>0</v>
      </c>
      <c r="O20" s="717">
        <f>Nøgletal!Q362</f>
        <v>0</v>
      </c>
      <c r="P20" s="717">
        <f>Nøgletal!R362</f>
        <v>0</v>
      </c>
      <c r="Q20" s="717">
        <f>Nøgletal!S362</f>
        <v>0</v>
      </c>
      <c r="R20" s="711">
        <v>0</v>
      </c>
      <c r="S20" s="711">
        <v>1</v>
      </c>
      <c r="T20" s="711">
        <v>0</v>
      </c>
      <c r="U20" s="711">
        <v>1</v>
      </c>
    </row>
    <row r="21" spans="1:21" x14ac:dyDescent="0.25">
      <c r="A21" s="604" t="s">
        <v>185</v>
      </c>
      <c r="B21" s="717">
        <f>Nøgletal!D363</f>
        <v>0</v>
      </c>
      <c r="C21" s="717">
        <f>Nøgletal!E363</f>
        <v>0</v>
      </c>
      <c r="D21" s="717">
        <f>Nøgletal!F363</f>
        <v>0</v>
      </c>
      <c r="E21" s="717">
        <f>Nøgletal!G363</f>
        <v>0</v>
      </c>
      <c r="F21" s="717">
        <f>Nøgletal!H363</f>
        <v>0</v>
      </c>
      <c r="G21" s="717">
        <f>Nøgletal!I363</f>
        <v>0</v>
      </c>
      <c r="H21" s="717">
        <f>Nøgletal!J363</f>
        <v>0</v>
      </c>
      <c r="I21" s="717">
        <f>Nøgletal!K363</f>
        <v>0</v>
      </c>
      <c r="J21" s="717">
        <f>Nøgletal!L363</f>
        <v>0</v>
      </c>
      <c r="K21" s="717">
        <f>Nøgletal!M363</f>
        <v>0</v>
      </c>
      <c r="L21" s="717">
        <f>Nøgletal!N363</f>
        <v>0</v>
      </c>
      <c r="M21" s="717">
        <f>Nøgletal!O363</f>
        <v>0</v>
      </c>
      <c r="N21" s="717">
        <f>Nøgletal!P363</f>
        <v>0</v>
      </c>
      <c r="O21" s="717">
        <v>1</v>
      </c>
      <c r="P21" s="717">
        <f>Nøgletal!R363</f>
        <v>0</v>
      </c>
      <c r="Q21" s="717">
        <v>1</v>
      </c>
      <c r="R21" s="711">
        <v>0</v>
      </c>
      <c r="S21" s="711">
        <v>1</v>
      </c>
      <c r="T21" s="711">
        <v>0</v>
      </c>
      <c r="U21" s="711">
        <v>1</v>
      </c>
    </row>
    <row r="22" spans="1:21" x14ac:dyDescent="0.25">
      <c r="A22" s="604" t="s">
        <v>187</v>
      </c>
      <c r="B22" s="717">
        <f>Nøgletal!D364</f>
        <v>0</v>
      </c>
      <c r="C22" s="717">
        <f>Nøgletal!E364</f>
        <v>0</v>
      </c>
      <c r="D22" s="717">
        <f>Nøgletal!F364</f>
        <v>0</v>
      </c>
      <c r="E22" s="717">
        <f>Nøgletal!G364</f>
        <v>0</v>
      </c>
      <c r="F22" s="717">
        <f>Nøgletal!H364</f>
        <v>0</v>
      </c>
      <c r="G22" s="717">
        <f>Nøgletal!I364</f>
        <v>0</v>
      </c>
      <c r="H22" s="717">
        <f>Nøgletal!J364</f>
        <v>0</v>
      </c>
      <c r="I22" s="717">
        <f>Nøgletal!K364</f>
        <v>0</v>
      </c>
      <c r="J22" s="717">
        <f>Nøgletal!L364</f>
        <v>0</v>
      </c>
      <c r="K22" s="717">
        <f>Nøgletal!M364</f>
        <v>0</v>
      </c>
      <c r="L22" s="717">
        <f>Nøgletal!N364</f>
        <v>0</v>
      </c>
      <c r="M22" s="717">
        <f>Nøgletal!O364</f>
        <v>0</v>
      </c>
      <c r="N22" s="717">
        <f>Nøgletal!P364</f>
        <v>0</v>
      </c>
      <c r="O22" s="717">
        <f>Nøgletal!Q364</f>
        <v>0</v>
      </c>
      <c r="P22" s="717">
        <f>Nøgletal!R364</f>
        <v>0</v>
      </c>
      <c r="Q22" s="717">
        <f>Nøgletal!S364</f>
        <v>0</v>
      </c>
      <c r="R22" s="714">
        <v>0</v>
      </c>
      <c r="S22" s="714">
        <v>0</v>
      </c>
      <c r="T22" s="714">
        <v>0</v>
      </c>
      <c r="U22" s="714">
        <v>0</v>
      </c>
    </row>
    <row r="23" spans="1:21" x14ac:dyDescent="0.25">
      <c r="A23" s="629" t="s">
        <v>367</v>
      </c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8"/>
      <c r="O23" s="718"/>
      <c r="P23" s="718"/>
      <c r="Q23" s="718"/>
      <c r="R23" s="712"/>
      <c r="S23" s="712"/>
      <c r="T23" s="712"/>
      <c r="U23" s="712"/>
    </row>
    <row r="24" spans="1:21" x14ac:dyDescent="0.25">
      <c r="A24" s="604" t="s">
        <v>193</v>
      </c>
      <c r="B24" s="717">
        <f>Nøgletal!D366</f>
        <v>0.31</v>
      </c>
      <c r="C24" s="717">
        <f>Nøgletal!E366</f>
        <v>0</v>
      </c>
      <c r="D24" s="717">
        <f>Nøgletal!F366</f>
        <v>0.26</v>
      </c>
      <c r="E24" s="717">
        <f>Nøgletal!G366</f>
        <v>0</v>
      </c>
      <c r="F24" s="717">
        <f>Nøgletal!H366</f>
        <v>0.25800000000000001</v>
      </c>
      <c r="G24" s="717">
        <f>Nøgletal!I366</f>
        <v>0</v>
      </c>
      <c r="H24" s="717">
        <f>Nøgletal!J366</f>
        <v>0.30099999999999999</v>
      </c>
      <c r="I24" s="717">
        <f>Nøgletal!K366</f>
        <v>0</v>
      </c>
      <c r="J24" s="717">
        <f>Nøgletal!L366</f>
        <v>0.30099999999999999</v>
      </c>
      <c r="K24" s="717">
        <f>Nøgletal!M366</f>
        <v>0</v>
      </c>
      <c r="L24" s="717">
        <f>Nøgletal!N366</f>
        <v>0</v>
      </c>
      <c r="M24" s="717">
        <f>Nøgletal!O366</f>
        <v>0</v>
      </c>
      <c r="N24" s="717">
        <f>Nøgletal!P366</f>
        <v>0</v>
      </c>
      <c r="O24" s="717">
        <f>Nøgletal!Q366</f>
        <v>0</v>
      </c>
      <c r="P24" s="717">
        <f>Nøgletal!R366</f>
        <v>0</v>
      </c>
      <c r="Q24" s="717">
        <f>Nøgletal!S366</f>
        <v>0</v>
      </c>
      <c r="R24" s="711">
        <v>0</v>
      </c>
      <c r="S24" s="711">
        <v>0</v>
      </c>
      <c r="T24" s="711">
        <v>0.313</v>
      </c>
      <c r="U24" s="711">
        <v>0</v>
      </c>
    </row>
    <row r="25" spans="1:21" x14ac:dyDescent="0.25">
      <c r="A25" s="604" t="s">
        <v>195</v>
      </c>
      <c r="B25" s="717">
        <f>Nøgletal!D367</f>
        <v>0</v>
      </c>
      <c r="C25" s="717">
        <f>Nøgletal!E367</f>
        <v>0</v>
      </c>
      <c r="D25" s="717">
        <f>Nøgletal!F367</f>
        <v>0</v>
      </c>
      <c r="E25" s="717">
        <f>Nøgletal!G367</f>
        <v>0</v>
      </c>
      <c r="F25" s="717">
        <f>Nøgletal!H367</f>
        <v>0</v>
      </c>
      <c r="G25" s="717">
        <f>Nøgletal!I367</f>
        <v>0</v>
      </c>
      <c r="H25" s="717">
        <f>Nøgletal!J367</f>
        <v>0</v>
      </c>
      <c r="I25" s="717">
        <f>Nøgletal!K367</f>
        <v>0</v>
      </c>
      <c r="J25" s="717">
        <f>Nøgletal!L367</f>
        <v>0</v>
      </c>
      <c r="K25" s="717">
        <f>Nøgletal!M367</f>
        <v>0</v>
      </c>
      <c r="L25" s="717">
        <f>Nøgletal!N367</f>
        <v>0</v>
      </c>
      <c r="M25" s="717">
        <f>Nøgletal!O367</f>
        <v>0</v>
      </c>
      <c r="N25" s="717">
        <f>Nøgletal!P367</f>
        <v>0</v>
      </c>
      <c r="O25" s="717">
        <f>Nøgletal!Q367</f>
        <v>0</v>
      </c>
      <c r="P25" s="717">
        <f>Nøgletal!R367</f>
        <v>0</v>
      </c>
      <c r="Q25" s="717">
        <f>Nøgletal!S367</f>
        <v>0</v>
      </c>
      <c r="R25" s="711">
        <v>0</v>
      </c>
      <c r="S25" s="711">
        <v>0</v>
      </c>
      <c r="T25" s="711">
        <v>0</v>
      </c>
      <c r="U25" s="711">
        <v>0.96</v>
      </c>
    </row>
    <row r="26" spans="1:21" x14ac:dyDescent="0.25">
      <c r="A26" s="629" t="s">
        <v>368</v>
      </c>
      <c r="B26" s="718"/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8"/>
      <c r="R26" s="712"/>
      <c r="S26" s="712"/>
      <c r="T26" s="712"/>
      <c r="U26" s="712"/>
    </row>
    <row r="27" spans="1:21" x14ac:dyDescent="0.25">
      <c r="A27" s="604" t="s">
        <v>201</v>
      </c>
      <c r="B27" s="717">
        <f>Nøgletal!D369</f>
        <v>0</v>
      </c>
      <c r="C27" s="717">
        <f>Nøgletal!E369</f>
        <v>0</v>
      </c>
      <c r="D27" s="717">
        <f>Nøgletal!F369</f>
        <v>0</v>
      </c>
      <c r="E27" s="717">
        <f>Nøgletal!G369</f>
        <v>0</v>
      </c>
      <c r="F27" s="717">
        <f>Nøgletal!H369</f>
        <v>0</v>
      </c>
      <c r="G27" s="717">
        <f>Nøgletal!I369</f>
        <v>0</v>
      </c>
      <c r="H27" s="717">
        <f>Nøgletal!J369</f>
        <v>0</v>
      </c>
      <c r="I27" s="717">
        <f>Nøgletal!K369</f>
        <v>0</v>
      </c>
      <c r="J27" s="717">
        <f>Nøgletal!L369</f>
        <v>0</v>
      </c>
      <c r="K27" s="717">
        <f>Nøgletal!M369</f>
        <v>0</v>
      </c>
      <c r="L27" s="717">
        <f>Nøgletal!N369</f>
        <v>0</v>
      </c>
      <c r="M27" s="717">
        <f>Nøgletal!O369</f>
        <v>0</v>
      </c>
      <c r="N27" s="717">
        <f>Nøgletal!P369</f>
        <v>0</v>
      </c>
      <c r="O27" s="717">
        <f>Nøgletal!Q369</f>
        <v>0</v>
      </c>
      <c r="P27" s="717">
        <f>Nøgletal!R369</f>
        <v>0</v>
      </c>
      <c r="Q27" s="717">
        <f>Nøgletal!S369</f>
        <v>0</v>
      </c>
      <c r="R27" s="711">
        <v>0</v>
      </c>
      <c r="S27" s="711">
        <v>0</v>
      </c>
      <c r="T27" s="711">
        <v>0</v>
      </c>
      <c r="U27" s="711">
        <v>0.99</v>
      </c>
    </row>
    <row r="28" spans="1:21" x14ac:dyDescent="0.25">
      <c r="A28" s="604" t="s">
        <v>203</v>
      </c>
      <c r="B28" s="717">
        <f>Nøgletal!D370</f>
        <v>0</v>
      </c>
      <c r="C28" s="717">
        <f>Nøgletal!E370</f>
        <v>0</v>
      </c>
      <c r="D28" s="717">
        <f>Nøgletal!F370</f>
        <v>0</v>
      </c>
      <c r="E28" s="717">
        <f>Nøgletal!G370</f>
        <v>0</v>
      </c>
      <c r="F28" s="717">
        <f>Nøgletal!H370</f>
        <v>0</v>
      </c>
      <c r="G28" s="717">
        <f>Nøgletal!I370</f>
        <v>0</v>
      </c>
      <c r="H28" s="717">
        <f>Nøgletal!J370</f>
        <v>0</v>
      </c>
      <c r="I28" s="717">
        <f>Nøgletal!K370</f>
        <v>0</v>
      </c>
      <c r="J28" s="717">
        <f>Nøgletal!L370</f>
        <v>0</v>
      </c>
      <c r="K28" s="717">
        <f>Nøgletal!M370</f>
        <v>0</v>
      </c>
      <c r="L28" s="717">
        <f>Nøgletal!N370</f>
        <v>0</v>
      </c>
      <c r="M28" s="717">
        <f>Nøgletal!O370</f>
        <v>0</v>
      </c>
      <c r="N28" s="717">
        <f>Nøgletal!P370</f>
        <v>0</v>
      </c>
      <c r="O28" s="717">
        <f>Nøgletal!Q370</f>
        <v>0</v>
      </c>
      <c r="P28" s="717">
        <f>Nøgletal!R370</f>
        <v>0</v>
      </c>
      <c r="Q28" s="717">
        <f>Nøgletal!S370</f>
        <v>0</v>
      </c>
      <c r="R28" s="711">
        <v>0</v>
      </c>
      <c r="S28" s="711">
        <v>4.5</v>
      </c>
      <c r="T28" s="711">
        <v>0</v>
      </c>
      <c r="U28" s="711">
        <v>4.5</v>
      </c>
    </row>
    <row r="29" spans="1:21" x14ac:dyDescent="0.25">
      <c r="A29" s="604" t="s">
        <v>205</v>
      </c>
      <c r="B29" s="717">
        <f>Nøgletal!D371</f>
        <v>0</v>
      </c>
      <c r="C29" s="717">
        <f>Nøgletal!E371</f>
        <v>0</v>
      </c>
      <c r="D29" s="717">
        <f>Nøgletal!F371</f>
        <v>0</v>
      </c>
      <c r="E29" s="717">
        <f>Nøgletal!G371</f>
        <v>0</v>
      </c>
      <c r="F29" s="717">
        <f>Nøgletal!H371</f>
        <v>0</v>
      </c>
      <c r="G29" s="717">
        <f>Nøgletal!I371</f>
        <v>0</v>
      </c>
      <c r="H29" s="717">
        <f>Nøgletal!J371</f>
        <v>0</v>
      </c>
      <c r="I29" s="717">
        <f>Nøgletal!K371</f>
        <v>0</v>
      </c>
      <c r="J29" s="717">
        <f>Nøgletal!L371</f>
        <v>0</v>
      </c>
      <c r="K29" s="717">
        <f>Nøgletal!M371</f>
        <v>0</v>
      </c>
      <c r="L29" s="717">
        <f>Nøgletal!N371</f>
        <v>0</v>
      </c>
      <c r="M29" s="717">
        <f>Nøgletal!O371</f>
        <v>0</v>
      </c>
      <c r="N29" s="717">
        <f>Nøgletal!P371</f>
        <v>0</v>
      </c>
      <c r="O29" s="717">
        <f>Nøgletal!Q371</f>
        <v>0</v>
      </c>
      <c r="P29" s="717">
        <f>Nøgletal!R371</f>
        <v>0</v>
      </c>
      <c r="Q29" s="717">
        <f>Nøgletal!S371</f>
        <v>0</v>
      </c>
      <c r="R29" s="711">
        <v>0</v>
      </c>
      <c r="S29" s="711">
        <v>0</v>
      </c>
      <c r="T29" s="711">
        <v>0</v>
      </c>
      <c r="U29" s="711">
        <v>0</v>
      </c>
    </row>
    <row r="30" spans="1:21" x14ac:dyDescent="0.25">
      <c r="A30" s="604" t="s">
        <v>207</v>
      </c>
      <c r="B30" s="717">
        <f>Nøgletal!D372</f>
        <v>0</v>
      </c>
      <c r="C30" s="717">
        <f>Nøgletal!E372</f>
        <v>0</v>
      </c>
      <c r="D30" s="717">
        <f>Nøgletal!F372</f>
        <v>0</v>
      </c>
      <c r="E30" s="717">
        <f>Nøgletal!G372</f>
        <v>0</v>
      </c>
      <c r="F30" s="717">
        <f>Nøgletal!H372</f>
        <v>0</v>
      </c>
      <c r="G30" s="717">
        <f>Nøgletal!I372</f>
        <v>0</v>
      </c>
      <c r="H30" s="717">
        <f>Nøgletal!J372</f>
        <v>0</v>
      </c>
      <c r="I30" s="717">
        <f>Nøgletal!K372</f>
        <v>0</v>
      </c>
      <c r="J30" s="717">
        <f>Nøgletal!L372</f>
        <v>0</v>
      </c>
      <c r="K30" s="717">
        <f>Nøgletal!M372</f>
        <v>0</v>
      </c>
      <c r="L30" s="717">
        <f>Nøgletal!N372</f>
        <v>0</v>
      </c>
      <c r="M30" s="717">
        <f>Nøgletal!O372</f>
        <v>0</v>
      </c>
      <c r="N30" s="717">
        <f>Nøgletal!P372</f>
        <v>0</v>
      </c>
      <c r="O30" s="717">
        <f>Nøgletal!Q372</f>
        <v>0</v>
      </c>
      <c r="P30" s="717">
        <f>Nøgletal!R372</f>
        <v>0</v>
      </c>
      <c r="Q30" s="717">
        <f>Nøgletal!S372</f>
        <v>0</v>
      </c>
      <c r="R30" s="711">
        <v>0</v>
      </c>
      <c r="S30" s="711">
        <v>0</v>
      </c>
      <c r="T30" s="711">
        <v>0</v>
      </c>
      <c r="U30" s="711">
        <v>0</v>
      </c>
    </row>
    <row r="31" spans="1:21" x14ac:dyDescent="0.25">
      <c r="A31" s="604" t="s">
        <v>362</v>
      </c>
      <c r="B31" s="717">
        <f>Nøgletal!D373</f>
        <v>0</v>
      </c>
      <c r="C31" s="717">
        <f>Nøgletal!E373</f>
        <v>0</v>
      </c>
      <c r="D31" s="717">
        <f>Nøgletal!F373</f>
        <v>0</v>
      </c>
      <c r="E31" s="717">
        <f>Nøgletal!G373</f>
        <v>0</v>
      </c>
      <c r="F31" s="717">
        <f>Nøgletal!H373</f>
        <v>0</v>
      </c>
      <c r="G31" s="717">
        <f>Nøgletal!I373</f>
        <v>0</v>
      </c>
      <c r="H31" s="717">
        <f>Nøgletal!J373</f>
        <v>0</v>
      </c>
      <c r="I31" s="717">
        <f>Nøgletal!K373</f>
        <v>0</v>
      </c>
      <c r="J31" s="717">
        <f>Nøgletal!L373</f>
        <v>0</v>
      </c>
      <c r="K31" s="717">
        <f>Nøgletal!M373</f>
        <v>0</v>
      </c>
      <c r="L31" s="717">
        <f>Nøgletal!N373</f>
        <v>0</v>
      </c>
      <c r="M31" s="717">
        <f>Nøgletal!O373</f>
        <v>0</v>
      </c>
      <c r="N31" s="717">
        <f>Nøgletal!P373</f>
        <v>0</v>
      </c>
      <c r="O31" s="717">
        <f>Nøgletal!Q373</f>
        <v>0</v>
      </c>
      <c r="P31" s="717">
        <f>Nøgletal!R373</f>
        <v>0</v>
      </c>
      <c r="Q31" s="717">
        <f>Nøgletal!S373</f>
        <v>0</v>
      </c>
      <c r="R31" s="711">
        <v>0</v>
      </c>
      <c r="S31" s="711">
        <v>0</v>
      </c>
      <c r="T31" s="711">
        <v>0</v>
      </c>
      <c r="U31" s="711">
        <v>1</v>
      </c>
    </row>
    <row r="32" spans="1:21" x14ac:dyDescent="0.25">
      <c r="A32" s="604" t="s">
        <v>159</v>
      </c>
      <c r="B32" s="717">
        <f>Nøgletal!D351</f>
        <v>0.248</v>
      </c>
      <c r="C32" s="717">
        <f>Nøgletal!E351</f>
        <v>0.50800000000000001</v>
      </c>
      <c r="D32" s="717">
        <f>Nøgletal!F351</f>
        <v>0.215</v>
      </c>
      <c r="E32" s="717">
        <f>Nøgletal!G351</f>
        <v>0.51800000000000002</v>
      </c>
      <c r="F32" s="717">
        <f>Nøgletal!H351</f>
        <v>0.221</v>
      </c>
      <c r="G32" s="717">
        <f>Nøgletal!I351</f>
        <v>0.56600000000000006</v>
      </c>
      <c r="H32" s="717">
        <f>Nøgletal!J351</f>
        <v>0.22899999999999998</v>
      </c>
      <c r="I32" s="717">
        <f>Nøgletal!K351</f>
        <v>0.53500000000000003</v>
      </c>
      <c r="J32" s="717">
        <f>Nøgletal!L351</f>
        <v>0.23499999999999999</v>
      </c>
      <c r="K32" s="717">
        <f>Nøgletal!M351</f>
        <v>0.51700000000000002</v>
      </c>
      <c r="L32" s="717">
        <f>Nøgletal!N351</f>
        <v>0.20600000000000002</v>
      </c>
      <c r="M32" s="717">
        <f>Nøgletal!O351</f>
        <v>0.51</v>
      </c>
      <c r="N32" s="717">
        <f>Nøgletal!P351</f>
        <v>0.22600000000000001</v>
      </c>
      <c r="O32" s="717">
        <f>Nøgletal!Q351</f>
        <v>0.52500000000000002</v>
      </c>
      <c r="P32" s="717">
        <f>Nøgletal!R351</f>
        <v>0.22600000000000001</v>
      </c>
      <c r="Q32" s="717">
        <f>Nøgletal!S351</f>
        <v>0.52500000000000002</v>
      </c>
      <c r="R32" s="711">
        <v>0.22600000000000001</v>
      </c>
      <c r="S32" s="711">
        <v>0.52500000000000002</v>
      </c>
      <c r="T32" s="711">
        <v>0.2</v>
      </c>
      <c r="U32" s="711">
        <v>0.77</v>
      </c>
    </row>
    <row r="33" spans="1:21" x14ac:dyDescent="0.25">
      <c r="A33" s="629" t="s">
        <v>369</v>
      </c>
      <c r="B33" s="718"/>
      <c r="C33" s="718"/>
      <c r="D33" s="718"/>
      <c r="E33" s="718"/>
      <c r="F33" s="718"/>
      <c r="G33" s="718"/>
      <c r="H33" s="718"/>
      <c r="I33" s="718"/>
      <c r="J33" s="718"/>
      <c r="K33" s="718"/>
      <c r="L33" s="718"/>
      <c r="M33" s="718"/>
      <c r="N33" s="718"/>
      <c r="O33" s="718"/>
      <c r="P33" s="718"/>
      <c r="Q33" s="718"/>
      <c r="R33" s="712"/>
      <c r="S33" s="712"/>
      <c r="T33" s="712"/>
      <c r="U33" s="712"/>
    </row>
    <row r="34" spans="1:21" x14ac:dyDescent="0.25">
      <c r="A34" s="604" t="s">
        <v>215</v>
      </c>
      <c r="B34" s="717">
        <f>Nøgletal!D375</f>
        <v>0</v>
      </c>
      <c r="C34" s="717">
        <f>Nøgletal!E375</f>
        <v>0</v>
      </c>
      <c r="D34" s="717">
        <f>Nøgletal!F375</f>
        <v>0</v>
      </c>
      <c r="E34" s="717">
        <f>Nøgletal!G375</f>
        <v>0</v>
      </c>
      <c r="F34" s="717">
        <f>Nøgletal!H375</f>
        <v>0</v>
      </c>
      <c r="G34" s="717">
        <f>Nøgletal!I375</f>
        <v>0.97699999999999998</v>
      </c>
      <c r="H34" s="717">
        <f>Nøgletal!J375</f>
        <v>0</v>
      </c>
      <c r="I34" s="717">
        <f>Nøgletal!K375</f>
        <v>0</v>
      </c>
      <c r="J34" s="717">
        <f>Nøgletal!L375</f>
        <v>0</v>
      </c>
      <c r="K34" s="717">
        <f>Nøgletal!M375</f>
        <v>0</v>
      </c>
      <c r="L34" s="717">
        <f>Nøgletal!N375</f>
        <v>0</v>
      </c>
      <c r="M34" s="717">
        <f>Nøgletal!O375</f>
        <v>0</v>
      </c>
      <c r="N34" s="717">
        <f>Nøgletal!P375</f>
        <v>0</v>
      </c>
      <c r="O34" s="717">
        <f>Nøgletal!Q375</f>
        <v>0</v>
      </c>
      <c r="P34" s="717">
        <f>Nøgletal!R375</f>
        <v>0</v>
      </c>
      <c r="Q34" s="717">
        <f>Nøgletal!S375</f>
        <v>0</v>
      </c>
      <c r="R34" s="711">
        <v>0</v>
      </c>
      <c r="S34" s="711">
        <v>0</v>
      </c>
      <c r="T34" s="711">
        <v>0.03</v>
      </c>
      <c r="U34" s="711">
        <v>0.89</v>
      </c>
    </row>
    <row r="35" spans="1:21" x14ac:dyDescent="0.25">
      <c r="A35" s="604" t="s">
        <v>217</v>
      </c>
      <c r="B35" s="717">
        <f>Nøgletal!D376</f>
        <v>0.38299999999999995</v>
      </c>
      <c r="C35" s="717">
        <f>Nøgletal!E376</f>
        <v>0</v>
      </c>
      <c r="D35" s="717">
        <f>Nøgletal!F376</f>
        <v>0.39600000000000002</v>
      </c>
      <c r="E35" s="717">
        <f>Nøgletal!G376</f>
        <v>0</v>
      </c>
      <c r="F35" s="717">
        <f>Nøgletal!H376</f>
        <v>0.371</v>
      </c>
      <c r="G35" s="717">
        <f>Nøgletal!I376</f>
        <v>0</v>
      </c>
      <c r="H35" s="717">
        <f>Nøgletal!J376</f>
        <v>0</v>
      </c>
      <c r="I35" s="717">
        <f>Nøgletal!K376</f>
        <v>0</v>
      </c>
      <c r="J35" s="717">
        <f>Nøgletal!L376</f>
        <v>0</v>
      </c>
      <c r="K35" s="717">
        <f>Nøgletal!M376</f>
        <v>0</v>
      </c>
      <c r="L35" s="717">
        <f>Nøgletal!N376</f>
        <v>0</v>
      </c>
      <c r="M35" s="717">
        <f>Nøgletal!O376</f>
        <v>0</v>
      </c>
      <c r="N35" s="717">
        <f>Nøgletal!P376</f>
        <v>0</v>
      </c>
      <c r="O35" s="717">
        <f>Nøgletal!Q376</f>
        <v>0</v>
      </c>
      <c r="P35" s="717">
        <f>Nøgletal!R376</f>
        <v>0</v>
      </c>
      <c r="Q35" s="717">
        <f>Nøgletal!S376</f>
        <v>0</v>
      </c>
      <c r="R35" s="711">
        <v>0</v>
      </c>
      <c r="S35" s="711">
        <v>0</v>
      </c>
      <c r="T35" s="711">
        <v>0.36700000000000005</v>
      </c>
      <c r="U35" s="711">
        <v>0.53</v>
      </c>
    </row>
    <row r="36" spans="1:21" x14ac:dyDescent="0.25">
      <c r="A36" s="604" t="s">
        <v>219</v>
      </c>
      <c r="B36" s="717">
        <f>Nøgletal!D377</f>
        <v>0</v>
      </c>
      <c r="C36" s="717">
        <f>Nøgletal!E377</f>
        <v>0</v>
      </c>
      <c r="D36" s="717">
        <f>Nøgletal!F377</f>
        <v>0</v>
      </c>
      <c r="E36" s="717">
        <f>Nøgletal!G377</f>
        <v>0</v>
      </c>
      <c r="F36" s="717">
        <f>Nøgletal!H377</f>
        <v>0</v>
      </c>
      <c r="G36" s="717">
        <f>Nøgletal!I377</f>
        <v>0</v>
      </c>
      <c r="H36" s="717">
        <f>Nøgletal!J377</f>
        <v>0</v>
      </c>
      <c r="I36" s="717">
        <f>Nøgletal!K377</f>
        <v>0</v>
      </c>
      <c r="J36" s="717">
        <f>Nøgletal!L377</f>
        <v>0</v>
      </c>
      <c r="K36" s="717">
        <f>Nøgletal!M377</f>
        <v>0</v>
      </c>
      <c r="L36" s="717">
        <f>Nøgletal!N377</f>
        <v>0</v>
      </c>
      <c r="M36" s="717">
        <f>Nøgletal!O377</f>
        <v>0</v>
      </c>
      <c r="N36" s="717">
        <f>Nøgletal!P377</f>
        <v>0</v>
      </c>
      <c r="O36" s="717">
        <f>Nøgletal!Q377</f>
        <v>0</v>
      </c>
      <c r="P36" s="717">
        <f>Nøgletal!R377</f>
        <v>0</v>
      </c>
      <c r="Q36" s="717">
        <f>Nøgletal!S377</f>
        <v>0</v>
      </c>
      <c r="R36" s="711">
        <v>0</v>
      </c>
      <c r="S36" s="711">
        <v>0</v>
      </c>
      <c r="T36" s="711">
        <v>0</v>
      </c>
      <c r="U36" s="711">
        <v>0</v>
      </c>
    </row>
    <row r="37" spans="1:21" x14ac:dyDescent="0.25">
      <c r="A37" s="604" t="s">
        <v>221</v>
      </c>
      <c r="B37" s="717">
        <f>Nøgletal!D378</f>
        <v>0</v>
      </c>
      <c r="C37" s="717">
        <f>Nøgletal!E378</f>
        <v>0</v>
      </c>
      <c r="D37" s="717">
        <f>Nøgletal!F378</f>
        <v>0</v>
      </c>
      <c r="E37" s="717">
        <f>Nøgletal!G378</f>
        <v>0</v>
      </c>
      <c r="F37" s="717">
        <f>Nøgletal!H378</f>
        <v>0</v>
      </c>
      <c r="G37" s="717">
        <f>Nøgletal!I378</f>
        <v>0</v>
      </c>
      <c r="H37" s="717">
        <f>Nøgletal!J378</f>
        <v>0</v>
      </c>
      <c r="I37" s="717">
        <f>Nøgletal!K378</f>
        <v>0</v>
      </c>
      <c r="J37" s="717">
        <f>Nøgletal!L378</f>
        <v>0</v>
      </c>
      <c r="K37" s="717">
        <f>Nøgletal!M378</f>
        <v>0</v>
      </c>
      <c r="L37" s="717">
        <f>Nøgletal!N378</f>
        <v>0</v>
      </c>
      <c r="M37" s="717">
        <f>Nøgletal!O378</f>
        <v>0</v>
      </c>
      <c r="N37" s="717">
        <f>Nøgletal!P378</f>
        <v>0</v>
      </c>
      <c r="O37" s="717">
        <f>Nøgletal!Q378</f>
        <v>0</v>
      </c>
      <c r="P37" s="717">
        <f>Nøgletal!R378</f>
        <v>0</v>
      </c>
      <c r="Q37" s="717">
        <f>Nøgletal!S378</f>
        <v>0</v>
      </c>
      <c r="R37" s="711">
        <v>0</v>
      </c>
      <c r="S37" s="711">
        <v>0</v>
      </c>
      <c r="T37" s="711">
        <v>0</v>
      </c>
      <c r="U37" s="711">
        <v>0.91200000000000003</v>
      </c>
    </row>
    <row r="38" spans="1:21" x14ac:dyDescent="0.25">
      <c r="A38" s="604" t="s">
        <v>223</v>
      </c>
      <c r="B38" s="717">
        <f>Nøgletal!D379</f>
        <v>0</v>
      </c>
      <c r="C38" s="717">
        <f>Nøgletal!E379</f>
        <v>0</v>
      </c>
      <c r="D38" s="717">
        <f>Nøgletal!F379</f>
        <v>0</v>
      </c>
      <c r="E38" s="717">
        <f>Nøgletal!G379</f>
        <v>0</v>
      </c>
      <c r="F38" s="717">
        <f>Nøgletal!H379</f>
        <v>0</v>
      </c>
      <c r="G38" s="717">
        <f>Nøgletal!I379</f>
        <v>0</v>
      </c>
      <c r="H38" s="717">
        <f>Nøgletal!J379</f>
        <v>0</v>
      </c>
      <c r="I38" s="717">
        <f>Nøgletal!K379</f>
        <v>0</v>
      </c>
      <c r="J38" s="717">
        <f>Nøgletal!L379</f>
        <v>0</v>
      </c>
      <c r="K38" s="717">
        <f>Nøgletal!M379</f>
        <v>0</v>
      </c>
      <c r="L38" s="717">
        <f>Nøgletal!N379</f>
        <v>0</v>
      </c>
      <c r="M38" s="717">
        <f>Nøgletal!O379</f>
        <v>0</v>
      </c>
      <c r="N38" s="717">
        <f>Nøgletal!P379</f>
        <v>0</v>
      </c>
      <c r="O38" s="717">
        <f>Nøgletal!Q379</f>
        <v>0</v>
      </c>
      <c r="P38" s="717">
        <f>Nøgletal!R379</f>
        <v>0</v>
      </c>
      <c r="Q38" s="717">
        <f>Nøgletal!S379</f>
        <v>0</v>
      </c>
      <c r="R38" s="711">
        <v>0</v>
      </c>
      <c r="S38" s="711">
        <v>0</v>
      </c>
      <c r="T38" s="711">
        <v>0</v>
      </c>
      <c r="U38" s="711">
        <v>0</v>
      </c>
    </row>
    <row r="39" spans="1:21" x14ac:dyDescent="0.25">
      <c r="A39" s="604" t="s">
        <v>225</v>
      </c>
      <c r="B39" s="717">
        <f>Nøgletal!D380</f>
        <v>0</v>
      </c>
      <c r="C39" s="717">
        <f>Nøgletal!E380</f>
        <v>0</v>
      </c>
      <c r="D39" s="717">
        <f>Nøgletal!F380</f>
        <v>0</v>
      </c>
      <c r="E39" s="717">
        <f>Nøgletal!G380</f>
        <v>0</v>
      </c>
      <c r="F39" s="717">
        <f>Nøgletal!H380</f>
        <v>0</v>
      </c>
      <c r="G39" s="717">
        <f>Nøgletal!I380</f>
        <v>0</v>
      </c>
      <c r="H39" s="717">
        <f>Nøgletal!J380</f>
        <v>0</v>
      </c>
      <c r="I39" s="717">
        <f>Nøgletal!K380</f>
        <v>0</v>
      </c>
      <c r="J39" s="717">
        <f>Nøgletal!L380</f>
        <v>0</v>
      </c>
      <c r="K39" s="717">
        <f>Nøgletal!M380</f>
        <v>0</v>
      </c>
      <c r="L39" s="717">
        <f>Nøgletal!N380</f>
        <v>0</v>
      </c>
      <c r="M39" s="717">
        <f>Nøgletal!O380</f>
        <v>0</v>
      </c>
      <c r="N39" s="717">
        <f>Nøgletal!P380</f>
        <v>0</v>
      </c>
      <c r="O39" s="717">
        <f>Nøgletal!Q380</f>
        <v>0</v>
      </c>
      <c r="P39" s="717">
        <f>Nøgletal!R380</f>
        <v>0</v>
      </c>
      <c r="Q39" s="717">
        <f>Nøgletal!S380</f>
        <v>0</v>
      </c>
      <c r="R39" s="711">
        <v>0</v>
      </c>
      <c r="S39" s="711">
        <v>0</v>
      </c>
      <c r="T39" s="711">
        <v>0</v>
      </c>
      <c r="U39" s="711">
        <v>1</v>
      </c>
    </row>
    <row r="40" spans="1:21" x14ac:dyDescent="0.25">
      <c r="A40" s="629" t="s">
        <v>370</v>
      </c>
      <c r="B40" s="718"/>
      <c r="C40" s="718"/>
      <c r="D40" s="718"/>
      <c r="E40" s="718"/>
      <c r="F40" s="718"/>
      <c r="G40" s="718"/>
      <c r="H40" s="718"/>
      <c r="I40" s="718"/>
      <c r="J40" s="718"/>
      <c r="K40" s="718"/>
      <c r="L40" s="718"/>
      <c r="M40" s="718"/>
      <c r="N40" s="718"/>
      <c r="O40" s="718"/>
      <c r="P40" s="718"/>
      <c r="Q40" s="718"/>
      <c r="R40" s="593"/>
      <c r="S40" s="593"/>
      <c r="T40" s="593"/>
      <c r="U40" s="593"/>
    </row>
    <row r="41" spans="1:21" x14ac:dyDescent="0.25">
      <c r="A41" s="654" t="s">
        <v>307</v>
      </c>
      <c r="B41" s="717">
        <f>Nøgletal!D382</f>
        <v>0.44</v>
      </c>
      <c r="C41" s="717">
        <f>Nøgletal!E382</f>
        <v>0</v>
      </c>
      <c r="D41" s="717">
        <f>Nøgletal!F382</f>
        <v>0.44</v>
      </c>
      <c r="E41" s="717">
        <f>Nøgletal!G382</f>
        <v>0</v>
      </c>
      <c r="F41" s="717">
        <f>Nøgletal!H382</f>
        <v>0.44</v>
      </c>
      <c r="G41" s="717">
        <f>Nøgletal!I382</f>
        <v>0</v>
      </c>
      <c r="H41" s="717">
        <f>Nøgletal!J382</f>
        <v>0.44</v>
      </c>
      <c r="I41" s="717">
        <f>Nøgletal!K382</f>
        <v>0</v>
      </c>
      <c r="J41" s="717">
        <f>Nøgletal!L382</f>
        <v>0.44</v>
      </c>
      <c r="K41" s="717">
        <f>Nøgletal!M382</f>
        <v>0</v>
      </c>
      <c r="L41" s="717">
        <f>Nøgletal!N382</f>
        <v>0.44</v>
      </c>
      <c r="M41" s="717">
        <f>Nøgletal!O382</f>
        <v>0</v>
      </c>
      <c r="N41" s="717">
        <f>Nøgletal!P382</f>
        <v>0.44</v>
      </c>
      <c r="O41" s="717">
        <f>Nøgletal!Q382</f>
        <v>0</v>
      </c>
      <c r="P41" s="717">
        <f>Nøgletal!R382</f>
        <v>0.44</v>
      </c>
      <c r="Q41" s="717">
        <f>Nøgletal!S382</f>
        <v>0</v>
      </c>
      <c r="R41" s="715">
        <v>0.44</v>
      </c>
      <c r="S41" s="715">
        <v>0</v>
      </c>
      <c r="T41" s="715">
        <v>0.44</v>
      </c>
      <c r="U41" s="715"/>
    </row>
    <row r="42" spans="1:21" x14ac:dyDescent="0.25">
      <c r="A42" s="654" t="s">
        <v>314</v>
      </c>
      <c r="B42" s="717">
        <f>Nøgletal!D383</f>
        <v>0.9</v>
      </c>
      <c r="C42" s="717">
        <f>Nøgletal!E383</f>
        <v>0</v>
      </c>
      <c r="D42" s="717">
        <f>Nøgletal!F383</f>
        <v>0.9</v>
      </c>
      <c r="E42" s="717">
        <f>Nøgletal!G383</f>
        <v>0</v>
      </c>
      <c r="F42" s="717">
        <f>Nøgletal!H383</f>
        <v>0.9</v>
      </c>
      <c r="G42" s="717">
        <f>Nøgletal!I383</f>
        <v>0</v>
      </c>
      <c r="H42" s="717">
        <f>Nøgletal!J383</f>
        <v>0.9</v>
      </c>
      <c r="I42" s="717">
        <f>Nøgletal!K383</f>
        <v>0</v>
      </c>
      <c r="J42" s="717">
        <f>Nøgletal!L383</f>
        <v>0.9</v>
      </c>
      <c r="K42" s="717">
        <f>Nøgletal!M383</f>
        <v>0</v>
      </c>
      <c r="L42" s="717">
        <f>Nøgletal!N383</f>
        <v>0.9</v>
      </c>
      <c r="M42" s="717">
        <f>Nøgletal!O383</f>
        <v>0</v>
      </c>
      <c r="N42" s="717">
        <f>Nøgletal!P383</f>
        <v>0.9</v>
      </c>
      <c r="O42" s="717">
        <f>Nøgletal!Q383</f>
        <v>0</v>
      </c>
      <c r="P42" s="717">
        <f>Nøgletal!R383</f>
        <v>0.9</v>
      </c>
      <c r="Q42" s="717">
        <f>Nøgletal!S383</f>
        <v>0</v>
      </c>
      <c r="R42" s="715">
        <v>0.9</v>
      </c>
      <c r="S42" s="715">
        <v>0</v>
      </c>
      <c r="T42" s="715">
        <v>0.9</v>
      </c>
      <c r="U42" s="715"/>
    </row>
    <row r="43" spans="1:21" x14ac:dyDescent="0.25">
      <c r="A43" s="654" t="s">
        <v>316</v>
      </c>
      <c r="B43" s="717">
        <f>Nøgletal!D384</f>
        <v>1</v>
      </c>
      <c r="C43" s="717">
        <f>Nøgletal!E384</f>
        <v>0</v>
      </c>
      <c r="D43" s="717">
        <f>Nøgletal!F384</f>
        <v>1</v>
      </c>
      <c r="E43" s="717">
        <f>Nøgletal!G384</f>
        <v>0</v>
      </c>
      <c r="F43" s="717">
        <f>Nøgletal!H384</f>
        <v>1</v>
      </c>
      <c r="G43" s="717">
        <f>Nøgletal!I384</f>
        <v>0</v>
      </c>
      <c r="H43" s="717">
        <f>Nøgletal!J384</f>
        <v>1</v>
      </c>
      <c r="I43" s="717">
        <f>Nøgletal!K384</f>
        <v>0</v>
      </c>
      <c r="J43" s="717">
        <f>Nøgletal!L384</f>
        <v>1</v>
      </c>
      <c r="K43" s="717">
        <f>Nøgletal!M384</f>
        <v>0</v>
      </c>
      <c r="L43" s="717">
        <f>Nøgletal!N384</f>
        <v>1</v>
      </c>
      <c r="M43" s="717">
        <f>Nøgletal!O384</f>
        <v>0</v>
      </c>
      <c r="N43" s="717">
        <f>Nøgletal!P384</f>
        <v>1</v>
      </c>
      <c r="O43" s="717">
        <f>Nøgletal!Q384</f>
        <v>0</v>
      </c>
      <c r="P43" s="717">
        <f>Nøgletal!R384</f>
        <v>1</v>
      </c>
      <c r="Q43" s="717">
        <f>Nøgletal!S384</f>
        <v>0</v>
      </c>
      <c r="R43" s="715">
        <v>1</v>
      </c>
      <c r="S43" s="715">
        <v>0</v>
      </c>
      <c r="T43" s="715">
        <v>1</v>
      </c>
      <c r="U43" s="715"/>
    </row>
    <row r="44" spans="1:21" x14ac:dyDescent="0.25">
      <c r="A44" s="654" t="s">
        <v>305</v>
      </c>
      <c r="B44" s="717">
        <f>Nøgletal!D385</f>
        <v>0.5</v>
      </c>
      <c r="C44" s="717">
        <f>Nøgletal!E385</f>
        <v>0</v>
      </c>
      <c r="D44" s="717">
        <f>Nøgletal!F385</f>
        <v>0.5</v>
      </c>
      <c r="E44" s="717">
        <f>Nøgletal!G385</f>
        <v>0</v>
      </c>
      <c r="F44" s="717">
        <f>Nøgletal!H385</f>
        <v>0.5</v>
      </c>
      <c r="G44" s="717">
        <f>Nøgletal!I385</f>
        <v>0</v>
      </c>
      <c r="H44" s="717">
        <f>Nøgletal!J385</f>
        <v>0.5</v>
      </c>
      <c r="I44" s="717">
        <f>Nøgletal!K385</f>
        <v>0</v>
      </c>
      <c r="J44" s="717">
        <f>Nøgletal!L385</f>
        <v>0.5</v>
      </c>
      <c r="K44" s="717">
        <f>Nøgletal!M385</f>
        <v>0</v>
      </c>
      <c r="L44" s="717">
        <f>Nøgletal!N385</f>
        <v>0.5</v>
      </c>
      <c r="M44" s="717">
        <f>Nøgletal!O385</f>
        <v>0</v>
      </c>
      <c r="N44" s="717">
        <f>Nøgletal!P385</f>
        <v>0.5</v>
      </c>
      <c r="O44" s="717">
        <f>Nøgletal!Q385</f>
        <v>0</v>
      </c>
      <c r="P44" s="717">
        <f>Nøgletal!R385</f>
        <v>0.5</v>
      </c>
      <c r="Q44" s="717">
        <f>Nøgletal!S385</f>
        <v>0</v>
      </c>
      <c r="R44" s="715">
        <v>0.5</v>
      </c>
      <c r="S44" s="715">
        <v>0</v>
      </c>
      <c r="T44" s="715">
        <v>0.5</v>
      </c>
      <c r="U44" s="715"/>
    </row>
    <row r="45" spans="1:21" x14ac:dyDescent="0.25">
      <c r="A45" s="654" t="s">
        <v>309</v>
      </c>
      <c r="B45" s="717">
        <f>Nøgletal!D386</f>
        <v>1.5</v>
      </c>
      <c r="C45" s="717">
        <f>Nøgletal!E386</f>
        <v>0</v>
      </c>
      <c r="D45" s="717">
        <f>Nøgletal!F386</f>
        <v>1.5</v>
      </c>
      <c r="E45" s="717">
        <f>Nøgletal!G386</f>
        <v>0</v>
      </c>
      <c r="F45" s="717">
        <f>Nøgletal!H386</f>
        <v>1.5</v>
      </c>
      <c r="G45" s="717">
        <f>Nøgletal!I386</f>
        <v>0</v>
      </c>
      <c r="H45" s="717">
        <f>Nøgletal!J386</f>
        <v>1.5</v>
      </c>
      <c r="I45" s="717">
        <f>Nøgletal!K386</f>
        <v>0</v>
      </c>
      <c r="J45" s="717">
        <f>Nøgletal!L386</f>
        <v>1.5</v>
      </c>
      <c r="K45" s="717">
        <f>Nøgletal!M386</f>
        <v>0</v>
      </c>
      <c r="L45" s="717">
        <f>Nøgletal!N386</f>
        <v>1.5</v>
      </c>
      <c r="M45" s="717">
        <f>Nøgletal!O386</f>
        <v>0</v>
      </c>
      <c r="N45" s="717">
        <f>Nøgletal!P386</f>
        <v>1.5</v>
      </c>
      <c r="O45" s="717">
        <f>Nøgletal!Q386</f>
        <v>0</v>
      </c>
      <c r="P45" s="717">
        <f>Nøgletal!R386</f>
        <v>1.5</v>
      </c>
      <c r="Q45" s="717">
        <f>Nøgletal!S386</f>
        <v>0</v>
      </c>
      <c r="R45" s="715">
        <v>1.5</v>
      </c>
      <c r="S45" s="715">
        <v>0</v>
      </c>
      <c r="T45" s="715">
        <v>1.5</v>
      </c>
      <c r="U45" s="715"/>
    </row>
    <row r="46" spans="1:21" x14ac:dyDescent="0.25">
      <c r="A46" s="654" t="s">
        <v>290</v>
      </c>
      <c r="B46" s="717">
        <f>Nøgletal!D387</f>
        <v>0.85</v>
      </c>
      <c r="C46" s="717">
        <f>Nøgletal!E387</f>
        <v>0</v>
      </c>
      <c r="D46" s="717">
        <f>Nøgletal!F387</f>
        <v>0.85</v>
      </c>
      <c r="E46" s="717">
        <f>Nøgletal!G387</f>
        <v>0</v>
      </c>
      <c r="F46" s="717">
        <f>Nøgletal!H387</f>
        <v>0.85</v>
      </c>
      <c r="G46" s="717">
        <f>Nøgletal!I387</f>
        <v>0</v>
      </c>
      <c r="H46" s="717">
        <f>Nøgletal!J387</f>
        <v>0.85</v>
      </c>
      <c r="I46" s="717">
        <f>Nøgletal!K387</f>
        <v>0</v>
      </c>
      <c r="J46" s="717">
        <f>Nøgletal!L387</f>
        <v>0.85</v>
      </c>
      <c r="K46" s="717">
        <f>Nøgletal!M387</f>
        <v>0</v>
      </c>
      <c r="L46" s="717">
        <f>Nøgletal!N387</f>
        <v>0.85</v>
      </c>
      <c r="M46" s="717">
        <f>Nøgletal!O387</f>
        <v>0</v>
      </c>
      <c r="N46" s="717">
        <f>Nøgletal!P387</f>
        <v>0.85</v>
      </c>
      <c r="O46" s="717">
        <f>Nøgletal!Q387</f>
        <v>0</v>
      </c>
      <c r="P46" s="717">
        <f>Nøgletal!R387</f>
        <v>0.85</v>
      </c>
      <c r="Q46" s="717">
        <f>Nøgletal!S387</f>
        <v>0</v>
      </c>
      <c r="R46" s="715">
        <v>0.85</v>
      </c>
      <c r="S46" s="715">
        <v>0</v>
      </c>
      <c r="T46" s="715">
        <v>0.85</v>
      </c>
      <c r="U46" s="715"/>
    </row>
    <row r="47" spans="1:21" x14ac:dyDescent="0.25">
      <c r="A47" s="604" t="s">
        <v>344</v>
      </c>
      <c r="B47" s="717">
        <f>Nøgletal!D388</f>
        <v>0</v>
      </c>
      <c r="C47" s="717">
        <f>Nøgletal!E388</f>
        <v>3</v>
      </c>
      <c r="D47" s="717">
        <f>Nøgletal!F388</f>
        <v>0</v>
      </c>
      <c r="E47" s="717">
        <f>Nøgletal!G388</f>
        <v>3</v>
      </c>
      <c r="F47" s="717">
        <f>Nøgletal!H388</f>
        <v>0</v>
      </c>
      <c r="G47" s="717">
        <f>Nøgletal!I388</f>
        <v>3</v>
      </c>
      <c r="H47" s="717">
        <f>Nøgletal!J388</f>
        <v>0</v>
      </c>
      <c r="I47" s="717">
        <f>Nøgletal!K388</f>
        <v>3</v>
      </c>
      <c r="J47" s="717">
        <f>Nøgletal!L388</f>
        <v>0</v>
      </c>
      <c r="K47" s="717">
        <f>Nøgletal!M388</f>
        <v>3</v>
      </c>
      <c r="L47" s="717">
        <f>Nøgletal!N388</f>
        <v>0</v>
      </c>
      <c r="M47" s="717">
        <f>Nøgletal!O388</f>
        <v>3</v>
      </c>
      <c r="N47" s="717">
        <f>Nøgletal!P388</f>
        <v>0</v>
      </c>
      <c r="O47" s="717">
        <f>Nøgletal!Q388</f>
        <v>3</v>
      </c>
      <c r="P47" s="717">
        <f>Nøgletal!R388</f>
        <v>0</v>
      </c>
      <c r="Q47" s="717">
        <f>Nøgletal!S388</f>
        <v>3</v>
      </c>
      <c r="R47" s="715">
        <v>0</v>
      </c>
      <c r="S47" s="715">
        <v>3</v>
      </c>
      <c r="T47" s="715">
        <v>0</v>
      </c>
      <c r="U47" s="715">
        <v>3</v>
      </c>
    </row>
    <row r="48" spans="1:21" x14ac:dyDescent="0.25">
      <c r="A48" s="604" t="s">
        <v>345</v>
      </c>
      <c r="B48" s="717">
        <f>Nøgletal!D389</f>
        <v>0</v>
      </c>
      <c r="C48" s="717">
        <f>Nøgletal!E389</f>
        <v>0.38</v>
      </c>
      <c r="D48" s="717">
        <f>Nøgletal!F389</f>
        <v>0</v>
      </c>
      <c r="E48" s="717">
        <f>Nøgletal!G389</f>
        <v>0.38</v>
      </c>
      <c r="F48" s="717">
        <f>Nøgletal!H389</f>
        <v>0</v>
      </c>
      <c r="G48" s="717">
        <f>Nøgletal!I389</f>
        <v>0.38</v>
      </c>
      <c r="H48" s="717">
        <f>Nøgletal!J389</f>
        <v>0</v>
      </c>
      <c r="I48" s="717">
        <f>Nøgletal!K389</f>
        <v>0.38</v>
      </c>
      <c r="J48" s="717">
        <f>Nøgletal!L389</f>
        <v>0</v>
      </c>
      <c r="K48" s="717">
        <f>Nøgletal!M389</f>
        <v>0.38</v>
      </c>
      <c r="L48" s="717">
        <f>Nøgletal!N389</f>
        <v>0</v>
      </c>
      <c r="M48" s="717">
        <f>Nøgletal!O389</f>
        <v>0.38</v>
      </c>
      <c r="N48" s="717">
        <f>Nøgletal!P389</f>
        <v>0</v>
      </c>
      <c r="O48" s="717">
        <f>Nøgletal!Q389</f>
        <v>0.38</v>
      </c>
      <c r="P48" s="717">
        <f>Nøgletal!R389</f>
        <v>0</v>
      </c>
      <c r="Q48" s="717">
        <f>Nøgletal!S389</f>
        <v>0.38</v>
      </c>
      <c r="R48" s="715">
        <v>0</v>
      </c>
      <c r="S48" s="715">
        <v>0.38</v>
      </c>
      <c r="T48" s="715">
        <v>0</v>
      </c>
      <c r="U48" s="715">
        <v>0.38</v>
      </c>
    </row>
    <row r="49" spans="1:21" x14ac:dyDescent="0.25">
      <c r="A49" s="604" t="s">
        <v>346</v>
      </c>
      <c r="B49" s="717">
        <f>Nøgletal!D390</f>
        <v>0</v>
      </c>
      <c r="C49" s="717">
        <f>Nøgletal!E390</f>
        <v>0.8</v>
      </c>
      <c r="D49" s="717">
        <f>Nøgletal!F390</f>
        <v>0</v>
      </c>
      <c r="E49" s="717">
        <f>Nøgletal!G390</f>
        <v>0.8</v>
      </c>
      <c r="F49" s="717">
        <f>Nøgletal!H390</f>
        <v>0</v>
      </c>
      <c r="G49" s="717">
        <f>Nøgletal!I390</f>
        <v>0.8</v>
      </c>
      <c r="H49" s="717">
        <f>Nøgletal!J390</f>
        <v>0</v>
      </c>
      <c r="I49" s="717">
        <f>Nøgletal!K390</f>
        <v>0.8</v>
      </c>
      <c r="J49" s="717">
        <f>Nøgletal!L390</f>
        <v>0</v>
      </c>
      <c r="K49" s="717">
        <f>Nøgletal!M390</f>
        <v>0.8</v>
      </c>
      <c r="L49" s="717">
        <f>Nøgletal!N390</f>
        <v>0</v>
      </c>
      <c r="M49" s="717">
        <f>Nøgletal!O390</f>
        <v>0.8</v>
      </c>
      <c r="N49" s="717">
        <f>Nøgletal!P390</f>
        <v>0</v>
      </c>
      <c r="O49" s="717">
        <f>Nøgletal!Q390</f>
        <v>0.8</v>
      </c>
      <c r="P49" s="717">
        <f>Nøgletal!R390</f>
        <v>0</v>
      </c>
      <c r="Q49" s="717">
        <f>Nøgletal!S390</f>
        <v>0.8</v>
      </c>
      <c r="R49" s="715">
        <v>0</v>
      </c>
      <c r="S49" s="715">
        <v>0.8</v>
      </c>
      <c r="T49" s="715">
        <v>0</v>
      </c>
      <c r="U49" s="715">
        <v>0.8</v>
      </c>
    </row>
    <row r="50" spans="1:21" x14ac:dyDescent="0.25">
      <c r="A50" s="604" t="s">
        <v>347</v>
      </c>
      <c r="B50" s="717">
        <f>Nøgletal!D391</f>
        <v>0</v>
      </c>
      <c r="C50" s="717">
        <f>Nøgletal!E391</f>
        <v>0.85</v>
      </c>
      <c r="D50" s="717">
        <f>Nøgletal!F391</f>
        <v>0</v>
      </c>
      <c r="E50" s="717">
        <f>Nøgletal!G391</f>
        <v>0.85</v>
      </c>
      <c r="F50" s="717">
        <f>Nøgletal!H391</f>
        <v>0</v>
      </c>
      <c r="G50" s="717">
        <f>Nøgletal!I391</f>
        <v>0.85</v>
      </c>
      <c r="H50" s="717">
        <f>Nøgletal!J391</f>
        <v>0</v>
      </c>
      <c r="I50" s="717">
        <f>Nøgletal!K391</f>
        <v>0.85</v>
      </c>
      <c r="J50" s="717">
        <f>Nøgletal!L391</f>
        <v>0</v>
      </c>
      <c r="K50" s="717">
        <f>Nøgletal!M391</f>
        <v>0.85</v>
      </c>
      <c r="L50" s="717">
        <f>Nøgletal!N391</f>
        <v>0</v>
      </c>
      <c r="M50" s="717">
        <f>Nøgletal!O391</f>
        <v>0.85</v>
      </c>
      <c r="N50" s="717">
        <f>Nøgletal!P391</f>
        <v>0</v>
      </c>
      <c r="O50" s="717">
        <f>Nøgletal!Q391</f>
        <v>0.85</v>
      </c>
      <c r="P50" s="717">
        <f>Nøgletal!R391</f>
        <v>0</v>
      </c>
      <c r="Q50" s="717">
        <f>Nøgletal!S391</f>
        <v>0.85</v>
      </c>
      <c r="R50" s="715">
        <v>0</v>
      </c>
      <c r="S50" s="715">
        <v>0.85</v>
      </c>
      <c r="T50" s="715">
        <v>0</v>
      </c>
      <c r="U50" s="715">
        <v>0.85</v>
      </c>
    </row>
    <row r="51" spans="1:21" x14ac:dyDescent="0.25">
      <c r="A51" s="604" t="s">
        <v>348</v>
      </c>
      <c r="B51" s="717">
        <f>Nøgletal!D392</f>
        <v>0</v>
      </c>
      <c r="C51" s="717">
        <f>Nøgletal!E392</f>
        <v>0.75</v>
      </c>
      <c r="D51" s="717">
        <f>Nøgletal!F392</f>
        <v>0</v>
      </c>
      <c r="E51" s="717">
        <f>Nøgletal!G392</f>
        <v>0.75</v>
      </c>
      <c r="F51" s="717">
        <f>Nøgletal!H392</f>
        <v>0</v>
      </c>
      <c r="G51" s="717">
        <f>Nøgletal!I392</f>
        <v>0.75</v>
      </c>
      <c r="H51" s="717">
        <f>Nøgletal!J392</f>
        <v>0</v>
      </c>
      <c r="I51" s="717">
        <f>Nøgletal!K392</f>
        <v>0.75</v>
      </c>
      <c r="J51" s="717">
        <f>Nøgletal!L392</f>
        <v>0</v>
      </c>
      <c r="K51" s="717">
        <f>Nøgletal!M392</f>
        <v>0.75</v>
      </c>
      <c r="L51" s="717">
        <f>Nøgletal!N392</f>
        <v>0</v>
      </c>
      <c r="M51" s="717">
        <f>Nøgletal!O392</f>
        <v>0.75</v>
      </c>
      <c r="N51" s="717">
        <f>Nøgletal!P392</f>
        <v>0</v>
      </c>
      <c r="O51" s="717">
        <f>Nøgletal!Q392</f>
        <v>0.75</v>
      </c>
      <c r="P51" s="717">
        <f>Nøgletal!R392</f>
        <v>0</v>
      </c>
      <c r="Q51" s="717">
        <f>Nøgletal!S392</f>
        <v>0.75</v>
      </c>
      <c r="R51" s="715">
        <v>0</v>
      </c>
      <c r="S51" s="715">
        <v>0.75</v>
      </c>
      <c r="T51" s="715">
        <v>0</v>
      </c>
      <c r="U51" s="715">
        <v>0.75</v>
      </c>
    </row>
    <row r="52" spans="1:21" x14ac:dyDescent="0.25">
      <c r="A52" s="604" t="s">
        <v>349</v>
      </c>
      <c r="B52" s="717">
        <f>Nøgletal!D393</f>
        <v>0</v>
      </c>
      <c r="C52" s="717">
        <f>Nøgletal!E393</f>
        <v>0.65</v>
      </c>
      <c r="D52" s="717">
        <f>Nøgletal!F393</f>
        <v>0</v>
      </c>
      <c r="E52" s="717">
        <f>Nøgletal!G393</f>
        <v>0.65</v>
      </c>
      <c r="F52" s="717">
        <f>Nøgletal!H393</f>
        <v>0</v>
      </c>
      <c r="G52" s="717">
        <f>Nøgletal!I393</f>
        <v>0.65</v>
      </c>
      <c r="H52" s="717">
        <f>Nøgletal!J393</f>
        <v>0</v>
      </c>
      <c r="I52" s="717">
        <f>Nøgletal!K393</f>
        <v>0.65</v>
      </c>
      <c r="J52" s="717">
        <f>Nøgletal!L393</f>
        <v>0</v>
      </c>
      <c r="K52" s="717">
        <f>Nøgletal!M393</f>
        <v>0.65</v>
      </c>
      <c r="L52" s="717">
        <f>Nøgletal!N393</f>
        <v>0</v>
      </c>
      <c r="M52" s="717">
        <f>Nøgletal!O393</f>
        <v>0.65</v>
      </c>
      <c r="N52" s="717">
        <f>Nøgletal!P393</f>
        <v>0</v>
      </c>
      <c r="O52" s="717">
        <f>Nøgletal!Q393</f>
        <v>0.65</v>
      </c>
      <c r="P52" s="717">
        <f>Nøgletal!R393</f>
        <v>0</v>
      </c>
      <c r="Q52" s="717">
        <f>Nøgletal!S393</f>
        <v>0.65</v>
      </c>
      <c r="R52" s="715">
        <v>0</v>
      </c>
      <c r="S52" s="715">
        <v>0.65</v>
      </c>
      <c r="T52" s="715">
        <v>0</v>
      </c>
      <c r="U52" s="715">
        <v>0.65</v>
      </c>
    </row>
    <row r="53" spans="1:21" x14ac:dyDescent="0.25">
      <c r="A53" s="604" t="s">
        <v>350</v>
      </c>
      <c r="B53" s="717">
        <f>Nøgletal!D394</f>
        <v>0</v>
      </c>
      <c r="C53" s="717">
        <f>Nøgletal!E394</f>
        <v>0.65</v>
      </c>
      <c r="D53" s="717">
        <f>Nøgletal!F394</f>
        <v>0</v>
      </c>
      <c r="E53" s="717">
        <f>Nøgletal!G394</f>
        <v>0.65</v>
      </c>
      <c r="F53" s="717">
        <f>Nøgletal!H394</f>
        <v>0</v>
      </c>
      <c r="G53" s="717">
        <f>Nøgletal!I394</f>
        <v>0.65</v>
      </c>
      <c r="H53" s="717">
        <f>Nøgletal!J394</f>
        <v>0</v>
      </c>
      <c r="I53" s="717">
        <f>Nøgletal!K394</f>
        <v>0.65</v>
      </c>
      <c r="J53" s="717">
        <f>Nøgletal!L394</f>
        <v>0</v>
      </c>
      <c r="K53" s="717">
        <f>Nøgletal!M394</f>
        <v>0.65</v>
      </c>
      <c r="L53" s="717">
        <f>Nøgletal!N394</f>
        <v>0</v>
      </c>
      <c r="M53" s="717">
        <f>Nøgletal!O394</f>
        <v>0.65</v>
      </c>
      <c r="N53" s="717">
        <f>Nøgletal!P394</f>
        <v>0</v>
      </c>
      <c r="O53" s="717">
        <f>Nøgletal!Q394</f>
        <v>0.65</v>
      </c>
      <c r="P53" s="717">
        <f>Nøgletal!R394</f>
        <v>0</v>
      </c>
      <c r="Q53" s="717">
        <f>Nøgletal!S394</f>
        <v>0.65</v>
      </c>
      <c r="R53" s="715">
        <v>0</v>
      </c>
      <c r="S53" s="715">
        <v>0.65</v>
      </c>
      <c r="T53" s="715">
        <v>0</v>
      </c>
      <c r="U53" s="715">
        <v>0.65</v>
      </c>
    </row>
    <row r="54" spans="1:21" x14ac:dyDescent="0.25">
      <c r="A54" s="604" t="s">
        <v>331</v>
      </c>
      <c r="B54" s="717">
        <f>Nøgletal!D395</f>
        <v>0</v>
      </c>
      <c r="C54" s="717">
        <f>Nøgletal!E395</f>
        <v>1</v>
      </c>
      <c r="D54" s="717">
        <f>Nøgletal!F395</f>
        <v>0</v>
      </c>
      <c r="E54" s="717">
        <f>Nøgletal!G395</f>
        <v>1</v>
      </c>
      <c r="F54" s="717">
        <f>Nøgletal!H395</f>
        <v>0</v>
      </c>
      <c r="G54" s="717">
        <f>Nøgletal!I395</f>
        <v>1</v>
      </c>
      <c r="H54" s="717">
        <f>Nøgletal!J395</f>
        <v>0</v>
      </c>
      <c r="I54" s="717">
        <f>Nøgletal!K395</f>
        <v>1</v>
      </c>
      <c r="J54" s="717">
        <f>Nøgletal!L395</f>
        <v>0</v>
      </c>
      <c r="K54" s="717">
        <f>Nøgletal!M395</f>
        <v>1</v>
      </c>
      <c r="L54" s="717">
        <f>Nøgletal!N395</f>
        <v>0</v>
      </c>
      <c r="M54" s="717">
        <f>Nøgletal!O395</f>
        <v>1</v>
      </c>
      <c r="N54" s="717">
        <f>Nøgletal!P395</f>
        <v>0</v>
      </c>
      <c r="O54" s="717">
        <f>Nøgletal!Q395</f>
        <v>1</v>
      </c>
      <c r="P54" s="717">
        <f>Nøgletal!R395</f>
        <v>0</v>
      </c>
      <c r="Q54" s="717">
        <f>Nøgletal!S395</f>
        <v>1</v>
      </c>
      <c r="R54" s="715">
        <v>0</v>
      </c>
      <c r="S54" s="715">
        <v>1</v>
      </c>
      <c r="T54" s="715">
        <v>0</v>
      </c>
      <c r="U54" s="715">
        <v>1</v>
      </c>
    </row>
    <row r="55" spans="1:21" x14ac:dyDescent="0.25">
      <c r="A55" s="604" t="s">
        <v>292</v>
      </c>
      <c r="B55" s="717">
        <f>Nøgletal!D396</f>
        <v>0</v>
      </c>
      <c r="C55" s="717">
        <f>Nøgletal!E396</f>
        <v>0.9</v>
      </c>
      <c r="D55" s="717">
        <f>Nøgletal!F396</f>
        <v>0</v>
      </c>
      <c r="E55" s="717">
        <f>Nøgletal!G396</f>
        <v>0.9</v>
      </c>
      <c r="F55" s="717">
        <f>Nøgletal!H396</f>
        <v>0</v>
      </c>
      <c r="G55" s="717">
        <f>Nøgletal!I396</f>
        <v>0.9</v>
      </c>
      <c r="H55" s="717">
        <f>Nøgletal!J396</f>
        <v>0</v>
      </c>
      <c r="I55" s="717">
        <f>Nøgletal!K396</f>
        <v>0.9</v>
      </c>
      <c r="J55" s="717">
        <f>Nøgletal!L396</f>
        <v>0</v>
      </c>
      <c r="K55" s="717">
        <f>Nøgletal!M396</f>
        <v>0.9</v>
      </c>
      <c r="L55" s="717">
        <f>Nøgletal!N396</f>
        <v>0</v>
      </c>
      <c r="M55" s="717">
        <f>Nøgletal!O396</f>
        <v>0.9</v>
      </c>
      <c r="N55" s="717">
        <f>Nøgletal!P396</f>
        <v>0</v>
      </c>
      <c r="O55" s="717">
        <f>Nøgletal!Q396</f>
        <v>0.9</v>
      </c>
      <c r="P55" s="717">
        <f>Nøgletal!R396</f>
        <v>0</v>
      </c>
      <c r="Q55" s="717">
        <f>Nøgletal!S396</f>
        <v>0.9</v>
      </c>
      <c r="R55" s="715">
        <v>0</v>
      </c>
      <c r="S55" s="715">
        <v>0.9</v>
      </c>
      <c r="T55" s="715">
        <v>0</v>
      </c>
      <c r="U55" s="715">
        <v>0.9</v>
      </c>
    </row>
    <row r="56" spans="1:21" x14ac:dyDescent="0.25">
      <c r="A56" s="604" t="s">
        <v>294</v>
      </c>
      <c r="B56" s="717">
        <f>Nøgletal!D397</f>
        <v>0</v>
      </c>
      <c r="C56" s="717">
        <f>Nøgletal!E397</f>
        <v>0.9</v>
      </c>
      <c r="D56" s="717">
        <f>Nøgletal!F397</f>
        <v>0</v>
      </c>
      <c r="E56" s="717">
        <f>Nøgletal!G397</f>
        <v>0.9</v>
      </c>
      <c r="F56" s="717">
        <f>Nøgletal!H397</f>
        <v>0</v>
      </c>
      <c r="G56" s="717">
        <f>Nøgletal!I397</f>
        <v>0.9</v>
      </c>
      <c r="H56" s="717">
        <f>Nøgletal!J397</f>
        <v>0</v>
      </c>
      <c r="I56" s="717">
        <f>Nøgletal!K397</f>
        <v>0.9</v>
      </c>
      <c r="J56" s="717">
        <f>Nøgletal!L397</f>
        <v>0</v>
      </c>
      <c r="K56" s="717">
        <f>Nøgletal!M397</f>
        <v>0.9</v>
      </c>
      <c r="L56" s="717">
        <f>Nøgletal!N397</f>
        <v>0</v>
      </c>
      <c r="M56" s="717">
        <f>Nøgletal!O397</f>
        <v>0.9</v>
      </c>
      <c r="N56" s="717">
        <f>Nøgletal!P397</f>
        <v>0</v>
      </c>
      <c r="O56" s="717">
        <f>Nøgletal!Q397</f>
        <v>0.9</v>
      </c>
      <c r="P56" s="717">
        <f>Nøgletal!R397</f>
        <v>0</v>
      </c>
      <c r="Q56" s="717">
        <f>Nøgletal!S397</f>
        <v>0.9</v>
      </c>
      <c r="R56" s="715">
        <v>0</v>
      </c>
      <c r="S56" s="715">
        <v>0.9</v>
      </c>
      <c r="T56" s="715">
        <v>0</v>
      </c>
      <c r="U56" s="715">
        <v>0.9</v>
      </c>
    </row>
    <row r="57" spans="1:21" x14ac:dyDescent="0.25">
      <c r="A57" s="604" t="s">
        <v>355</v>
      </c>
      <c r="B57" s="717">
        <f>Nøgletal!D398</f>
        <v>0</v>
      </c>
      <c r="C57" s="717">
        <f>Nøgletal!E398</f>
        <v>0.9</v>
      </c>
      <c r="D57" s="717">
        <f>Nøgletal!F398</f>
        <v>0</v>
      </c>
      <c r="E57" s="717">
        <f>Nøgletal!G398</f>
        <v>0.9</v>
      </c>
      <c r="F57" s="717">
        <f>Nøgletal!H398</f>
        <v>0</v>
      </c>
      <c r="G57" s="717">
        <f>Nøgletal!I398</f>
        <v>0.9</v>
      </c>
      <c r="H57" s="717">
        <f>Nøgletal!J398</f>
        <v>0</v>
      </c>
      <c r="I57" s="717">
        <f>Nøgletal!K398</f>
        <v>0.9</v>
      </c>
      <c r="J57" s="717">
        <f>Nøgletal!L398</f>
        <v>0</v>
      </c>
      <c r="K57" s="717">
        <f>Nøgletal!M398</f>
        <v>0.9</v>
      </c>
      <c r="L57" s="717">
        <f>Nøgletal!N398</f>
        <v>0</v>
      </c>
      <c r="M57" s="717">
        <f>Nøgletal!O398</f>
        <v>0.9</v>
      </c>
      <c r="N57" s="717">
        <f>Nøgletal!P398</f>
        <v>0</v>
      </c>
      <c r="O57" s="717">
        <f>Nøgletal!Q398</f>
        <v>0.9</v>
      </c>
      <c r="P57" s="717">
        <f>Nøgletal!R398</f>
        <v>0</v>
      </c>
      <c r="Q57" s="717">
        <f>Nøgletal!S398</f>
        <v>0.9</v>
      </c>
      <c r="R57" s="715">
        <v>0</v>
      </c>
      <c r="S57" s="715">
        <v>0.9</v>
      </c>
      <c r="T57" s="715">
        <v>0</v>
      </c>
      <c r="U57" s="715">
        <v>0.9</v>
      </c>
    </row>
    <row r="58" spans="1:21" x14ac:dyDescent="0.25">
      <c r="A58" s="629" t="s">
        <v>239</v>
      </c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6"/>
      <c r="S58" s="716"/>
      <c r="T58" s="716"/>
      <c r="U58" s="716"/>
    </row>
    <row r="59" spans="1:21" x14ac:dyDescent="0.25">
      <c r="A59" s="604" t="s">
        <v>241</v>
      </c>
      <c r="B59" s="717">
        <f>Nøgletal!D401</f>
        <v>0.2</v>
      </c>
      <c r="C59" s="717">
        <f>Nøgletal!E401</f>
        <v>0</v>
      </c>
      <c r="D59" s="717">
        <f>Nøgletal!F401</f>
        <v>0.2</v>
      </c>
      <c r="E59" s="717">
        <f>Nøgletal!G401</f>
        <v>0</v>
      </c>
      <c r="F59" s="717">
        <f>Nøgletal!H401</f>
        <v>0.2</v>
      </c>
      <c r="G59" s="717">
        <f>Nøgletal!I401</f>
        <v>0</v>
      </c>
      <c r="H59" s="717">
        <f>Nøgletal!J401</f>
        <v>0.2</v>
      </c>
      <c r="I59" s="717">
        <f>Nøgletal!K401</f>
        <v>0</v>
      </c>
      <c r="J59" s="717">
        <f>Nøgletal!L401</f>
        <v>0.2</v>
      </c>
      <c r="K59" s="717">
        <f>Nøgletal!M401</f>
        <v>0</v>
      </c>
      <c r="L59" s="717">
        <f>Nøgletal!N401</f>
        <v>0.2</v>
      </c>
      <c r="M59" s="717">
        <f>Nøgletal!O401</f>
        <v>0</v>
      </c>
      <c r="N59" s="717">
        <f>Nøgletal!P401</f>
        <v>0.2</v>
      </c>
      <c r="O59" s="717">
        <f>Nøgletal!Q401</f>
        <v>0</v>
      </c>
      <c r="P59" s="717">
        <f>Nøgletal!R401</f>
        <v>0.2</v>
      </c>
      <c r="Q59" s="717">
        <f>Nøgletal!S401</f>
        <v>0</v>
      </c>
      <c r="R59" s="715">
        <v>0.2</v>
      </c>
      <c r="S59" s="715">
        <v>0</v>
      </c>
      <c r="T59" s="715">
        <v>0.2</v>
      </c>
      <c r="U59" s="715"/>
    </row>
    <row r="60" spans="1:21" x14ac:dyDescent="0.25">
      <c r="A60" s="604" t="s">
        <v>243</v>
      </c>
      <c r="B60" s="717">
        <f>Nøgletal!D402</f>
        <v>0.25</v>
      </c>
      <c r="C60" s="717">
        <f>Nøgletal!E402</f>
        <v>0</v>
      </c>
      <c r="D60" s="717">
        <f>Nøgletal!F402</f>
        <v>0.25</v>
      </c>
      <c r="E60" s="717">
        <f>Nøgletal!G402</f>
        <v>0</v>
      </c>
      <c r="F60" s="717">
        <f>Nøgletal!H402</f>
        <v>0.25</v>
      </c>
      <c r="G60" s="717">
        <f>Nøgletal!I402</f>
        <v>0</v>
      </c>
      <c r="H60" s="717">
        <f>Nøgletal!J402</f>
        <v>0.25</v>
      </c>
      <c r="I60" s="717">
        <f>Nøgletal!K402</f>
        <v>0</v>
      </c>
      <c r="J60" s="717">
        <f>Nøgletal!L402</f>
        <v>0.25</v>
      </c>
      <c r="K60" s="717">
        <f>Nøgletal!M402</f>
        <v>0</v>
      </c>
      <c r="L60" s="717">
        <f>Nøgletal!N402</f>
        <v>0.25</v>
      </c>
      <c r="M60" s="717">
        <f>Nøgletal!O402</f>
        <v>0</v>
      </c>
      <c r="N60" s="717">
        <f>Nøgletal!P402</f>
        <v>0.25</v>
      </c>
      <c r="O60" s="717">
        <f>Nøgletal!Q402</f>
        <v>0</v>
      </c>
      <c r="P60" s="717">
        <f>Nøgletal!R402</f>
        <v>0.25</v>
      </c>
      <c r="Q60" s="717">
        <f>Nøgletal!S402</f>
        <v>0</v>
      </c>
      <c r="R60" s="715">
        <v>0.25</v>
      </c>
      <c r="S60" s="715">
        <v>0</v>
      </c>
      <c r="T60" s="715">
        <v>0.25</v>
      </c>
      <c r="U60" s="715"/>
    </row>
    <row r="61" spans="1:21" x14ac:dyDescent="0.25">
      <c r="A61" s="604" t="s">
        <v>244</v>
      </c>
      <c r="B61" s="717">
        <f>Nøgletal!D403</f>
        <v>0.25</v>
      </c>
      <c r="C61" s="717">
        <f>Nøgletal!E403</f>
        <v>0</v>
      </c>
      <c r="D61" s="717">
        <f>Nøgletal!F403</f>
        <v>0.25</v>
      </c>
      <c r="E61" s="717">
        <f>Nøgletal!G403</f>
        <v>0</v>
      </c>
      <c r="F61" s="717">
        <f>Nøgletal!H403</f>
        <v>0.25</v>
      </c>
      <c r="G61" s="717">
        <f>Nøgletal!I403</f>
        <v>0</v>
      </c>
      <c r="H61" s="717">
        <f>Nøgletal!J403</f>
        <v>0.25</v>
      </c>
      <c r="I61" s="717">
        <f>Nøgletal!K403</f>
        <v>0</v>
      </c>
      <c r="J61" s="717">
        <f>Nøgletal!L403</f>
        <v>0.25</v>
      </c>
      <c r="K61" s="717">
        <f>Nøgletal!M403</f>
        <v>0</v>
      </c>
      <c r="L61" s="717">
        <f>Nøgletal!N403</f>
        <v>0.25</v>
      </c>
      <c r="M61" s="717">
        <f>Nøgletal!O403</f>
        <v>0</v>
      </c>
      <c r="N61" s="717">
        <f>Nøgletal!P403</f>
        <v>0.25</v>
      </c>
      <c r="O61" s="717">
        <f>Nøgletal!Q403</f>
        <v>0</v>
      </c>
      <c r="P61" s="717">
        <f>Nøgletal!R403</f>
        <v>0.25</v>
      </c>
      <c r="Q61" s="717">
        <f>Nøgletal!S403</f>
        <v>0</v>
      </c>
      <c r="R61" s="715">
        <v>0.25</v>
      </c>
      <c r="S61" s="715">
        <v>0</v>
      </c>
      <c r="T61" s="715">
        <v>0.25</v>
      </c>
      <c r="U61" s="715"/>
    </row>
    <row r="62" spans="1:21" x14ac:dyDescent="0.25">
      <c r="A62" s="604" t="s">
        <v>246</v>
      </c>
      <c r="B62" s="717">
        <f>Nøgletal!D404</f>
        <v>0.33</v>
      </c>
      <c r="C62" s="717">
        <f>Nøgletal!E404</f>
        <v>0</v>
      </c>
      <c r="D62" s="717">
        <f>Nøgletal!F404</f>
        <v>0.33</v>
      </c>
      <c r="E62" s="717">
        <f>Nøgletal!G404</f>
        <v>0</v>
      </c>
      <c r="F62" s="717">
        <f>Nøgletal!H404</f>
        <v>0.33</v>
      </c>
      <c r="G62" s="717">
        <f>Nøgletal!I404</f>
        <v>0</v>
      </c>
      <c r="H62" s="717">
        <f>Nøgletal!J404</f>
        <v>0.33</v>
      </c>
      <c r="I62" s="717">
        <f>Nøgletal!K404</f>
        <v>0</v>
      </c>
      <c r="J62" s="717">
        <f>Nøgletal!L404</f>
        <v>0.33</v>
      </c>
      <c r="K62" s="717">
        <f>Nøgletal!M404</f>
        <v>0</v>
      </c>
      <c r="L62" s="717">
        <f>Nøgletal!N404</f>
        <v>0.33</v>
      </c>
      <c r="M62" s="717">
        <f>Nøgletal!O404</f>
        <v>0</v>
      </c>
      <c r="N62" s="717">
        <f>Nøgletal!P404</f>
        <v>0.33</v>
      </c>
      <c r="O62" s="717">
        <f>Nøgletal!Q404</f>
        <v>0</v>
      </c>
      <c r="P62" s="717">
        <f>Nøgletal!R404</f>
        <v>0.33</v>
      </c>
      <c r="Q62" s="717">
        <f>Nøgletal!S404</f>
        <v>0</v>
      </c>
      <c r="R62" s="715">
        <v>0.33</v>
      </c>
      <c r="S62" s="715">
        <v>0</v>
      </c>
      <c r="T62" s="715">
        <v>0.33</v>
      </c>
      <c r="U62" s="715"/>
    </row>
    <row r="63" spans="1:21" x14ac:dyDescent="0.25">
      <c r="A63" s="604" t="s">
        <v>248</v>
      </c>
      <c r="B63" s="717">
        <f>Nøgletal!D405</f>
        <v>0.33</v>
      </c>
      <c r="C63" s="717">
        <f>Nøgletal!E405</f>
        <v>0</v>
      </c>
      <c r="D63" s="717">
        <f>Nøgletal!F405</f>
        <v>0.33</v>
      </c>
      <c r="E63" s="717">
        <f>Nøgletal!G405</f>
        <v>0</v>
      </c>
      <c r="F63" s="717">
        <f>Nøgletal!H405</f>
        <v>0.33</v>
      </c>
      <c r="G63" s="717">
        <f>Nøgletal!I405</f>
        <v>0</v>
      </c>
      <c r="H63" s="717">
        <f>Nøgletal!J405</f>
        <v>0.33</v>
      </c>
      <c r="I63" s="717">
        <f>Nøgletal!K405</f>
        <v>0</v>
      </c>
      <c r="J63" s="717">
        <f>Nøgletal!L405</f>
        <v>0.33</v>
      </c>
      <c r="K63" s="717">
        <f>Nøgletal!M405</f>
        <v>0</v>
      </c>
      <c r="L63" s="717">
        <f>Nøgletal!N405</f>
        <v>0.33</v>
      </c>
      <c r="M63" s="717">
        <f>Nøgletal!O405</f>
        <v>0</v>
      </c>
      <c r="N63" s="717">
        <f>Nøgletal!P405</f>
        <v>0.33</v>
      </c>
      <c r="O63" s="717">
        <f>Nøgletal!Q405</f>
        <v>0</v>
      </c>
      <c r="P63" s="717">
        <f>Nøgletal!R405</f>
        <v>0.33</v>
      </c>
      <c r="Q63" s="717">
        <f>Nøgletal!S405</f>
        <v>0</v>
      </c>
      <c r="R63" s="715">
        <v>0.33</v>
      </c>
      <c r="S63" s="715">
        <v>0</v>
      </c>
      <c r="T63" s="715">
        <v>0.33</v>
      </c>
      <c r="U63" s="715"/>
    </row>
    <row r="64" spans="1:21" x14ac:dyDescent="0.25">
      <c r="A64" s="604" t="s">
        <v>285</v>
      </c>
      <c r="B64" s="717">
        <f>Nøgletal!D406</f>
        <v>0.33</v>
      </c>
      <c r="C64" s="717">
        <f>Nøgletal!E406</f>
        <v>0</v>
      </c>
      <c r="D64" s="717">
        <f>Nøgletal!F406</f>
        <v>0.33</v>
      </c>
      <c r="E64" s="717">
        <f>Nøgletal!G406</f>
        <v>0</v>
      </c>
      <c r="F64" s="717">
        <f>Nøgletal!H406</f>
        <v>0.33</v>
      </c>
      <c r="G64" s="717">
        <f>Nøgletal!I406</f>
        <v>0</v>
      </c>
      <c r="H64" s="717">
        <f>Nøgletal!J406</f>
        <v>0.33</v>
      </c>
      <c r="I64" s="717">
        <f>Nøgletal!K406</f>
        <v>0</v>
      </c>
      <c r="J64" s="717">
        <f>Nøgletal!L406</f>
        <v>0.33</v>
      </c>
      <c r="K64" s="717">
        <f>Nøgletal!M406</f>
        <v>0</v>
      </c>
      <c r="L64" s="717">
        <f>Nøgletal!N406</f>
        <v>0.33</v>
      </c>
      <c r="M64" s="717">
        <f>Nøgletal!O406</f>
        <v>0</v>
      </c>
      <c r="N64" s="717">
        <f>Nøgletal!P406</f>
        <v>0.33</v>
      </c>
      <c r="O64" s="717">
        <f>Nøgletal!Q406</f>
        <v>0</v>
      </c>
      <c r="P64" s="717">
        <f>Nøgletal!R406</f>
        <v>0.33</v>
      </c>
      <c r="Q64" s="717">
        <f>Nøgletal!S406</f>
        <v>0</v>
      </c>
      <c r="R64" s="715">
        <v>0.33</v>
      </c>
      <c r="S64" s="715">
        <v>0</v>
      </c>
      <c r="T64" s="715">
        <v>0.33</v>
      </c>
      <c r="U64" s="715"/>
    </row>
    <row r="65" spans="1:21" x14ac:dyDescent="0.25">
      <c r="A65" s="604" t="s">
        <v>250</v>
      </c>
      <c r="B65" s="717">
        <f>Nøgletal!D407</f>
        <v>0.33</v>
      </c>
      <c r="C65" s="717">
        <f>Nøgletal!E407</f>
        <v>0</v>
      </c>
      <c r="D65" s="717">
        <f>Nøgletal!F407</f>
        <v>0.33</v>
      </c>
      <c r="E65" s="717">
        <f>Nøgletal!G407</f>
        <v>0</v>
      </c>
      <c r="F65" s="717">
        <f>Nøgletal!H407</f>
        <v>0.33</v>
      </c>
      <c r="G65" s="717">
        <f>Nøgletal!I407</f>
        <v>0</v>
      </c>
      <c r="H65" s="717">
        <f>Nøgletal!J407</f>
        <v>0.33</v>
      </c>
      <c r="I65" s="717">
        <f>Nøgletal!K407</f>
        <v>0</v>
      </c>
      <c r="J65" s="717">
        <f>Nøgletal!L407</f>
        <v>0.33</v>
      </c>
      <c r="K65" s="717">
        <f>Nøgletal!M407</f>
        <v>0</v>
      </c>
      <c r="L65" s="717">
        <f>Nøgletal!N407</f>
        <v>0.33</v>
      </c>
      <c r="M65" s="717">
        <f>Nøgletal!O407</f>
        <v>0</v>
      </c>
      <c r="N65" s="717">
        <f>Nøgletal!P407</f>
        <v>0.33</v>
      </c>
      <c r="O65" s="717">
        <f>Nøgletal!Q407</f>
        <v>0</v>
      </c>
      <c r="P65" s="717">
        <f>Nøgletal!R407</f>
        <v>0.33</v>
      </c>
      <c r="Q65" s="717">
        <f>Nøgletal!S407</f>
        <v>0</v>
      </c>
      <c r="R65" s="715">
        <v>0.33</v>
      </c>
      <c r="S65" s="715">
        <v>0</v>
      </c>
      <c r="T65" s="715">
        <v>0.33</v>
      </c>
      <c r="U65" s="715"/>
    </row>
    <row r="66" spans="1:21" x14ac:dyDescent="0.25">
      <c r="A66" s="604" t="s">
        <v>252</v>
      </c>
      <c r="B66" s="717">
        <f>Nøgletal!D408</f>
        <v>0.33</v>
      </c>
      <c r="C66" s="717">
        <f>Nøgletal!E408</f>
        <v>0</v>
      </c>
      <c r="D66" s="717">
        <f>Nøgletal!F408</f>
        <v>0.33</v>
      </c>
      <c r="E66" s="717">
        <f>Nøgletal!G408</f>
        <v>0</v>
      </c>
      <c r="F66" s="717">
        <f>Nøgletal!H408</f>
        <v>0.33</v>
      </c>
      <c r="G66" s="717">
        <f>Nøgletal!I408</f>
        <v>0</v>
      </c>
      <c r="H66" s="717">
        <f>Nøgletal!J408</f>
        <v>0.33</v>
      </c>
      <c r="I66" s="717">
        <f>Nøgletal!K408</f>
        <v>0</v>
      </c>
      <c r="J66" s="717">
        <f>Nøgletal!L408</f>
        <v>0.33</v>
      </c>
      <c r="K66" s="717">
        <f>Nøgletal!M408</f>
        <v>0</v>
      </c>
      <c r="L66" s="717">
        <f>Nøgletal!N408</f>
        <v>0.33</v>
      </c>
      <c r="M66" s="717">
        <f>Nøgletal!O408</f>
        <v>0</v>
      </c>
      <c r="N66" s="717">
        <f>Nøgletal!P408</f>
        <v>0.33</v>
      </c>
      <c r="O66" s="717">
        <f>Nøgletal!Q408</f>
        <v>0</v>
      </c>
      <c r="P66" s="717">
        <f>Nøgletal!R408</f>
        <v>0.33</v>
      </c>
      <c r="Q66" s="717">
        <f>Nøgletal!S408</f>
        <v>0</v>
      </c>
      <c r="R66" s="715">
        <v>0.33</v>
      </c>
      <c r="S66" s="715">
        <v>0</v>
      </c>
      <c r="T66" s="715">
        <v>0.33</v>
      </c>
      <c r="U66" s="715"/>
    </row>
    <row r="67" spans="1:21" x14ac:dyDescent="0.25">
      <c r="A67" s="604" t="s">
        <v>254</v>
      </c>
      <c r="B67" s="717">
        <f>Nøgletal!D409</f>
        <v>0.33</v>
      </c>
      <c r="C67" s="717">
        <f>Nøgletal!E409</f>
        <v>0</v>
      </c>
      <c r="D67" s="717">
        <f>Nøgletal!F409</f>
        <v>0.33</v>
      </c>
      <c r="E67" s="717">
        <f>Nøgletal!G409</f>
        <v>0</v>
      </c>
      <c r="F67" s="717">
        <f>Nøgletal!H409</f>
        <v>0.33</v>
      </c>
      <c r="G67" s="717">
        <f>Nøgletal!I409</f>
        <v>0</v>
      </c>
      <c r="H67" s="717">
        <f>Nøgletal!J409</f>
        <v>0.33</v>
      </c>
      <c r="I67" s="717">
        <f>Nøgletal!K409</f>
        <v>0</v>
      </c>
      <c r="J67" s="717">
        <f>Nøgletal!L409</f>
        <v>0.33</v>
      </c>
      <c r="K67" s="717">
        <f>Nøgletal!M409</f>
        <v>0</v>
      </c>
      <c r="L67" s="717">
        <f>Nøgletal!N409</f>
        <v>0.33</v>
      </c>
      <c r="M67" s="717">
        <f>Nøgletal!O409</f>
        <v>0</v>
      </c>
      <c r="N67" s="717">
        <f>Nøgletal!P409</f>
        <v>0.33</v>
      </c>
      <c r="O67" s="717">
        <f>Nøgletal!Q409</f>
        <v>0</v>
      </c>
      <c r="P67" s="717">
        <f>Nøgletal!R409</f>
        <v>0.33</v>
      </c>
      <c r="Q67" s="717">
        <f>Nøgletal!S409</f>
        <v>0</v>
      </c>
      <c r="R67" s="715">
        <v>0.33</v>
      </c>
      <c r="S67" s="715">
        <v>0</v>
      </c>
      <c r="T67" s="715">
        <v>0.33</v>
      </c>
      <c r="U67" s="715"/>
    </row>
    <row r="68" spans="1:21" x14ac:dyDescent="0.25">
      <c r="A68" s="720" t="s">
        <v>475</v>
      </c>
      <c r="B68" s="717">
        <f>Nøgletal!D410</f>
        <v>0.85</v>
      </c>
      <c r="C68" s="717">
        <f>Nøgletal!E410</f>
        <v>0</v>
      </c>
      <c r="D68" s="717">
        <f>Nøgletal!F410</f>
        <v>0.85</v>
      </c>
      <c r="E68" s="717">
        <f>Nøgletal!G410</f>
        <v>0</v>
      </c>
      <c r="F68" s="717">
        <f>Nøgletal!H410</f>
        <v>0.85</v>
      </c>
      <c r="G68" s="717">
        <f>Nøgletal!I410</f>
        <v>0</v>
      </c>
      <c r="H68" s="717">
        <f>Nøgletal!J410</f>
        <v>0.85</v>
      </c>
      <c r="I68" s="717">
        <f>Nøgletal!K410</f>
        <v>0</v>
      </c>
      <c r="J68" s="717">
        <f>Nøgletal!L410</f>
        <v>0.85</v>
      </c>
      <c r="K68" s="717">
        <f>Nøgletal!M410</f>
        <v>0</v>
      </c>
      <c r="L68" s="717">
        <f>Nøgletal!N410</f>
        <v>0.85</v>
      </c>
      <c r="M68" s="717">
        <f>Nøgletal!O410</f>
        <v>0</v>
      </c>
      <c r="N68" s="717">
        <f>Nøgletal!P410</f>
        <v>0.85</v>
      </c>
      <c r="O68" s="717">
        <f>Nøgletal!Q410</f>
        <v>0</v>
      </c>
      <c r="P68" s="717">
        <f>Nøgletal!R410</f>
        <v>0.85</v>
      </c>
      <c r="Q68" s="717">
        <f>Nøgletal!S410</f>
        <v>0</v>
      </c>
      <c r="R68" s="715">
        <v>0.85</v>
      </c>
      <c r="S68" s="715">
        <v>0</v>
      </c>
      <c r="T68" s="715">
        <v>0.85</v>
      </c>
      <c r="U68" s="715"/>
    </row>
    <row r="69" spans="1:21" x14ac:dyDescent="0.25">
      <c r="A69" s="720" t="s">
        <v>495</v>
      </c>
      <c r="B69" s="717">
        <f>Nøgletal!D411</f>
        <v>0.38</v>
      </c>
      <c r="C69" s="717">
        <f>Nøgletal!E411</f>
        <v>0</v>
      </c>
      <c r="D69" s="717">
        <f>Nøgletal!F411</f>
        <v>0.38</v>
      </c>
      <c r="E69" s="717">
        <f>Nøgletal!G411</f>
        <v>0</v>
      </c>
      <c r="F69" s="717">
        <f>Nøgletal!H411</f>
        <v>0.38</v>
      </c>
      <c r="G69" s="717">
        <f>Nøgletal!I411</f>
        <v>0</v>
      </c>
      <c r="H69" s="717">
        <f>Nøgletal!J411</f>
        <v>0.38</v>
      </c>
      <c r="I69" s="717">
        <f>Nøgletal!K411</f>
        <v>0</v>
      </c>
      <c r="J69" s="717">
        <f>Nøgletal!L411</f>
        <v>0.38</v>
      </c>
      <c r="K69" s="717">
        <f>Nøgletal!M411</f>
        <v>0</v>
      </c>
      <c r="L69" s="717">
        <f>Nøgletal!N411</f>
        <v>0.38</v>
      </c>
      <c r="M69" s="717">
        <f>Nøgletal!O411</f>
        <v>0</v>
      </c>
      <c r="N69" s="717">
        <f>Nøgletal!P411</f>
        <v>0.38</v>
      </c>
      <c r="O69" s="717">
        <f>Nøgletal!Q411</f>
        <v>0</v>
      </c>
      <c r="P69" s="717">
        <f>Nøgletal!R411</f>
        <v>0.38</v>
      </c>
      <c r="Q69" s="717">
        <f>Nøgletal!S411</f>
        <v>0</v>
      </c>
      <c r="R69" s="715">
        <v>0.38</v>
      </c>
      <c r="S69" s="715">
        <v>0</v>
      </c>
      <c r="T69" s="715">
        <v>0.38</v>
      </c>
      <c r="U69" s="715"/>
    </row>
  </sheetData>
  <sheetProtection algorithmName="SHA-512" hashValue="sDdt1u9G+eXMig7vpYKorxbLHLYkKlYBDUKaXU5pNdJ9Uz1sJUS3oG2XtRY9x2oCTdPtwxRQcJ06Aoa74AtO3g==" saltValue="8yhidI8vgPebdz+gkn8eSw==" spinCount="100000" sheet="1" objects="1" scenarios="1"/>
  <protectedRanges>
    <protectedRange algorithmName="SHA-512" hashValue="qPKx9dDXWFpts1Az/vnmviJ0nQk9vikIBg9DTzJCHjmxPqf3uimYdC8SUBULMC2y0ILYdKbrZ6ZZVBb5G4S1cA==" saltValue="zLk+LvoyKatg3ZdVLBpL5Q==" spinCount="100000" sqref="A1:Q1048576" name="Område1"/>
  </protectedRanges>
  <mergeCells count="10">
    <mergeCell ref="T2:U2"/>
    <mergeCell ref="L2:M2"/>
    <mergeCell ref="N2:O2"/>
    <mergeCell ref="R2:S2"/>
    <mergeCell ref="B2:C2"/>
    <mergeCell ref="D2:E2"/>
    <mergeCell ref="F2:G2"/>
    <mergeCell ref="H2:I2"/>
    <mergeCell ref="J2:K2"/>
    <mergeCell ref="P2:Q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4"/>
  <dimension ref="A1:X721"/>
  <sheetViews>
    <sheetView zoomScale="93" zoomScaleNormal="93" workbookViewId="0">
      <pane xSplit="1" topLeftCell="L1" activePane="topRight" state="frozen"/>
      <selection pane="topRight" activeCell="P2" sqref="P2"/>
    </sheetView>
  </sheetViews>
  <sheetFormatPr defaultRowHeight="15" x14ac:dyDescent="0.25"/>
  <cols>
    <col min="1" max="1" width="66.85546875" style="582" customWidth="1"/>
    <col min="2" max="2" width="11.42578125" style="582" hidden="1" customWidth="1"/>
    <col min="3" max="3" width="15.28515625" style="582" hidden="1" customWidth="1"/>
    <col min="4" max="4" width="15.140625" style="582" hidden="1" customWidth="1"/>
    <col min="5" max="5" width="12.42578125" style="582" hidden="1" customWidth="1"/>
    <col min="6" max="6" width="15.140625" style="582" hidden="1" customWidth="1"/>
    <col min="7" max="7" width="12.42578125" style="582" hidden="1" customWidth="1"/>
    <col min="8" max="8" width="15.140625" style="582" hidden="1" customWidth="1"/>
    <col min="9" max="9" width="12.42578125" style="582" hidden="1" customWidth="1"/>
    <col min="10" max="11" width="14.42578125" style="582" hidden="1" customWidth="1"/>
    <col min="12" max="12" width="13.42578125" style="582" customWidth="1"/>
    <col min="13" max="13" width="13.7109375" style="582" customWidth="1"/>
    <col min="14" max="14" width="10.7109375" style="582" customWidth="1"/>
    <col min="15" max="15" width="14" style="582" customWidth="1"/>
    <col min="16" max="16" width="13" style="582" customWidth="1"/>
    <col min="17" max="17" width="13.7109375" style="582" customWidth="1"/>
    <col min="18" max="18" width="13" style="582" customWidth="1"/>
    <col min="19" max="19" width="13.7109375" style="582" customWidth="1"/>
    <col min="20" max="20" width="14.5703125" style="582" customWidth="1"/>
    <col min="21" max="21" width="17.140625" style="582" customWidth="1"/>
    <col min="22" max="22" width="14.5703125" style="582" customWidth="1"/>
    <col min="23" max="23" width="17.140625" style="582" customWidth="1"/>
    <col min="24" max="24" width="24.28515625" style="582" customWidth="1"/>
    <col min="25" max="25" width="27" style="582" customWidth="1"/>
    <col min="26" max="26" width="27.5703125" style="582" customWidth="1"/>
    <col min="27" max="27" width="21" style="582" customWidth="1"/>
    <col min="28" max="16384" width="9.140625" style="582"/>
  </cols>
  <sheetData>
    <row r="1" spans="1:24" x14ac:dyDescent="0.25">
      <c r="A1" s="604"/>
      <c r="B1" s="666" t="s">
        <v>524</v>
      </c>
      <c r="C1" s="666"/>
      <c r="D1" s="784">
        <v>2006</v>
      </c>
      <c r="E1" s="784"/>
      <c r="F1" s="784">
        <v>2008</v>
      </c>
      <c r="G1" s="784"/>
      <c r="H1" s="784">
        <v>2009</v>
      </c>
      <c r="I1" s="784"/>
      <c r="J1" s="784">
        <v>2011</v>
      </c>
      <c r="K1" s="784"/>
      <c r="L1" s="784">
        <v>2013</v>
      </c>
      <c r="M1" s="784"/>
      <c r="N1" s="766">
        <v>2015</v>
      </c>
      <c r="O1" s="766"/>
      <c r="P1" s="766">
        <v>2017</v>
      </c>
      <c r="Q1" s="766"/>
      <c r="R1" s="766">
        <v>2017</v>
      </c>
      <c r="S1" s="766"/>
      <c r="T1" s="666">
        <v>2025</v>
      </c>
      <c r="U1" s="666"/>
      <c r="V1" s="784">
        <v>2030</v>
      </c>
      <c r="W1" s="784"/>
      <c r="X1" s="604"/>
    </row>
    <row r="2" spans="1:24" ht="18" x14ac:dyDescent="0.35">
      <c r="A2" s="604" t="s">
        <v>523</v>
      </c>
      <c r="B2" s="649">
        <f>'2030 '!$BZ9+'2030 '!$BZ68</f>
        <v>255.10348315360176</v>
      </c>
      <c r="C2" s="649"/>
      <c r="D2" s="649">
        <f>'2006'!$BZ9+'2006'!$BZ68</f>
        <v>459.32607649537397</v>
      </c>
      <c r="E2" s="649"/>
      <c r="F2" s="649">
        <f>'2008'!$BZ9+'2008'!$BZ68</f>
        <v>514.36470735530668</v>
      </c>
      <c r="G2" s="649"/>
      <c r="H2" s="649">
        <f>'2009'!$BZ9+'2009'!$BZ68</f>
        <v>495.04494537051789</v>
      </c>
      <c r="I2" s="649"/>
      <c r="J2" s="649">
        <f>'2011'!$BZ9+'2011'!$BZ68</f>
        <v>430.10748849827587</v>
      </c>
      <c r="K2" s="649"/>
      <c r="L2" s="649">
        <f>'2013'!$BZ9+'2013'!$BZ68</f>
        <v>426.55276070525065</v>
      </c>
      <c r="M2" s="649"/>
      <c r="N2" s="649">
        <f>'2015'!$BZ9+'2015'!$BZ68</f>
        <v>408.46332040131415</v>
      </c>
      <c r="O2" s="649"/>
      <c r="P2" s="649">
        <f>'2017'!$BZ9+'2017'!$BZ68</f>
        <v>380.01749655664855</v>
      </c>
      <c r="Q2" s="649"/>
      <c r="R2" s="649">
        <f>'2019'!$BZ9+'2019'!$BZ68</f>
        <v>380.01749655664855</v>
      </c>
      <c r="S2" s="649"/>
      <c r="T2" s="649">
        <f>'2025'!$BZ9+'2025'!$BZ68</f>
        <v>379.27115877733439</v>
      </c>
      <c r="U2" s="649"/>
      <c r="V2" s="793">
        <f>'2030 '!$BZ9+'2030 '!$BZ68</f>
        <v>255.10348315360176</v>
      </c>
      <c r="W2" s="793"/>
      <c r="X2" s="604"/>
    </row>
    <row r="3" spans="1:24" ht="18" x14ac:dyDescent="0.35">
      <c r="A3" s="604" t="s">
        <v>673</v>
      </c>
      <c r="B3" s="649"/>
      <c r="C3" s="649"/>
      <c r="D3" s="649">
        <f>D2-' Plan Energi 2006'!$X$82</f>
        <v>2.0741400026862493</v>
      </c>
      <c r="E3" s="649"/>
      <c r="F3" s="649">
        <f>F2-' Plan Energi 2008'!$X$82</f>
        <v>3.4561313424319451E-3</v>
      </c>
      <c r="G3" s="649"/>
      <c r="H3" s="649">
        <f>H2-' Plan Energi 2009'!$X$82</f>
        <v>5.0418719996514483E-4</v>
      </c>
      <c r="I3" s="649"/>
      <c r="J3" s="649">
        <f>J2-' Plan Energi 2011'!$X$82</f>
        <v>1.3844999999999459</v>
      </c>
      <c r="K3" s="649"/>
      <c r="L3" s="649">
        <f>L2-' Plan Energi 2013'!$X$82</f>
        <v>4.9756306145013696E-2</v>
      </c>
      <c r="M3" s="649"/>
      <c r="N3" s="649">
        <f>N2-' Plan Energi 2015'!$X$82</f>
        <v>20.311920182742767</v>
      </c>
      <c r="O3" s="649"/>
      <c r="P3" s="649">
        <f>P2-' Plan Energi 2017'!$X$82</f>
        <v>-4.8310104529662112E-2</v>
      </c>
      <c r="Q3" s="649"/>
      <c r="R3" s="649">
        <f>R2-' Plan Energi 2019'!$X$82</f>
        <v>-4.8310104529662112E-2</v>
      </c>
      <c r="S3" s="649"/>
      <c r="T3" s="649"/>
      <c r="U3" s="649"/>
      <c r="V3" s="649">
        <f>V2-' Plan Energi 2030-S'!$X$82</f>
        <v>-453.46237120504856</v>
      </c>
      <c r="W3" s="649"/>
      <c r="X3" s="604"/>
    </row>
    <row r="4" spans="1:24" x14ac:dyDescent="0.25">
      <c r="A4" s="604"/>
      <c r="B4" s="649" t="s">
        <v>535</v>
      </c>
      <c r="C4" s="649" t="s">
        <v>536</v>
      </c>
      <c r="D4" s="649" t="s">
        <v>535</v>
      </c>
      <c r="E4" s="649" t="s">
        <v>536</v>
      </c>
      <c r="F4" s="649" t="s">
        <v>535</v>
      </c>
      <c r="G4" s="649" t="s">
        <v>536</v>
      </c>
      <c r="H4" s="649" t="s">
        <v>535</v>
      </c>
      <c r="I4" s="649" t="s">
        <v>536</v>
      </c>
      <c r="J4" s="649" t="s">
        <v>535</v>
      </c>
      <c r="K4" s="649" t="s">
        <v>536</v>
      </c>
      <c r="L4" s="649" t="s">
        <v>535</v>
      </c>
      <c r="M4" s="649" t="s">
        <v>536</v>
      </c>
      <c r="N4" s="649" t="s">
        <v>535</v>
      </c>
      <c r="O4" s="649" t="s">
        <v>536</v>
      </c>
      <c r="P4" s="649" t="s">
        <v>535</v>
      </c>
      <c r="Q4" s="649" t="s">
        <v>536</v>
      </c>
      <c r="R4" s="649" t="s">
        <v>535</v>
      </c>
      <c r="S4" s="649" t="s">
        <v>536</v>
      </c>
      <c r="T4" s="649" t="s">
        <v>535</v>
      </c>
      <c r="U4" s="649" t="s">
        <v>536</v>
      </c>
      <c r="V4" s="649" t="s">
        <v>535</v>
      </c>
      <c r="W4" s="649" t="s">
        <v>536</v>
      </c>
      <c r="X4" s="604"/>
    </row>
    <row r="5" spans="1:24" ht="18" x14ac:dyDescent="0.35">
      <c r="A5" s="604" t="s">
        <v>543</v>
      </c>
      <c r="B5" s="702">
        <f>'2030 '!$BZ$79+'2030 '!$BZ$81+'2030 '!$BZ$82+'2030 '!$BZ$83+'2030 '!$BZ$85</f>
        <v>4.3831274316708608</v>
      </c>
      <c r="C5" s="650">
        <f>B5/B$2</f>
        <v>1.7181762387116103E-2</v>
      </c>
      <c r="D5" s="702">
        <f>'2006'!$BZ$79+'2006'!$BZ$81+'2006'!$BZ$82+'2006'!$BZ$83+'2006'!$BZ$85</f>
        <v>12.734471399999999</v>
      </c>
      <c r="E5" s="650">
        <f>D5/D$2</f>
        <v>2.7724250922488727E-2</v>
      </c>
      <c r="F5" s="702">
        <f>'2008'!$BZ$79+'2008'!$BZ$81+'2008'!$BZ$82+'2008'!$BZ$83+'2008'!$BZ$85</f>
        <v>10.962430029999998</v>
      </c>
      <c r="G5" s="650">
        <f>F5/F$2</f>
        <v>2.1312562610224933E-2</v>
      </c>
      <c r="H5" s="702">
        <f>'2009'!$BZ$79+'2009'!$BZ$81+'2009'!$BZ$82+'2009'!$BZ$83+'2009'!$BZ$85</f>
        <v>10.018314699999999</v>
      </c>
      <c r="I5" s="650">
        <f>H5/H$2</f>
        <v>2.0237182085561467E-2</v>
      </c>
      <c r="J5" s="702">
        <f>'2011'!$BZ$79+'2011'!$BZ$81+'2011'!$BZ$82+'2011'!$BZ$83+'2011'!$BZ$85</f>
        <v>7.7167789999999981</v>
      </c>
      <c r="K5" s="650">
        <f>J5/J$2</f>
        <v>1.7941512776127662E-2</v>
      </c>
      <c r="L5" s="702">
        <f>'2013'!$BZ$79+'2013'!$BZ$81+'2013'!$BZ$82+'2013'!$BZ$83+'2013'!$BZ$85</f>
        <v>6.8095543439369921</v>
      </c>
      <c r="M5" s="650">
        <f>L5/L$2</f>
        <v>1.5964154897692519E-2</v>
      </c>
      <c r="N5" s="702">
        <f>'2015'!$BZ$79+'2015'!$BZ$81+'2015'!$BZ$82+'2015'!$BZ$83+'2015'!$BZ$85</f>
        <v>5.7743180000000001</v>
      </c>
      <c r="O5" s="650">
        <f>N5/N$2</f>
        <v>1.4136686727040135E-2</v>
      </c>
      <c r="P5" s="702">
        <f>'2017'!$BZ$79+'2017'!$BZ$81+'2017'!$BZ$82+'2017'!$BZ$83+'2017'!$BZ$85</f>
        <v>4.0035949999999998</v>
      </c>
      <c r="Q5" s="650">
        <f>P5/P$2</f>
        <v>1.0535291233368754E-2</v>
      </c>
      <c r="R5" s="702">
        <f>'2019'!$BZ$79+'2019'!$BZ$81+'2019'!$BZ$82+'2019'!$BZ$83+'2019'!$BZ$85</f>
        <v>4.0035949999999998</v>
      </c>
      <c r="S5" s="650">
        <f>R5/R$2</f>
        <v>1.0535291233368754E-2</v>
      </c>
      <c r="T5" s="702">
        <f>'2025'!$BZ$79+'2025'!$BZ$81+'2025'!$BZ$82+'2025'!$BZ$83+'2025'!$BZ$85</f>
        <v>3.9129542500000003</v>
      </c>
      <c r="U5" s="650">
        <f>T5/T$2</f>
        <v>1.0317036134817858E-2</v>
      </c>
      <c r="V5" s="702">
        <f>'2030 '!$BZ$79+'2030 '!$BZ$81+'2030 '!$BZ$82+'2030 '!$BZ$83+'2030 '!$BZ$85</f>
        <v>4.3831274316708608</v>
      </c>
      <c r="W5" s="650">
        <f>V5/V$2</f>
        <v>1.7181762387116103E-2</v>
      </c>
      <c r="X5" s="604"/>
    </row>
    <row r="6" spans="1:24" ht="18" x14ac:dyDescent="0.35">
      <c r="A6" s="604" t="s">
        <v>547</v>
      </c>
      <c r="B6" s="702">
        <f>C18+C19+C20+C21+C22</f>
        <v>69.771870411140796</v>
      </c>
      <c r="C6" s="699">
        <f>B6/B2</f>
        <v>0.27350418562936701</v>
      </c>
      <c r="D6" s="702">
        <f>E18+E19+E20+E21+E22</f>
        <v>201.14651332948455</v>
      </c>
      <c r="E6" s="699">
        <f>D6/D2</f>
        <v>0.43791659917115627</v>
      </c>
      <c r="F6" s="702">
        <f>G18+G19+G20+G21+G22</f>
        <v>222.23480226559903</v>
      </c>
      <c r="G6" s="699">
        <f>F6/F2</f>
        <v>0.43205686371496388</v>
      </c>
      <c r="H6" s="702">
        <f>I18+I19+I20+I21+I22</f>
        <v>219.38066264042942</v>
      </c>
      <c r="I6" s="699">
        <f>H6/H2</f>
        <v>0.44315302012877494</v>
      </c>
      <c r="J6" s="702">
        <f>K18+K19+K20+K21+K22</f>
        <v>194.92665253784114</v>
      </c>
      <c r="K6" s="699">
        <f>J6/J2</f>
        <v>0.45320450759513459</v>
      </c>
      <c r="L6" s="702">
        <f>M18+M19+M20+M21+M22</f>
        <v>183.53046858136406</v>
      </c>
      <c r="M6" s="699">
        <f>L6/L2</f>
        <v>0.43026440217599299</v>
      </c>
      <c r="N6" s="702">
        <f>O18+O19+O20+O21+O22</f>
        <v>209.03370970343639</v>
      </c>
      <c r="O6" s="699">
        <f>N6/N2</f>
        <v>0.51175637875650948</v>
      </c>
      <c r="P6" s="702">
        <f>Q18+Q19+Q20+Q21+Q22</f>
        <v>107.05595877397511</v>
      </c>
      <c r="Q6" s="699">
        <f>P6/P2</f>
        <v>0.28171323621678684</v>
      </c>
      <c r="R6" s="702">
        <f>S18+S19+S20+S21+S22</f>
        <v>107.05595877397511</v>
      </c>
      <c r="S6" s="699">
        <f>R6/R2</f>
        <v>0.28171323621678684</v>
      </c>
      <c r="T6" s="702">
        <f>U18+U19+U20+U21+U22</f>
        <v>107.24534186162556</v>
      </c>
      <c r="U6" s="699">
        <f>T6/T2</f>
        <v>0.28276693173125783</v>
      </c>
      <c r="V6" s="702">
        <f>W18+W19+W20+W21+W22</f>
        <v>70.933180218914245</v>
      </c>
      <c r="W6" s="699">
        <f>V6/V2</f>
        <v>0.27805649433725793</v>
      </c>
      <c r="X6" s="604"/>
    </row>
    <row r="7" spans="1:24" ht="18" x14ac:dyDescent="0.35">
      <c r="A7" s="654" t="s">
        <v>608</v>
      </c>
      <c r="B7" s="721">
        <f>'2030 '!$BZ19+'2030 '!$BZ41+'2030 '!$BZ27+'2030 '!$BZ39+'2030 '!$BZ57+'2030 '!$BZ46</f>
        <v>93.107883390450226</v>
      </c>
      <c r="C7" s="645">
        <f t="shared" ref="C7:C8" si="0">B7/B$2</f>
        <v>0.36498083930272535</v>
      </c>
      <c r="D7" s="721">
        <f>'2006'!$BZ19+'2006'!$BZ41+'2006'!$BZ27+'2006'!$BZ39+'2006'!$BZ57+'2006'!$BZ46</f>
        <v>184.76418928479998</v>
      </c>
      <c r="E7" s="645">
        <f t="shared" ref="E7:E8" si="1">D7/D$2</f>
        <v>0.40225059873486368</v>
      </c>
      <c r="F7" s="721">
        <f>'2008'!$BZ19+'2008'!$BZ41+'2008'!$BZ27+'2008'!$BZ39+'2008'!$BZ57+'2008'!$BZ46</f>
        <v>204.79414686080003</v>
      </c>
      <c r="G7" s="645">
        <f t="shared" ref="G7:G8" si="2">F7/F$2</f>
        <v>0.3981496862679087</v>
      </c>
      <c r="H7" s="721">
        <f>'2009'!$BZ19+'2009'!$BZ41+'2009'!$BZ27+'2009'!$BZ39+'2009'!$BZ57+'2009'!$BZ46</f>
        <v>210.46023067199999</v>
      </c>
      <c r="I7" s="645">
        <f t="shared" ref="I7:I8" si="3">H7/H$2</f>
        <v>0.42513358158718373</v>
      </c>
      <c r="J7" s="721">
        <f>'2011'!$BZ19+'2011'!$BZ41+'2011'!$BZ27+'2011'!$BZ39+'2011'!$BZ57+'2011'!$BZ46</f>
        <v>191.36203342199994</v>
      </c>
      <c r="K7" s="645">
        <f t="shared" ref="K7:K8" si="4">J7/J$2</f>
        <v>0.4449167674111934</v>
      </c>
      <c r="L7" s="721">
        <f>'2013'!$BZ19+'2013'!$BZ41+'2013'!$BZ27+'2013'!$BZ39+'2013'!$BZ57+'2013'!$BZ46</f>
        <v>180.24940267834504</v>
      </c>
      <c r="M7" s="645">
        <f t="shared" ref="M7:M8" si="5">L7/L$2</f>
        <v>0.42257235044106994</v>
      </c>
      <c r="N7" s="721">
        <f>'2015'!$BZ19+'2015'!$BZ41+'2015'!$BZ27+'2015'!$BZ39+'2015'!$BZ57+'2015'!$BZ46</f>
        <v>163.71986881149905</v>
      </c>
      <c r="O7" s="645">
        <f t="shared" ref="O7:O8" si="6">N7/N$2</f>
        <v>0.40081902250279094</v>
      </c>
      <c r="P7" s="721">
        <f>'2017'!$BZ19+'2017'!$BZ41+'2017'!$BZ27+'2017'!$BZ39+'2017'!$BZ57+'2017'!$BZ46</f>
        <v>120.52031368859997</v>
      </c>
      <c r="Q7" s="645">
        <f t="shared" ref="Q7:Q8" si="7">P7/P$2</f>
        <v>0.31714411778572993</v>
      </c>
      <c r="R7" s="721">
        <f>'2019'!$BZ19+'2019'!$BZ41+'2019'!$BZ27+'2019'!$BZ39+'2019'!$BZ57+'2019'!$BZ46</f>
        <v>120.52031368859997</v>
      </c>
      <c r="S7" s="645">
        <f t="shared" ref="S7:S8" si="8">R7/R$2</f>
        <v>0.31714411778572993</v>
      </c>
      <c r="T7" s="721">
        <f>'2025'!$BZ19+'2025'!$BZ41+'2025'!$BZ27+'2025'!$BZ39+'2025'!$BZ57+'2025'!$BZ46</f>
        <v>121.34537540250889</v>
      </c>
      <c r="U7" s="645">
        <f t="shared" ref="U7:U8" si="9">T7/T$2</f>
        <v>0.31994358810116991</v>
      </c>
      <c r="V7" s="721">
        <f>'2030 '!$BZ19+'2030 '!$BZ41+'2030 '!$BZ27+'2030 '!$BZ39+'2030 '!$BZ57+'2030 '!$BZ46</f>
        <v>93.107883390450226</v>
      </c>
      <c r="W7" s="645">
        <f t="shared" ref="W7:W8" si="10">V7/V$2</f>
        <v>0.36498083930272535</v>
      </c>
      <c r="X7" s="604"/>
    </row>
    <row r="8" spans="1:24" ht="18" x14ac:dyDescent="0.35">
      <c r="A8" s="604" t="s">
        <v>544</v>
      </c>
      <c r="B8" s="702">
        <f>'2030 '!$BZ86+'2030 '!$BZ87+'2030 '!$BZ88</f>
        <v>21.305050181524141</v>
      </c>
      <c r="C8" s="650">
        <f t="shared" si="0"/>
        <v>8.3515324519093451E-2</v>
      </c>
      <c r="D8" s="702">
        <f>'2006'!$BZ86+'2006'!$BZ87+'2006'!$BZ88</f>
        <v>25.257517960000005</v>
      </c>
      <c r="E8" s="650">
        <f t="shared" si="1"/>
        <v>5.4988208273985033E-2</v>
      </c>
      <c r="F8" s="702">
        <f>'2008'!$BZ86+'2008'!$BZ87+'2008'!$BZ88</f>
        <v>22.56719648</v>
      </c>
      <c r="G8" s="650">
        <f t="shared" si="2"/>
        <v>4.3873920891721103E-2</v>
      </c>
      <c r="H8" s="702">
        <f>'2009'!$BZ86+'2009'!$BZ87+'2009'!$BZ88</f>
        <v>21.071449940000001</v>
      </c>
      <c r="I8" s="650">
        <f t="shared" si="3"/>
        <v>4.2564720914843417E-2</v>
      </c>
      <c r="J8" s="702">
        <f>'2011'!$BZ86+'2011'!$BZ87+'2011'!$BZ88</f>
        <v>21.67824405</v>
      </c>
      <c r="K8" s="650">
        <f t="shared" si="4"/>
        <v>5.040192191419355E-2</v>
      </c>
      <c r="L8" s="702">
        <f>'2013'!$BZ86+'2013'!$BZ87+'2013'!$BZ88</f>
        <v>26.941191881118371</v>
      </c>
      <c r="M8" s="650">
        <f t="shared" si="5"/>
        <v>6.3160280188023027E-2</v>
      </c>
      <c r="N8" s="702">
        <f>'2015'!$BZ86+'2015'!$BZ87+'2015'!$BZ88</f>
        <v>26.781873999999998</v>
      </c>
      <c r="O8" s="650">
        <f t="shared" si="6"/>
        <v>6.556739041754564E-2</v>
      </c>
      <c r="P8" s="702">
        <f>'2017'!$BZ86+'2017'!$BZ87+'2017'!$BZ88</f>
        <v>48.372844999999998</v>
      </c>
      <c r="Q8" s="650">
        <f t="shared" si="7"/>
        <v>0.12729109958964518</v>
      </c>
      <c r="R8" s="702">
        <f>'2019'!$BZ86+'2019'!$BZ87+'2019'!$BZ88</f>
        <v>48.372844999999998</v>
      </c>
      <c r="S8" s="650">
        <f t="shared" si="8"/>
        <v>0.12729109958964518</v>
      </c>
      <c r="T8" s="702">
        <f>'2025'!$BZ86+'2025'!$BZ87+'2025'!$BZ88</f>
        <v>48.372844999999998</v>
      </c>
      <c r="U8" s="650">
        <f t="shared" si="9"/>
        <v>0.12754158569805493</v>
      </c>
      <c r="V8" s="702">
        <f>'2030 '!$BZ86+'2030 '!$BZ87+'2030 '!$BZ88</f>
        <v>21.305050181524141</v>
      </c>
      <c r="W8" s="650">
        <f t="shared" si="10"/>
        <v>8.3515324519093451E-2</v>
      </c>
      <c r="X8" s="604"/>
    </row>
    <row r="9" spans="1:24" ht="18" x14ac:dyDescent="0.35">
      <c r="A9" s="604" t="s">
        <v>546</v>
      </c>
      <c r="B9" s="702">
        <f>C23+C24+C25</f>
        <v>43.952655465715729</v>
      </c>
      <c r="C9" s="699">
        <f>B9/B2</f>
        <v>0.17229343528504923</v>
      </c>
      <c r="D9" s="702">
        <f>E23+E24+E25</f>
        <v>106.64077395903861</v>
      </c>
      <c r="E9" s="699">
        <f>D9/D2</f>
        <v>0.23216790732348641</v>
      </c>
      <c r="F9" s="702">
        <f>G23+G24+G25</f>
        <v>142.84794978869706</v>
      </c>
      <c r="G9" s="699">
        <f>F9/F2</f>
        <v>0.27771724565469125</v>
      </c>
      <c r="H9" s="702">
        <f>I23+I24+I25</f>
        <v>129.39848379125345</v>
      </c>
      <c r="I9" s="699">
        <f>H9/H2</f>
        <v>0.26138734472766867</v>
      </c>
      <c r="J9" s="702">
        <f>K23+K24+K25</f>
        <v>94.18467640641272</v>
      </c>
      <c r="K9" s="699">
        <f>J9/J2</f>
        <v>0.21897939218696089</v>
      </c>
      <c r="L9" s="702">
        <f>M23+M24+M25</f>
        <v>110.29246207445844</v>
      </c>
      <c r="M9" s="699">
        <f>L9/L2</f>
        <v>0.2585669868648931</v>
      </c>
      <c r="N9" s="702">
        <f>O23+O24+O25</f>
        <v>157.41732478168811</v>
      </c>
      <c r="O9" s="699">
        <f>N9/N2</f>
        <v>0.38538913268154895</v>
      </c>
      <c r="P9" s="702">
        <f>Q23+Q24+Q25</f>
        <v>130.98026910467922</v>
      </c>
      <c r="Q9" s="699">
        <f>P9/P2</f>
        <v>0.34466904890300021</v>
      </c>
      <c r="R9" s="702">
        <f>S23+S24+S25</f>
        <v>130.98026910467922</v>
      </c>
      <c r="S9" s="699">
        <f>R9/R2</f>
        <v>0.34466904890300021</v>
      </c>
      <c r="T9" s="702">
        <f>U23+U24+U25</f>
        <v>131.05434852837345</v>
      </c>
      <c r="U9" s="699">
        <f>T9/T2</f>
        <v>0.34554261639840089</v>
      </c>
      <c r="V9" s="702">
        <f>W23+W24+W25</f>
        <v>43.975571850442982</v>
      </c>
      <c r="W9" s="699">
        <f>V9/V2</f>
        <v>0.1723832670052749</v>
      </c>
      <c r="X9" s="604"/>
    </row>
    <row r="10" spans="1:24" ht="18" x14ac:dyDescent="0.35">
      <c r="A10" s="654" t="s">
        <v>534</v>
      </c>
      <c r="B10" s="721">
        <f>('2030 '!$BZ19*(1+'2030 '!$BS19/1.25/IF('2030 '!$AJ19&lt;0,'2030 '!$AJ19,1))+'2030 '!$BZ41*(1+'2030 '!$BS41/1.25/IF('2030 '!$AJ41&lt;0,'2030 '!$AJ41,1))+'2030 '!$BZ27*(1+'2030 '!$BS27/1.25/IF('2030 '!$AJ27&lt;0,'2030 '!$AJ27,1))+'2030 '!$BZ37*(1+'2030 '!$BS37/1.25/IF('2030 '!$AJ37&lt;0,'2030 '!$AJ37,1))+'2030 '!$BZ57*(1+'2030 '!$BS57/1.25/IF('2030 '!$AJ57&lt;0,'2030 '!$AJ57,1))+'2030 '!$BZ46*(1+'2030 '!$BS46/1.25/IF('2030 '!$AJ46&lt;0,'2030 '!$AJ46,1))+'2030 '!$BZ10+'2030 '!BF11)</f>
        <v>35.753427221932895</v>
      </c>
      <c r="C10" s="645">
        <f t="shared" ref="C10" si="11">B10/B$2</f>
        <v>0.14015264229224655</v>
      </c>
      <c r="D10" s="721">
        <f>('2006'!$BZ19*(1+'2006'!$BS19/1.25/IF('2006'!$AJ19&lt;0,'2006'!$AJ19,1))+'2006'!$BZ41*(1+'2006'!$BS41/1.25/IF('2006'!$AJ41&lt;0,'2006'!$AJ41,1))+'2006'!$BZ27*(1+'2006'!$BS27/1.25/IF('2006'!$AJ27&lt;0,'2006'!$AJ27,1))+'2006'!$BZ37*(1+'2006'!$BS37/1.25/IF('2006'!$AJ37&lt;0,'2006'!$AJ37,1))+'2006'!$BZ57*(1+'2006'!$BS57/1.25/IF('2006'!$AJ57&lt;0,'2006'!$AJ57,1))+'2006'!$BZ46*(1+'2006'!$BS46/1.25/IF('2006'!$AJ46&lt;0,'2006'!$AJ46,1))+'2006'!$BZ10+'2009'!BH11)</f>
        <v>202.41293727989864</v>
      </c>
      <c r="E10" s="645">
        <f t="shared" ref="E10" si="12">D10/D$2</f>
        <v>0.44067373405902682</v>
      </c>
      <c r="F10" s="721">
        <f>('2008'!$BZ19*(1+'2008'!$BS19/1.25/IF('2008'!$AJ19&lt;0,'2008'!$AJ19,1))+'2008'!$BZ41*(1+'2008'!$BS41/1.25/IF('2008'!$AJ41&lt;0,'2008'!$AJ41,1))+'2008'!$BZ27*(1+'2008'!$BS27/1.25/IF('2008'!$AJ27&lt;0,'2008'!$AJ27,1))+'2008'!$BZ37*(1+'2008'!$BS37/1.25/IF('2008'!$AJ37&lt;0,'2008'!$AJ37,1))+'2008'!$BZ57*(1+'2008'!$BS57/1.25/IF('2008'!$AJ57&lt;0,'2008'!$AJ57,1))+'2008'!$BZ46*(1+'2008'!$BS46/1.25/IF('2008'!$AJ46&lt;0,'2008'!$AJ46,1))+'2008'!$BZ10+'2009'!BJ11)</f>
        <v>252.2648892481912</v>
      </c>
      <c r="G10" s="645">
        <f t="shared" ref="G10" si="13">F10/F$2</f>
        <v>0.49043973204393021</v>
      </c>
      <c r="H10" s="721">
        <f>('2009'!$BZ19*(1+'2009'!$BS19/1.25/IF('2009'!$AJ19&lt;0,'2009'!$AJ19,1))+'2009'!$BZ41*(1+'2009'!$BS41/1.25/IF('2009'!$AJ41&lt;0,'2009'!$AJ41,1))+'2009'!$BZ27*(1+'2009'!$BS27/1.25/IF('2009'!$AJ27&lt;0,'2009'!$AJ27,1))+'2009'!$BZ37*(1+'2009'!$BS37/1.25/IF('2009'!$AJ37&lt;0,'2009'!$AJ37,1))+'2009'!$BZ57*(1+'2009'!$BS57/1.25/IF('2009'!$AJ57&lt;0,'2009'!$AJ57,1))+'2009'!$BZ46*(1+'2009'!$BS46/1.25/IF('2009'!$AJ46&lt;0,'2009'!$AJ46,1))+'2009'!$BZ10+'2009'!BL11)</f>
        <v>228.40741718623633</v>
      </c>
      <c r="I10" s="645">
        <f t="shared" ref="I10" si="14">H10/H$2</f>
        <v>0.46138723225480893</v>
      </c>
      <c r="J10" s="721">
        <f>('2011'!$BZ19*(1+'2011'!$BS19/1.25/IF('2011'!$AJ19&lt;0,'2011'!$AJ19,1))+'2011'!$BZ41*(1+'2011'!$BS41/1.25/IF('2011'!$AJ41&lt;0,'2011'!$AJ41,1))+'2011'!$BZ27*(1+'2011'!$BS27/1.25/IF('2011'!$AJ27&lt;0,'2011'!$AJ27,1))+'2011'!$BZ37*(1+'2011'!$BS37/1.25/IF('2011'!$AJ37&lt;0,'2011'!$AJ37,1))+'2011'!$BZ57*(1+'2011'!$BS57/1.25/IF('2011'!$AJ57&lt;0,'2011'!$AJ57,1))+'2011'!$BZ46*(1+'2011'!$BS46/1.25/IF('2011'!$AJ46&lt;0,'2011'!$AJ46,1))+'2011'!$BZ10+'2011'!BN11)</f>
        <v>183.08914459765987</v>
      </c>
      <c r="K10" s="645">
        <f t="shared" ref="K10" si="15">J10/J$2</f>
        <v>0.42568229917808975</v>
      </c>
      <c r="L10" s="721">
        <f>('2013'!$BZ19*(1+'2013'!$BS19/1.25/IF('2013'!$AJ19&lt;0,'2013'!$AJ19,1))+'2013'!$BZ41*(1+'2013'!$BS41/1.25/IF('2013'!$AJ41&lt;0,'2013'!$AJ41,1))+'2013'!$BZ27*(1+'2013'!$BS27/1.25/IF('2013'!$AJ27&lt;0,'2013'!$AJ27,1))+'2013'!$BZ37*(1+'2013'!$BS37/1.25/IF('2013'!$AJ37&lt;0,'2013'!$AJ37,1))+'2013'!$BZ57*(1+'2013'!$BS57/1.25/IF('2013'!$AJ57&lt;0,'2013'!$AJ57,1))+'2013'!$BZ46*(1+'2013'!$BS46/1.25/IF('2013'!$AJ46&lt;0,'2013'!$AJ46,1))+'2013'!$BZ10+'2013'!BP11)</f>
        <v>190.37376274957305</v>
      </c>
      <c r="M10" s="645">
        <f t="shared" ref="M10" si="16">L10/L$2</f>
        <v>0.44630765590360799</v>
      </c>
      <c r="N10" s="721">
        <f>('2015'!$BZ19*(1+'2015'!$BS19/1.25/IF('2015'!$AJ19&lt;0,'2015'!$AJ19,1))+'2015'!$BZ41*(1+'2015'!$BS41/1.25/IF('2015'!$AJ41&lt;0,'2015'!$AJ41,1))+'2015'!$BZ27*(1+'2015'!$BS27/1.25/IF('2015'!$AJ27&lt;0,'2015'!$AJ27,1))+'2015'!$BZ37*(1+'2015'!$BS37/1.25/IF('2015'!$AJ37&lt;0,'2015'!$AJ37,1))+'2015'!$BZ57*(1+'2015'!$BS57/1.25/IF('2015'!$AJ57&lt;0,'2015'!$AJ57,1))+'2015'!$BZ46*(1+'2015'!$BS46/1.25/IF('2015'!$AJ46&lt;0,'2015'!$AJ46,1))+'2015'!$BZ10+'2015'!BR11)</f>
        <v>272.10840863882743</v>
      </c>
      <c r="O10" s="645">
        <f t="shared" ref="O10" si="17">N10/N$2</f>
        <v>0.66617587197666028</v>
      </c>
      <c r="P10" s="721">
        <f>('2017'!$BZ19*(1+'2017'!$BS19/1.25/IF('2017'!$AJ19&lt;0,'2017'!$AJ19,1))+'2017'!$BZ41*(1+'2017'!$BS41/1.25/IF('2017'!$AJ41&lt;0,'2017'!$AJ41,1))+'2017'!$BZ27*(1+'2017'!$BS27/1.25/IF('2017'!$AJ27&lt;0,'2017'!$AJ27,1))+'2017'!$BZ37*(1+'2017'!$BS37/1.25/IF('2017'!$AJ37&lt;0,'2017'!$AJ37,1))+'2017'!$BZ57*(1+'2017'!$BS57/1.25/IF('2017'!$AJ57&lt;0,'2017'!$AJ57,1))+'2017'!$BZ46*(1+'2017'!$BS46/1.25/IF('2017'!$AJ46&lt;0,'2017'!$AJ46,1))+'2017'!$BZ10+'2017'!BT11)</f>
        <v>138.17821723743663</v>
      </c>
      <c r="Q10" s="645">
        <f t="shared" ref="Q10" si="18">P10/P$2</f>
        <v>0.36361014555770232</v>
      </c>
      <c r="R10" s="721">
        <f>('2019'!$BZ19*(1+'2019'!$BS19/1.25/IF('2019'!$AJ19&lt;0,'2019'!$AJ19,1))+'2019'!$BZ41*(1+'2019'!$BS41/1.25/IF('2019'!$AJ41&lt;0,'2019'!$AJ41,1))+'2019'!$BZ27*(1+'2019'!$BS27/1.25/IF('2019'!$AJ27&lt;0,'2019'!$AJ27,1))+'2019'!$BZ37*(1+'2019'!$BS37/1.25/IF('2019'!$AJ37&lt;0,'2019'!$AJ37,1))+'2019'!$BZ57*(1+'2019'!$BS57/1.25/IF('2019'!$AJ57&lt;0,'2019'!$AJ57,1))+'2019'!$BZ46*(1+'2019'!$BS46/1.25/IF('2019'!$AJ46&lt;0,'2019'!$AJ46,1))+'2019'!$BZ10+'2019'!BV11)</f>
        <v>138.17821723743663</v>
      </c>
      <c r="S10" s="645">
        <f t="shared" ref="S10" si="19">R10/R$2</f>
        <v>0.36361014555770232</v>
      </c>
      <c r="T10" s="721">
        <f>('2025'!$BZ19*(1+'2025'!$BS19/1.25/IF('2025'!$AJ19&lt;0,'2025'!$AJ19,1))+'2025'!$BZ41*(1+'2025'!$BS41/1.25/IF('2025'!$AJ41&lt;0,'2025'!$AJ41,1))+'2025'!$BZ27*(1+'2025'!$BS27/1.25/IF('2025'!$AJ27&lt;0,'2025'!$AJ27,1))+'2025'!$BZ37*(1+'2025'!$BS37/1.25/IF('2025'!$AJ37&lt;0,'2025'!$AJ37,1))+'2025'!$BZ57*(1+'2025'!$BS57/1.25/IF('2025'!$AJ57&lt;0,'2025'!$AJ57,1))+'2025'!$BZ46*(1+'2025'!$BS46/1.25/IF('2025'!$AJ46&lt;0,'2025'!$AJ46,1))+'2025'!$BZ10+'2025'!BX11)</f>
        <v>138.12312914332858</v>
      </c>
      <c r="U10" s="645">
        <f t="shared" ref="U10" si="20">T10/T$2</f>
        <v>0.36418041801174511</v>
      </c>
      <c r="V10" s="721">
        <f>('2030 '!$BZ19*(1+'2030 '!$BS19/1.25/IF('2030 '!$AJ19&lt;0,'2030 '!$AJ19,1))+'2030 '!$BZ41*(1+'2030 '!$BS41/1.25/IF('2030 '!$AJ41&lt;0,'2030 '!$AJ41,1))+'2030 '!$BZ27*(1+'2030 '!$BS27/1.25/IF('2030 '!$AJ27&lt;0,'2030 '!$AJ27,1))+'2030 '!$BZ37*(1+'2030 '!$BS37/1.25/IF('2030 '!$AJ37&lt;0,'2030 '!$AJ37,1))+'2030 '!$BZ57*(1+'2030 '!$BS57/1.25/IF('2030 '!$AJ57&lt;0,'2030 '!$AJ57,1))+'2030 '!$BZ46*(1+'2030 '!$BS46/1.25/IF('2030 '!$AJ46&lt;0,'2030 '!$AJ46,1))+'2030 '!$BZ10+'2030 '!BZ11)</f>
        <v>35.753427221932895</v>
      </c>
      <c r="W10" s="645">
        <f t="shared" ref="W10" si="21">V10/V$2</f>
        <v>0.14015264229224655</v>
      </c>
      <c r="X10" s="604"/>
    </row>
    <row r="11" spans="1:24" ht="18" x14ac:dyDescent="0.35">
      <c r="A11" s="604" t="s">
        <v>533</v>
      </c>
      <c r="B11" s="702">
        <f>-('2030 '!$BZ19*'2030 '!$BS19/1.25/IF('2030 '!$AJ19&lt;0,'2030 '!$AJ19,1)+'2030 '!$BZ41*'2030 '!$BS41/1.25/IF('2030 '!$AJ41&lt;0,'2030 '!$AJ41,1)+'2030 '!$BZ27*'2030 '!$BS27/1.25/IF('2030 '!$AJ27&lt;0,'2030 '!$AJ27,1)+'2030 '!$BZ37*'2030 '!$BS37/1.25/IF('2030 '!$AJ37&lt;0,'2030 '!$AJ37,1)+'2030 '!$BZ57*'2030 '!$BS57/1.25/IF('2030 '!$AJ57&lt;0,'2030 '!$AJ57,1)+'2030 '!$BZ46*'2030 '!$BS46/1.25/IF('2030 '!$AJ46&lt;0,'2030 '!$AJ46,1))</f>
        <v>57.354456168517331</v>
      </c>
      <c r="C11" s="650">
        <f>B11/B2</f>
        <v>0.22482819701047879</v>
      </c>
      <c r="D11" s="702">
        <f>-('2006'!$BZ19*'2006'!$BS19/1.25/IF('2006'!$AJ19&lt;0,'2006'!$AJ19,1)+'2006'!$BZ41*'2006'!$BS41/1.25/IF('2006'!$AJ41&lt;0,'2006'!$AJ41,1)+'2006'!$BZ27*'2006'!$BS27/1.25/IF('2006'!$AJ27&lt;0,'2006'!$AJ27,1)+'2006'!$BZ37*'2006'!$BS37/1.25/IF('2006'!$AJ37&lt;0,'2006'!$AJ37,1)+'2006'!$BZ57*'2006'!$BS57/1.25/IF('2006'!$AJ57&lt;0,'2006'!$AJ57,1)+'2006'!$BZ46*'2006'!$BS46/1.25/IF('2006'!$AJ46&lt;0,'2006'!$AJ46,1))</f>
        <v>72.215046150475388</v>
      </c>
      <c r="E11" s="650">
        <f>D11/D2</f>
        <v>0.15721956545875029</v>
      </c>
      <c r="F11" s="702">
        <f>-('2008'!$BZ19*'2008'!$BS19/1.25/IF('2008'!$AJ19&lt;0,'2008'!$AJ19,1)+'2008'!$BZ41*'2008'!$BS41/1.25/IF('2008'!$AJ41&lt;0,'2008'!$AJ41,1)+'2008'!$BZ27*'2008'!$BS27/1.25/IF('2008'!$AJ27&lt;0,'2008'!$AJ27,1)+'2008'!$BZ37*'2008'!$BS37/1.25/IF('2008'!$AJ37&lt;0,'2008'!$AJ37,1)+'2008'!$BZ57*'2008'!$BS57/1.25/IF('2008'!$AJ57&lt;0,'2008'!$AJ57,1)+'2008'!$BZ46*'2008'!$BS46/1.25/IF('2008'!$AJ46&lt;0,'2008'!$AJ46,1))</f>
        <v>84.866694459115536</v>
      </c>
      <c r="G11" s="650">
        <f>F11/F2</f>
        <v>0.16499322998942137</v>
      </c>
      <c r="H11" s="702">
        <f>-('2009'!$BZ19*'2009'!$BS19/1.25/IF('2009'!$AJ19&lt;0,'2009'!$AJ19,1)+'2009'!$BZ41*'2009'!$BS41/1.25/IF('2009'!$AJ41&lt;0,'2009'!$AJ41,1)+'2009'!$BZ27*'2009'!$BS27/1.25/IF('2009'!$AJ27&lt;0,'2009'!$AJ27,1)+'2009'!$BZ37*'2009'!$BS37/1.25/IF('2009'!$AJ37&lt;0,'2009'!$AJ37,1)+'2009'!$BZ57*'2009'!$BS57/1.25/IF('2009'!$AJ57&lt;0,'2009'!$AJ57,1)+'2009'!$BZ46*'2009'!$BS46/1.25/IF('2009'!$AJ46&lt;0,'2009'!$AJ46,1))</f>
        <v>95.296392448281594</v>
      </c>
      <c r="I11" s="650">
        <f>H11/H2</f>
        <v>0.19250048574267681</v>
      </c>
      <c r="J11" s="702">
        <f>-('2011'!$BZ19*'2011'!$BS19/1.25/IF('2011'!$AJ19&lt;0,'2011'!$AJ19,1)+'2011'!$BZ41*'2011'!$BS41/1.25/IF('2011'!$AJ41&lt;0,'2011'!$AJ41,1)+'2011'!$BZ27*'2011'!$BS27/1.25/IF('2011'!$AJ27&lt;0,'2011'!$AJ27,1)+'2011'!$BZ37*'2011'!$BS37/1.25/IF('2011'!$AJ37&lt;0,'2011'!$AJ37,1)+'2011'!$BZ57*'2011'!$BS57/1.25/IF('2011'!$AJ57&lt;0,'2011'!$AJ57,1)+'2011'!$BZ46*'2011'!$BS46/1.25/IF('2011'!$AJ46&lt;0,'2011'!$AJ46,1))</f>
        <v>81.902950304615999</v>
      </c>
      <c r="K11" s="650">
        <f>J11/J2</f>
        <v>0.19042437645199084</v>
      </c>
      <c r="L11" s="702">
        <f>-('2013'!$BZ19*'2013'!$BS19/1.25/IF('2013'!$AJ19&lt;0,'2013'!$AJ19,1)+'2013'!$BZ41*'2013'!$BS41/1.25/IF('2013'!$AJ41&lt;0,'2013'!$AJ41,1)+'2013'!$BZ27*'2013'!$BS27/1.25/IF('2013'!$AJ27&lt;0,'2013'!$AJ27,1)+'2013'!$BZ37*'2013'!$BS37/1.25/IF('2013'!$AJ37&lt;0,'2013'!$AJ37,1)+'2013'!$BZ57*'2013'!$BS57/1.25/IF('2013'!$AJ57&lt;0,'2013'!$AJ57,1)+'2013'!$BZ46*'2013'!$BS46/1.25/IF('2013'!$AJ46&lt;0,'2013'!$AJ46,1))</f>
        <v>74.551152947763512</v>
      </c>
      <c r="M11" s="650">
        <f>L11/L2</f>
        <v>0.17477592414242654</v>
      </c>
      <c r="N11" s="702">
        <f>-('2015'!$BZ19*'2015'!$BS19/1.25/IF('2015'!$AJ19&lt;0,'2015'!$AJ19,1)+'2015'!$BZ41*'2015'!$BS41/1.25/IF('2015'!$AJ41&lt;0,'2015'!$AJ41,1)+'2015'!$BZ27*'2015'!$BS27/1.25/IF('2015'!$AJ27&lt;0,'2015'!$AJ27,1)+'2015'!$BZ37*'2015'!$BS37/1.25/IF('2015'!$AJ37&lt;0,'2015'!$AJ37,1)+'2015'!$BZ57*'2015'!$BS57/1.25/IF('2015'!$AJ57&lt;0,'2015'!$AJ57,1)+'2015'!$BZ46*'2015'!$BS46/1.25/IF('2015'!$AJ46&lt;0,'2015'!$AJ46,1))</f>
        <v>66.797706475091587</v>
      </c>
      <c r="O11" s="650">
        <f>N11/N2</f>
        <v>0.16353416118113864</v>
      </c>
      <c r="P11" s="702">
        <f>-('2017'!$BZ19*'2017'!$BS19/1.25/IF('2017'!$AJ19&lt;0,'2017'!$AJ19,1)+'2017'!$BZ41*'2017'!$BS41/1.25/IF('2017'!$AJ41&lt;0,'2017'!$AJ41,1)+'2017'!$BZ27*'2017'!$BS27/1.25/IF('2017'!$AJ27&lt;0,'2017'!$AJ27,1)+'2017'!$BZ37*'2017'!$BS37/1.25/IF('2017'!$AJ37&lt;0,'2017'!$AJ37,1)+'2017'!$BZ57*'2017'!$BS57/1.25/IF('2017'!$AJ57&lt;0,'2017'!$AJ57,1)+'2017'!$BZ46*'2017'!$BS46/1.25/IF('2017'!$AJ46&lt;0,'2017'!$AJ46,1))</f>
        <v>50.618531749211989</v>
      </c>
      <c r="Q11" s="650">
        <f>P11/P2</f>
        <v>0.13320052947000657</v>
      </c>
      <c r="R11" s="702">
        <f>-('2019'!$BZ19*'2019'!$BS19/1.25/IF('2019'!$AJ19&lt;0,'2019'!$AJ19,1)+'2019'!$BZ41*'2019'!$BS41/1.25/IF('2019'!$AJ41&lt;0,'2019'!$AJ41,1)+'2019'!$BZ27*'2019'!$BS27/1.25/IF('2019'!$AJ27&lt;0,'2019'!$AJ27,1)+'2019'!$BZ37*'2019'!$BS37/1.25/IF('2019'!$AJ37&lt;0,'2019'!$AJ37,1)+'2019'!$BZ57*'2019'!$BS57/1.25/IF('2019'!$AJ57&lt;0,'2019'!$AJ57,1)+'2019'!$BZ46*'2019'!$BS46/1.25/IF('2019'!$AJ46&lt;0,'2019'!$AJ46,1))</f>
        <v>50.618531749211989</v>
      </c>
      <c r="S11" s="650">
        <f>R11/R2</f>
        <v>0.13320052947000657</v>
      </c>
      <c r="T11" s="702">
        <f>-('2025'!$BZ19*'2025'!$BS19/1.25/IF('2025'!$AJ19&lt;0,'2025'!$AJ19,1)+'2025'!$BZ41*'2025'!$BS41/1.25/IF('2025'!$AJ41&lt;0,'2025'!$AJ41,1)+'2025'!$BZ27*'2025'!$BS27/1.25/IF('2025'!$AJ27&lt;0,'2025'!$AJ27,1)+'2025'!$BZ37*'2025'!$BS37/1.25/IF('2025'!$AJ37&lt;0,'2025'!$AJ37,1)+'2025'!$BZ57*'2025'!$BS57/1.25/IF('2025'!$AJ57&lt;0,'2025'!$AJ57,1)+'2025'!$BZ46*'2025'!$BS46/1.25/IF('2025'!$AJ46&lt;0,'2025'!$AJ46,1))</f>
        <v>50.965513003319444</v>
      </c>
      <c r="U11" s="650">
        <f>T11/T2</f>
        <v>0.13437750755321917</v>
      </c>
      <c r="V11" s="702">
        <f>-('2030 '!$BZ19*'2030 '!$BS19/1.25/IF('2030 '!$AJ19&lt;0,'2030 '!$AJ19,1)+'2030 '!$BZ41*'2030 '!$BS41/1.25/IF('2030 '!$AJ41&lt;0,'2030 '!$AJ41,1)+'2030 '!$BZ27*'2030 '!$BS27/1.25/IF('2030 '!$AJ27&lt;0,'2030 '!$AJ27,1)+'2030 '!$BZ37*'2030 '!$BS37/1.25/IF('2030 '!$AJ37&lt;0,'2030 '!$AJ37,1)+'2030 '!$BZ57*'2030 '!$BS57/1.25/IF('2030 '!$AJ57&lt;0,'2030 '!$AJ57,1)+'2030 '!$BZ46*'2030 '!$BS46/1.25/IF('2030 '!$AJ46&lt;0,'2030 '!$AJ46,1))</f>
        <v>57.354456168517331</v>
      </c>
      <c r="W11" s="650">
        <f>V11/V2</f>
        <v>0.22482819701047879</v>
      </c>
      <c r="X11" s="604"/>
    </row>
    <row r="12" spans="1:24" ht="18" x14ac:dyDescent="0.35">
      <c r="A12" s="654" t="s">
        <v>545</v>
      </c>
      <c r="B12" s="721">
        <f>C26</f>
        <v>136.84309750758919</v>
      </c>
      <c r="C12" s="645">
        <f t="shared" ref="C12" si="22">B12/B$2</f>
        <v>0.53642190932059464</v>
      </c>
      <c r="D12" s="721">
        <f>E26</f>
        <v>146.70610370499995</v>
      </c>
      <c r="E12" s="645">
        <f t="shared" ref="E12" si="23">D12/D$2</f>
        <v>0.31939424128574917</v>
      </c>
      <c r="F12" s="721">
        <f>G26</f>
        <v>143.70349713799996</v>
      </c>
      <c r="G12" s="645">
        <f t="shared" ref="G12" si="24">F12/F$2</f>
        <v>0.27938055446470239</v>
      </c>
      <c r="H12" s="721">
        <f>I26</f>
        <v>140.25137109599993</v>
      </c>
      <c r="I12" s="645">
        <f t="shared" ref="I12" si="25">H12/H$2</f>
        <v>0.28331037900210931</v>
      </c>
      <c r="J12" s="721">
        <f>K26</f>
        <v>135.72037054599997</v>
      </c>
      <c r="K12" s="645">
        <f t="shared" ref="K12" si="26">J12/J$2</f>
        <v>0.31554988967959813</v>
      </c>
      <c r="L12" s="721">
        <f>M26</f>
        <v>127.8770987828587</v>
      </c>
      <c r="M12" s="645">
        <f t="shared" ref="M12" si="27">L12/L$2</f>
        <v>0.29979198486824982</v>
      </c>
      <c r="N12" s="721">
        <f>O26</f>
        <v>131.90101328739519</v>
      </c>
      <c r="O12" s="645">
        <f t="shared" ref="O12" si="28">N12/N$2</f>
        <v>0.32292009269719196</v>
      </c>
      <c r="P12" s="721">
        <f>Q26</f>
        <v>139.00561009628302</v>
      </c>
      <c r="Q12" s="645">
        <f t="shared" ref="Q12" si="29">P12/P$2</f>
        <v>0.36578739493791096</v>
      </c>
      <c r="R12" s="721">
        <f>S26</f>
        <v>139.00561009628302</v>
      </c>
      <c r="S12" s="645">
        <f t="shared" ref="S12" si="30">R12/R$2</f>
        <v>0.36578739493791096</v>
      </c>
      <c r="T12" s="721">
        <f>U26</f>
        <v>137.8967173806864</v>
      </c>
      <c r="U12" s="645">
        <f t="shared" ref="U12" si="31">T12/T$2</f>
        <v>0.36358345260216302</v>
      </c>
      <c r="V12" s="721">
        <f>W26</f>
        <v>136.84210698362907</v>
      </c>
      <c r="W12" s="645">
        <f t="shared" ref="W12" si="32">V12/V$2</f>
        <v>0.53641802648862424</v>
      </c>
      <c r="X12" s="604"/>
    </row>
    <row r="13" spans="1:24" ht="18" x14ac:dyDescent="0.35">
      <c r="A13" s="604" t="s">
        <v>548</v>
      </c>
      <c r="B13" s="722">
        <f>Elproduktion!T20</f>
        <v>0</v>
      </c>
      <c r="C13" s="722"/>
      <c r="D13" s="722">
        <f>' Plan Energi 2019'!$A$89/1000</f>
        <v>0.11092</v>
      </c>
      <c r="E13" s="722"/>
      <c r="F13" s="722">
        <f>' Plan Energi 2019'!$A$89/1000</f>
        <v>0.11092</v>
      </c>
      <c r="G13" s="722"/>
      <c r="H13" s="722">
        <f>' Plan Energi 2019'!$A$89/1000</f>
        <v>0.11092</v>
      </c>
      <c r="I13" s="722"/>
      <c r="J13" s="722">
        <f>' Plan Energi 2019'!$A$89/1000</f>
        <v>0.11092</v>
      </c>
      <c r="K13" s="722"/>
      <c r="L13" s="722">
        <f>' Plan Energi 2019'!$A$89/1000</f>
        <v>0.11092</v>
      </c>
      <c r="M13" s="722"/>
      <c r="N13" s="722">
        <f>' Plan Energi 2019'!$A$89/1000</f>
        <v>0.11092</v>
      </c>
      <c r="O13" s="722"/>
      <c r="P13" s="722">
        <f>' Plan Energi 2019'!$A$89/1000</f>
        <v>0.11092</v>
      </c>
      <c r="Q13" s="722"/>
      <c r="R13" s="722">
        <f>' Plan Energi 2019'!A89/1000</f>
        <v>0.11092</v>
      </c>
      <c r="S13" s="722"/>
      <c r="T13" s="722">
        <f>Elproduktion!R16</f>
        <v>0.111</v>
      </c>
      <c r="U13" s="722"/>
      <c r="V13" s="722">
        <f>Elproduktion!T16</f>
        <v>0</v>
      </c>
      <c r="W13" s="722"/>
      <c r="X13" s="604"/>
    </row>
    <row r="14" spans="1:24" ht="18" x14ac:dyDescent="0.35">
      <c r="A14" s="604" t="s">
        <v>541</v>
      </c>
      <c r="B14" s="722">
        <f>B10/('2030 '!$BR9-'2030 '!$AC9)*(1+B294)</f>
        <v>2.4691733975432076E-2</v>
      </c>
      <c r="C14" s="722"/>
      <c r="D14" s="722">
        <f>D10/('2006'!$BR9-'2006'!$AC9)*(1+D294)</f>
        <v>0.17613519849273035</v>
      </c>
      <c r="E14" s="722"/>
      <c r="F14" s="722">
        <f>F10/('2008'!$BR9-'2008'!$AC9)*(1+F294)</f>
        <v>0.1883555435099212</v>
      </c>
      <c r="G14" s="722"/>
      <c r="H14" s="722">
        <f>H10/('2009'!$BR9-'2009'!$AC9)*(1+H294)</f>
        <v>0.16714137659128833</v>
      </c>
      <c r="I14" s="722"/>
      <c r="J14" s="722">
        <f>J10/('2011'!$BR9-'2011'!$AC9)*(1+J294)</f>
        <v>0.15449884354896015</v>
      </c>
      <c r="K14" s="722"/>
      <c r="L14" s="722">
        <f>L10/('2013'!$BR9-'2013'!$AC9)*(1+L294)</f>
        <v>0.14516013948322318</v>
      </c>
      <c r="M14" s="722"/>
      <c r="N14" s="722">
        <f>N10/('2015'!$BR9-'2015'!$AC9)*(1+N294)</f>
        <v>0.20606133508336119</v>
      </c>
      <c r="O14" s="722"/>
      <c r="P14" s="722">
        <f>P10/('2017'!$BR9-'2017'!$AC9)*(1+P294)</f>
        <v>0.10546703641584934</v>
      </c>
      <c r="Q14" s="722"/>
      <c r="R14" s="722">
        <f>R10/('2019'!$BR9-'2019'!$AC9)*(1+R294)</f>
        <v>0.10546703641584934</v>
      </c>
      <c r="S14" s="722"/>
      <c r="T14" s="722">
        <f>T10/('2025'!$BR9-'2025'!$AC9)*(1+T294)</f>
        <v>0.10554902814460866</v>
      </c>
      <c r="U14" s="722"/>
      <c r="V14" s="722">
        <f>V10/('2030 '!$BR9-'2030 '!$AC9)*(1+V294)</f>
        <v>2.4646076183317739E-2</v>
      </c>
      <c r="W14" s="722"/>
      <c r="X14" s="604"/>
    </row>
    <row r="15" spans="1:24" ht="18" x14ac:dyDescent="0.35">
      <c r="A15" s="604" t="s">
        <v>542</v>
      </c>
      <c r="B15" s="722">
        <f>(B11+('2030 '!$AC24+'2030 '!$AC25+'2030 '!$AC32+'2030 '!$AC33+'2030 '!$AC59+'2030 '!$AC60)*-B14)/('2030 '!$BS9-'2030 '!$AD9)*(1+B295)</f>
        <v>3.4143290023052338E-2</v>
      </c>
      <c r="C15" s="722"/>
      <c r="D15" s="722">
        <f>(D11+('2006'!$AC24+'2006'!$AC25+'2006'!$AC32+'2006'!$AC33+'2006'!$AC59+'2006'!$AC60)*-D14)/('2006'!$BS9-'2006'!$AD9)*(1+D295)</f>
        <v>4.3100180187912007E-2</v>
      </c>
      <c r="E15" s="722"/>
      <c r="F15" s="722">
        <f>(F11+('2008'!$AC24+'2008'!$AC25+'2008'!$AC32+'2008'!$AC33+'2008'!$AC59+'2008'!$AC60)*-F14)/('2008'!$BS9-'2008'!$AD9)*(1+F295)</f>
        <v>4.4446396285973501E-2</v>
      </c>
      <c r="G15" s="722"/>
      <c r="H15" s="722">
        <f>(H11+('2009'!$AC24+'2009'!$AC25+'2009'!$AC32+'2009'!$AC33+'2009'!$AC59+'2009'!$AC60)*-H14)/('2009'!$BS9-'2009'!$AD9)*(1+H295)</f>
        <v>4.5947843228435321E-2</v>
      </c>
      <c r="I15" s="722"/>
      <c r="J15" s="722">
        <f>(J11+('2011'!$AC24+'2011'!$AC25+'2011'!$AC32+'2011'!$AC33+'2011'!$AC59+'2011'!$AC60)*-J14)/('2011'!$BS9-'2011'!$AD9)*(1+J295)</f>
        <v>4.4180633130610006E-2</v>
      </c>
      <c r="K15" s="722"/>
      <c r="L15" s="722">
        <f>(L11+('2013'!$AC24+'2013'!$AC25+'2013'!$AC32+'2013'!$AC33+'2013'!$AC59+'2013'!$AC60)*-L14)/('2013'!$BS9-'2013'!$AD9)*(1+L295)</f>
        <v>4.3361694952050535E-2</v>
      </c>
      <c r="M15" s="722"/>
      <c r="N15" s="722">
        <f>(N11+('2015'!$AC24+'2015'!$AC25+'2015'!$AC32+'2015'!$AC33+'2015'!$AC59+'2015'!$AC60)*-N14)/('2015'!$BS9-'2015'!$AD9)*(1+N295)</f>
        <v>4.0182904682266977E-2</v>
      </c>
      <c r="O15" s="722"/>
      <c r="P15" s="722">
        <f>(P11+('2017'!$AC24+'2017'!$AC25+'2017'!$AC32+'2017'!$AC33+'2017'!$AC59+'2017'!$AC60)*-P14)/('2017'!$BS9-'2017'!$AD9)*(1+P295)</f>
        <v>3.0441491599794746E-2</v>
      </c>
      <c r="Q15" s="722"/>
      <c r="R15" s="722">
        <f>(R11+('2019'!$AC24+'2019'!$AC25+'2019'!$AC32+'2019'!$AC33+'2019'!$AC59+'2019'!$AC60)*-R14)/('2019'!$BS9-'2019'!$AD9)*(1+R295)</f>
        <v>3.0441491599794746E-2</v>
      </c>
      <c r="S15" s="722"/>
      <c r="T15" s="722">
        <f>(T11+('2025'!$AC24+'2025'!$AC25+'2025'!$AC32+'2025'!$AC33+'2025'!$AC59+'2025'!$AC60)*-T14)/('2025'!$BS9-'2025'!$AD9)*(1+T295)</f>
        <v>3.0596900642545242E-2</v>
      </c>
      <c r="U15" s="722"/>
      <c r="V15" s="722">
        <f>(V11+('2030 '!$AC24+'2030 '!$AC25+'2030 '!$AC32+'2030 '!$AC33+'2030 '!$AC59+'2030 '!$AC60)*-V14)/('2030 '!$BS9-'2030 '!$AD9)*(1+V295)</f>
        <v>3.4944321390307072E-2</v>
      </c>
      <c r="W15" s="722"/>
      <c r="X15" s="604"/>
    </row>
    <row r="16" spans="1:24" x14ac:dyDescent="0.25">
      <c r="A16" s="604" t="s">
        <v>342</v>
      </c>
      <c r="B16" s="723">
        <f>'2030 '!$BW89</f>
        <v>4282.9299414131601</v>
      </c>
      <c r="C16" s="723"/>
      <c r="D16" s="723">
        <f>'2006'!$BW89</f>
        <v>3771.1904741040917</v>
      </c>
      <c r="E16" s="723"/>
      <c r="F16" s="723">
        <f>'2008'!$BW89</f>
        <v>4120.4724730776707</v>
      </c>
      <c r="G16" s="723"/>
      <c r="H16" s="723">
        <f>'2009'!$BW89</f>
        <v>4251.3258128519474</v>
      </c>
      <c r="I16" s="723"/>
      <c r="J16" s="723">
        <f>'2011'!$BW89</f>
        <v>3867.5630100706912</v>
      </c>
      <c r="K16" s="723"/>
      <c r="L16" s="723">
        <f>'2013'!$BW89</f>
        <v>3893.9731132302995</v>
      </c>
      <c r="M16" s="723"/>
      <c r="N16" s="723">
        <f>'2015'!$BW89</f>
        <v>3852.4621529892374</v>
      </c>
      <c r="O16" s="723"/>
      <c r="P16" s="723">
        <f>'2017'!$BW89</f>
        <v>4213.5930154799998</v>
      </c>
      <c r="Q16" s="723"/>
      <c r="R16" s="723">
        <f>'2019'!$BW89</f>
        <v>4213.5930154799998</v>
      </c>
      <c r="S16" s="723"/>
      <c r="T16" s="723">
        <f>'2025'!$BW89</f>
        <v>4213.3894299804006</v>
      </c>
      <c r="U16" s="723"/>
      <c r="V16" s="723">
        <f>'2030 '!$BW89</f>
        <v>4282.9299414131601</v>
      </c>
      <c r="W16" s="723"/>
      <c r="X16" s="604"/>
    </row>
    <row r="17" spans="1:24" ht="15" customHeight="1" x14ac:dyDescent="0.35">
      <c r="A17" s="629" t="s">
        <v>492</v>
      </c>
      <c r="B17" s="666" t="s">
        <v>0</v>
      </c>
      <c r="C17" s="666" t="s">
        <v>537</v>
      </c>
      <c r="D17" s="666" t="s">
        <v>0</v>
      </c>
      <c r="E17" s="666" t="s">
        <v>537</v>
      </c>
      <c r="F17" s="666" t="s">
        <v>0</v>
      </c>
      <c r="G17" s="666" t="s">
        <v>537</v>
      </c>
      <c r="H17" s="666" t="s">
        <v>0</v>
      </c>
      <c r="I17" s="666" t="s">
        <v>537</v>
      </c>
      <c r="J17" s="666" t="s">
        <v>0</v>
      </c>
      <c r="K17" s="666" t="s">
        <v>537</v>
      </c>
      <c r="L17" s="666" t="s">
        <v>0</v>
      </c>
      <c r="M17" s="666" t="s">
        <v>537</v>
      </c>
      <c r="N17" s="666" t="s">
        <v>0</v>
      </c>
      <c r="O17" s="666" t="s">
        <v>537</v>
      </c>
      <c r="P17" s="666" t="s">
        <v>0</v>
      </c>
      <c r="Q17" s="666" t="s">
        <v>537</v>
      </c>
      <c r="R17" s="666" t="s">
        <v>0</v>
      </c>
      <c r="S17" s="666" t="s">
        <v>537</v>
      </c>
      <c r="T17" s="666" t="s">
        <v>0</v>
      </c>
      <c r="U17" s="666" t="s">
        <v>537</v>
      </c>
      <c r="V17" s="666" t="s">
        <v>0</v>
      </c>
      <c r="W17" s="666" t="s">
        <v>537</v>
      </c>
      <c r="X17" s="604"/>
    </row>
    <row r="18" spans="1:24" ht="15" customHeight="1" x14ac:dyDescent="0.25">
      <c r="A18" s="604" t="s">
        <v>343</v>
      </c>
      <c r="B18" s="649">
        <f>B28</f>
        <v>1467.7090941275198</v>
      </c>
      <c r="C18" s="702">
        <f>'2030 '!$BZ79-B15*'2030 '!$AD79-'2030 '!$AC79*B14</f>
        <v>44.414017459289646</v>
      </c>
      <c r="D18" s="649">
        <f>D28</f>
        <v>1565.6055264288218</v>
      </c>
      <c r="E18" s="702">
        <f>'2006'!$BZ79-D15*'2006'!$AD79-'2006'!$AC79*D14</f>
        <v>110.46696679104566</v>
      </c>
      <c r="F18" s="649">
        <f>F28</f>
        <v>1702.6517498701235</v>
      </c>
      <c r="G18" s="702">
        <f>'2008'!$BZ79-F15*'2008'!$AD79-'2008'!$AC79*F14</f>
        <v>120.90450232331587</v>
      </c>
      <c r="H18" s="649">
        <f>H28</f>
        <v>1803.759230694571</v>
      </c>
      <c r="I18" s="702">
        <f>'2009'!$BZ79-H15*'2009'!$AD79-'2009'!$AC79*H14</f>
        <v>121.3961462428727</v>
      </c>
      <c r="J18" s="649">
        <f>J28</f>
        <v>1646.9968525209945</v>
      </c>
      <c r="K18" s="702">
        <f>'2011'!$BZ79-J15*'2011'!$AD79-'2011'!$AC79*J14</f>
        <v>105.89402206270111</v>
      </c>
      <c r="L18" s="649">
        <f>L28</f>
        <v>1547.9828102173758</v>
      </c>
      <c r="M18" s="702">
        <f>'2013'!$BZ79-L15*'2013'!$AD79-'2013'!$AC79*L14</f>
        <v>95.151861704217495</v>
      </c>
      <c r="N18" s="649">
        <f>N28</f>
        <v>1481.4817791693636</v>
      </c>
      <c r="O18" s="702">
        <f>'2015'!$BZ79-N15*'2015'!$AD79-'2015'!$AC79*N14</f>
        <v>102.0758266859836</v>
      </c>
      <c r="P18" s="649">
        <f>P28</f>
        <v>1467.4761506774801</v>
      </c>
      <c r="Q18" s="702">
        <f>'2017'!$BZ79-P15*'2017'!$AD79-'2017'!$AC79*P14</f>
        <v>62.93880201694958</v>
      </c>
      <c r="R18" s="649">
        <f>R28</f>
        <v>1467.4761506774801</v>
      </c>
      <c r="S18" s="702">
        <f>'2019'!$BZ79-R15*'2019'!$AD79-'2019'!$AC79*R14</f>
        <v>62.93880201694958</v>
      </c>
      <c r="T18" s="649">
        <f>T28</f>
        <v>1467.4761506774801</v>
      </c>
      <c r="U18" s="702">
        <f>'2025'!$BZ79-T15*'2025'!$AD79-'2025'!$AC79*T14</f>
        <v>63.030537669092197</v>
      </c>
      <c r="V18" s="649">
        <f>V28</f>
        <v>1383.8842979544149</v>
      </c>
      <c r="W18" s="702">
        <f>'2030 '!$BZ79-V15*'2030 '!$AD79-'2030 '!$AC79*V14</f>
        <v>45.183371751789061</v>
      </c>
      <c r="X18" s="604"/>
    </row>
    <row r="19" spans="1:24" ht="15" customHeight="1" x14ac:dyDescent="0.25">
      <c r="A19" s="604" t="s">
        <v>260</v>
      </c>
      <c r="B19" s="649">
        <f>B57</f>
        <v>261.86823551248</v>
      </c>
      <c r="C19" s="702">
        <f>'2030 '!$BZ81-('2030 '!$AD81*B15+'2030 '!$AC81*B14)</f>
        <v>9.1389080515541767</v>
      </c>
      <c r="D19" s="649">
        <f>D57</f>
        <v>294.0674597987628</v>
      </c>
      <c r="E19" s="702">
        <f>'2006'!$BZ81-('2006'!$AD81*D15+'2006'!$AC81*D14)</f>
        <v>39.217488529381676</v>
      </c>
      <c r="F19" s="649">
        <f>F57</f>
        <v>311.18147229225508</v>
      </c>
      <c r="G19" s="702">
        <f>'2008'!$BZ81-('2008'!$AD81*F15+'2008'!$AC81*F14)</f>
        <v>43.093306456155609</v>
      </c>
      <c r="H19" s="649">
        <f>H57</f>
        <v>329.49346860578396</v>
      </c>
      <c r="I19" s="702">
        <f>'2009'!$BZ81-('2009'!$AD81*H15+'2009'!$AC81*H14)</f>
        <v>41.187446688122819</v>
      </c>
      <c r="J19" s="649">
        <f>J57</f>
        <v>314.55561026722796</v>
      </c>
      <c r="K19" s="702">
        <f>'2011'!$BZ81-('2011'!$AD81*J15+'2011'!$AC81*J14)</f>
        <v>38.123368660770829</v>
      </c>
      <c r="L19" s="649">
        <f>L57</f>
        <v>342.99322561941801</v>
      </c>
      <c r="M19" s="702">
        <f>'2013'!$BZ81-('2013'!$AD81*L15+'2013'!$AC81*L14)</f>
        <v>42.161520483429264</v>
      </c>
      <c r="N19" s="649">
        <f>N57</f>
        <v>346.58648652967202</v>
      </c>
      <c r="O19" s="702">
        <f>'2015'!$BZ81-('2015'!$AD81*N15+'2015'!$AC81*N14)</f>
        <v>58.655622341204491</v>
      </c>
      <c r="P19" s="649">
        <f>P57</f>
        <v>261.83281093252003</v>
      </c>
      <c r="Q19" s="702">
        <f>'2017'!$BZ81-('2017'!$AD81*P15+'2017'!$AC81*P14)</f>
        <v>19.343102605931826</v>
      </c>
      <c r="R19" s="649">
        <f>R57</f>
        <v>261.83281093252003</v>
      </c>
      <c r="S19" s="702">
        <f>'2019'!$BZ81-('2019'!$AD81*R15+'2019'!$AC81*R14)</f>
        <v>19.343102605931826</v>
      </c>
      <c r="T19" s="649">
        <f>T57</f>
        <v>261.83281093252003</v>
      </c>
      <c r="U19" s="702">
        <f>'2025'!$BZ81-('2025'!$AD81*T15+'2025'!$AC81*T14)</f>
        <v>19.378907311885115</v>
      </c>
      <c r="V19" s="649">
        <f>V57</f>
        <v>272.36129104214177</v>
      </c>
      <c r="W19" s="702">
        <f>'2030 '!$BZ81-('2030 '!$AD81*V15+'2030 '!$AC81*V14)</f>
        <v>9.2627215681505604</v>
      </c>
      <c r="X19" s="604"/>
    </row>
    <row r="20" spans="1:24" ht="15" customHeight="1" x14ac:dyDescent="0.25">
      <c r="A20" s="604" t="s">
        <v>262</v>
      </c>
      <c r="B20" s="649">
        <f>B85</f>
        <v>272.81692245616006</v>
      </c>
      <c r="C20" s="702">
        <f>'2030 '!$BZ82-B15*'2030 '!$AD82-'2030 '!$AC82*B14</f>
        <v>9.7572099802925472</v>
      </c>
      <c r="D20" s="649">
        <f>D85</f>
        <v>284.47571743922822</v>
      </c>
      <c r="E20" s="702">
        <f>'2006'!$BZ82-D15*'2006'!$AD82-'2006'!$AC82*D14</f>
        <v>25.423813879298073</v>
      </c>
      <c r="F20" s="649">
        <f>F85</f>
        <v>333.74663464677315</v>
      </c>
      <c r="G20" s="702">
        <f>'2008'!$BZ82-F15*'2008'!$AD82-'2008'!$AC82*F14</f>
        <v>30.368171387692822</v>
      </c>
      <c r="H20" s="649">
        <f>H85</f>
        <v>366.70798061546401</v>
      </c>
      <c r="I20" s="702">
        <f>'2009'!$BZ82-H15*'2009'!$AD82-'2009'!$AC82*H14</f>
        <v>30.890314550708773</v>
      </c>
      <c r="J20" s="649">
        <f>J85</f>
        <v>343.04077340854303</v>
      </c>
      <c r="K20" s="702">
        <f>'2011'!$BZ82-J15*'2011'!$AD82-'2011'!$AC82*J14</f>
        <v>28.205795508773576</v>
      </c>
      <c r="L20" s="649">
        <f>L85</f>
        <v>319.65211444826008</v>
      </c>
      <c r="M20" s="702">
        <f>'2013'!$BZ82-L15*'2013'!$AD82-'2013'!$AC82*L14</f>
        <v>25.593748932914501</v>
      </c>
      <c r="N20" s="649">
        <f>N85</f>
        <v>287.04009934068404</v>
      </c>
      <c r="O20" s="702">
        <f>'2015'!$BZ82-N15*'2015'!$AD82-'2015'!$AC82*N14</f>
        <v>25.91971186726775</v>
      </c>
      <c r="P20" s="649">
        <f>P85</f>
        <v>272.76933185884002</v>
      </c>
      <c r="Q20" s="702">
        <f>'2017'!$BZ82-P15*'2017'!$AD82-'2017'!$AC82*P14</f>
        <v>13.261812870445086</v>
      </c>
      <c r="R20" s="649">
        <f>R85</f>
        <v>272.76933185884002</v>
      </c>
      <c r="S20" s="702">
        <f>'2019'!$BZ82-R15*'2019'!$AD82-'2019'!$AC82*R14</f>
        <v>13.261812870445086</v>
      </c>
      <c r="T20" s="649">
        <f>T85</f>
        <v>272.76933185884002</v>
      </c>
      <c r="U20" s="702">
        <f>'2025'!$BZ82-T15*'2025'!$AD82-'2025'!$AC82*T14</f>
        <v>13.300022012951988</v>
      </c>
      <c r="V20" s="649">
        <f>V85</f>
        <v>304.01307715584653</v>
      </c>
      <c r="W20" s="702">
        <f>'2030 '!$BZ82-V15*'2030 '!$AD82-'2030 '!$AC82*V14</f>
        <v>9.9344960908114146</v>
      </c>
      <c r="X20" s="604"/>
    </row>
    <row r="21" spans="1:24" ht="15" customHeight="1" x14ac:dyDescent="0.25">
      <c r="A21" s="604" t="s">
        <v>264</v>
      </c>
      <c r="B21" s="649">
        <f>B113</f>
        <v>179.28259076640001</v>
      </c>
      <c r="C21" s="702">
        <f>'2030 '!$BZ83-B14*'2030 '!$AC83-'2030 '!$AD83*B15</f>
        <v>6.3292256651951382</v>
      </c>
      <c r="D21" s="649">
        <f>D113</f>
        <v>213.70885434582021</v>
      </c>
      <c r="E21" s="702">
        <f>'2006'!$BZ83-D14*'2006'!$AC83-'2006'!$AD83*D15</f>
        <v>23.61459413733176</v>
      </c>
      <c r="F21" s="649">
        <f>F113</f>
        <v>227.10767315348289</v>
      </c>
      <c r="G21" s="702">
        <f>'2008'!$BZ83-F14*'2008'!$AC83-'2008'!$AD83*F15</f>
        <v>25.372769771341225</v>
      </c>
      <c r="H21" s="649">
        <f>H113</f>
        <v>237.52180196904004</v>
      </c>
      <c r="I21" s="702">
        <f>'2009'!$BZ83-H14*'2009'!$AC83-'2009'!$AD83*H15</f>
        <v>24.000440701581194</v>
      </c>
      <c r="J21" s="649">
        <f>J113</f>
        <v>220.15263681012738</v>
      </c>
      <c r="K21" s="702">
        <f>'2011'!$BZ83-J14*'2011'!$AC83-'2011'!$AD83*J15</f>
        <v>21.113781351268344</v>
      </c>
      <c r="L21" s="649">
        <f>L113</f>
        <v>205.48744721113204</v>
      </c>
      <c r="M21" s="702">
        <f>'2013'!$BZ83-L14*'2013'!$AC83-'2013'!$AD83*L15</f>
        <v>19.185811026396252</v>
      </c>
      <c r="N21" s="649">
        <f>N113</f>
        <v>183.33028133211602</v>
      </c>
      <c r="O21" s="702">
        <f>'2015'!$BZ83-N14*'2015'!$AC83-'2015'!$AD83*N15</f>
        <v>20.66655205463762</v>
      </c>
      <c r="P21" s="649">
        <f>P113</f>
        <v>179.25754308360001</v>
      </c>
      <c r="Q21" s="702">
        <f>'2017'!$BZ83-P14*'2017'!$AC83-'2017'!$AD83*P15</f>
        <v>10.968775845941064</v>
      </c>
      <c r="R21" s="649">
        <f>R113</f>
        <v>179.25754308360001</v>
      </c>
      <c r="S21" s="702">
        <f>'2019'!$BZ83-R14*'2019'!$AC83-'2019'!$AD83*R15</f>
        <v>10.968775845941064</v>
      </c>
      <c r="T21" s="649">
        <f>T113</f>
        <v>179.25754308360001</v>
      </c>
      <c r="U21" s="702">
        <f>'2025'!$BZ83-T14*'2025'!$AC83-'2025'!$AD83*T15</f>
        <v>10.991986934433456</v>
      </c>
      <c r="V21" s="649">
        <f>V113</f>
        <v>205.63887930912927</v>
      </c>
      <c r="W21" s="702">
        <f>'2030 '!$BZ83-V14*'2030 '!$AC83-'2030 '!$AD83*V15</f>
        <v>6.4203265778635297</v>
      </c>
      <c r="X21" s="604"/>
    </row>
    <row r="22" spans="1:24" ht="15" customHeight="1" x14ac:dyDescent="0.25">
      <c r="A22" s="604" t="s">
        <v>266</v>
      </c>
      <c r="B22" s="649">
        <f>B141</f>
        <v>4.5</v>
      </c>
      <c r="C22" s="702">
        <f>'2030 '!$BZ83-B15*'2030 '!$AD85-'2030 '!$AC85*B14</f>
        <v>0.13250925480929623</v>
      </c>
      <c r="D22" s="649">
        <f>D141</f>
        <v>12.122708360400001</v>
      </c>
      <c r="E22" s="702">
        <f>'2006'!$BZ83-D15*'2006'!$AD85-'2006'!$AC85*D14</f>
        <v>2.423649992427396</v>
      </c>
      <c r="F22" s="649">
        <f>F141</f>
        <v>11.6748467244</v>
      </c>
      <c r="G22" s="702">
        <f>'2008'!$BZ83-F15*'2008'!$AD85-'2008'!$AC85*F14</f>
        <v>2.4960523270935133</v>
      </c>
      <c r="H22" s="649">
        <f>H141</f>
        <v>10.0481584572</v>
      </c>
      <c r="I22" s="702">
        <f>'2009'!$BZ83-H15*'2009'!$AD85-'2009'!$AC85*H14</f>
        <v>1.9063144571439321</v>
      </c>
      <c r="J22" s="649">
        <f>J141</f>
        <v>9.0648733193819986</v>
      </c>
      <c r="K22" s="702">
        <f>'2011'!$BZ83-J15*'2011'!$AD85-'2011'!$AC85*J14</f>
        <v>1.5896849543272902</v>
      </c>
      <c r="L22" s="649">
        <f>L141</f>
        <v>8.7245768240568005</v>
      </c>
      <c r="M22" s="702">
        <f>'2013'!$BZ83-L15*'2013'!$AD85-'2013'!$AC85*L14</f>
        <v>1.4375264344065621</v>
      </c>
      <c r="N22" s="649">
        <f>N141</f>
        <v>7.3854557589200009</v>
      </c>
      <c r="O22" s="702">
        <f>'2015'!$BZ83-N15*'2015'!$AD85-'2015'!$AC85*N14</f>
        <v>1.7159967543429262</v>
      </c>
      <c r="P22" s="649">
        <f>P141</f>
        <v>4.5</v>
      </c>
      <c r="Q22" s="702">
        <f>'2017'!$BZ83-P15*'2017'!$AD85-'2017'!$AC85*P14</f>
        <v>0.54346543470755315</v>
      </c>
      <c r="R22" s="649">
        <f>R141</f>
        <v>4.5</v>
      </c>
      <c r="S22" s="702">
        <f>'2019'!$BZ83-R15*'2019'!$AD85-'2019'!$AC85*R14</f>
        <v>0.54346543470755315</v>
      </c>
      <c r="T22" s="649">
        <f>T141</f>
        <v>4.5</v>
      </c>
      <c r="U22" s="702">
        <f>'2025'!$BZ83-T15*'2025'!$AD85-'2025'!$AC85*T14</f>
        <v>0.54388793326280704</v>
      </c>
      <c r="V22" s="649">
        <f>V141</f>
        <v>4.6865359340236132</v>
      </c>
      <c r="W22" s="702">
        <f>'2030 '!$BZ83-V15*'2030 '!$AD85-'2030 '!$AC85*V14</f>
        <v>0.13226423029966364</v>
      </c>
      <c r="X22" s="604"/>
    </row>
    <row r="23" spans="1:24" ht="15" customHeight="1" x14ac:dyDescent="0.25">
      <c r="A23" s="604" t="s">
        <v>268</v>
      </c>
      <c r="B23" s="649">
        <f>B169</f>
        <v>6110.9508700646411</v>
      </c>
      <c r="C23" s="702">
        <f>'2030 '!$BZ86-B15*'2030 '!$AD86-'2030 '!$AC86*B14-B14*'2030 '!$AC53/(1+B294)-'2030 '!$AD54*B15/(1+B295)</f>
        <v>40.395722587113944</v>
      </c>
      <c r="D23" s="649">
        <f>D169</f>
        <v>806.11064831984856</v>
      </c>
      <c r="E23" s="702">
        <f>'2006'!$BZ86-D15*'2006'!$AD86-'2006'!$AC86*D14-D14*'2006'!$AC53/(1+D294)-'2006'!$AD54*D15/(1+D295)</f>
        <v>99.444033081466259</v>
      </c>
      <c r="F23" s="649">
        <f>F169</f>
        <v>942.67281904517063</v>
      </c>
      <c r="G23" s="702">
        <f>'2008'!$BZ86-F15*'2008'!$AD86-'2008'!$AC86*F14-F14*'2008'!$AC53/(1+F294)-'2008'!$AD54*F15/(1+F295)</f>
        <v>134.62255432712982</v>
      </c>
      <c r="H23" s="649">
        <f>H169</f>
        <v>926.40207085440011</v>
      </c>
      <c r="I23" s="702">
        <f>'2009'!$BZ86-H15*'2009'!$AD86-'2009'!$AC86*H14-H14*'2009'!$AC53/(1+H294)-'2009'!$AD54*H15/(1+H295)</f>
        <v>121.39078695485018</v>
      </c>
      <c r="J23" s="649">
        <f>J169</f>
        <v>755.58668930352155</v>
      </c>
      <c r="K23" s="702">
        <f>'2011'!$BZ86-J15*'2011'!$AD86-'2011'!$AC86*J14-J14*'2011'!$AC53/(1+J294)-'2011'!$AD54*J15/(1+J295)</f>
        <v>85.194030180627067</v>
      </c>
      <c r="L23" s="649">
        <f>L169</f>
        <v>914.91389986059198</v>
      </c>
      <c r="M23" s="702">
        <f>'2013'!$BZ86-L15*'2013'!$AD86-'2013'!$AC86*L14-L14*'2013'!$AC53/(1+L294)-'2013'!$AD54*L15/(1+L295)</f>
        <v>101.55513897701162</v>
      </c>
      <c r="N23" s="649">
        <f>N169</f>
        <v>989.12513114801607</v>
      </c>
      <c r="O23" s="702">
        <f>'2015'!$BZ86-N15*'2015'!$AD86-'2015'!$AC86*N14-N14*'2015'!$AC53/(1+N294)-'2015'!$AD54*N15/(1+N295)</f>
        <v>149.70970710699629</v>
      </c>
      <c r="P23" s="649">
        <f>P169</f>
        <v>1447.0674196953601</v>
      </c>
      <c r="Q23" s="702">
        <f>'2017'!$BZ86-P15*'2017'!$AD86-'2017'!$AC86*P14-P14*'2017'!$AC53/(1+P294)-'2017'!$AD54*P15/(1+P295)</f>
        <v>126.62554139001317</v>
      </c>
      <c r="R23" s="649">
        <f>R169</f>
        <v>1447.0674196953601</v>
      </c>
      <c r="S23" s="702">
        <f>'2019'!$BZ86-R15*'2019'!$AD86-'2019'!$AC86*R14-R14*'2019'!$AC53/(1+R294)-'2019'!$AD54*R15/(1+R295)</f>
        <v>126.62554139001317</v>
      </c>
      <c r="T23" s="649">
        <f>T169</f>
        <v>1447.0674196953601</v>
      </c>
      <c r="U23" s="702">
        <f>'2025'!$BZ86-T15*'2025'!$AD86-'2025'!$AC86*T14-T14*'2025'!$AC53/(1+T294)-'2025'!$AD54*T15/(1+T295)</f>
        <v>126.69509718266502</v>
      </c>
      <c r="V23" s="649">
        <f>V169</f>
        <v>1538.3882998198151</v>
      </c>
      <c r="W23" s="702">
        <f>'2030 '!$BZ86-V15*'2030 '!$AD86-'2030 '!$AC86*V14-V14*'2030 '!$AC53/(1+V294)-'2030 '!$AD54*V15/(1+V295)</f>
        <v>40.403201152105581</v>
      </c>
      <c r="X23" s="604"/>
    </row>
    <row r="24" spans="1:24" ht="15" customHeight="1" x14ac:dyDescent="0.25">
      <c r="A24" s="604" t="s">
        <v>270</v>
      </c>
      <c r="B24" s="649">
        <f>B203</f>
        <v>24.289126592799999</v>
      </c>
      <c r="C24" s="702">
        <f>'2030 '!$BZ87-B15*'2030 '!$AD87-'2030 '!$AC87*B14</f>
        <v>0.68862605557029188</v>
      </c>
      <c r="D24" s="649">
        <f>D203</f>
        <v>32.406826252410355</v>
      </c>
      <c r="E24" s="702">
        <f>'2006'!$BZ87-D15*'2006'!$AD87-'2006'!$AC87*D14</f>
        <v>1.5890687901723053</v>
      </c>
      <c r="F24" s="649">
        <f>F203</f>
        <v>37.375274124665609</v>
      </c>
      <c r="G24" s="702">
        <f>'2008'!$BZ87-F15*'2008'!$AD87-'2008'!$AC87*F14</f>
        <v>1.8793267524456101</v>
      </c>
      <c r="H24" s="649">
        <f>H203</f>
        <v>38.531084898288</v>
      </c>
      <c r="I24" s="702">
        <f>'2009'!$BZ87-H15*'2009'!$AD87-'2009'!$AC87*H14</f>
        <v>1.9565497514264005</v>
      </c>
      <c r="J24" s="649">
        <f>J203</f>
        <v>27.469615553919599</v>
      </c>
      <c r="K24" s="702">
        <f>'2011'!$BZ87-J15*'2011'!$AD87-'2011'!$AC87*J14</f>
        <v>1.3741791610632959</v>
      </c>
      <c r="L24" s="649">
        <f>L203</f>
        <v>25.745772455844008</v>
      </c>
      <c r="M24" s="702">
        <f>'2013'!$BZ87-L15*'2013'!$AD87-'2013'!$AC87*L14</f>
        <v>1.2938799034434416</v>
      </c>
      <c r="N24" s="649">
        <f>N203</f>
        <v>24.715278550459999</v>
      </c>
      <c r="O24" s="702">
        <f>'2015'!$BZ87-N15*'2015'!$AD87-'2015'!$AC87*N14</f>
        <v>1.2220627664821457</v>
      </c>
      <c r="P24" s="649">
        <f>P203</f>
        <v>24.283759232200001</v>
      </c>
      <c r="Q24" s="702">
        <f>'2017'!$BZ87-P15*'2017'!$AD87-'2017'!$AC87*P14</f>
        <v>0.77668880258717155</v>
      </c>
      <c r="R24" s="649">
        <f>R203</f>
        <v>24.283759232200001</v>
      </c>
      <c r="S24" s="702">
        <f>'2019'!$BZ87-R15*'2019'!$AD87-'2019'!$AC87*R14</f>
        <v>0.77668880258717155</v>
      </c>
      <c r="T24" s="649">
        <f>T203</f>
        <v>24.283759232200001</v>
      </c>
      <c r="U24" s="702">
        <f>'2025'!$BZ87-T15*'2025'!$AD87-'2025'!$AC87*T14</f>
        <v>0.78043913908967666</v>
      </c>
      <c r="V24" s="649">
        <f>V203</f>
        <v>20.227831689871451</v>
      </c>
      <c r="W24" s="702">
        <f>'2030 '!$BZ87-V15*'2030 '!$AD87-'2030 '!$AC87*V14</f>
        <v>0.70449047402440979</v>
      </c>
      <c r="X24" s="604"/>
    </row>
    <row r="25" spans="1:24" ht="15" customHeight="1" x14ac:dyDescent="0.25">
      <c r="A25" s="604" t="s">
        <v>272</v>
      </c>
      <c r="B25" s="649">
        <f>B231</f>
        <v>19.220299999999998</v>
      </c>
      <c r="C25" s="702">
        <f>'2030 '!$BZ88-B15*'2030 '!$AD88-'2030 '!$AC88*B14</f>
        <v>2.8683068230314941</v>
      </c>
      <c r="D25" s="649">
        <f>D231</f>
        <v>25.6070331588</v>
      </c>
      <c r="E25" s="702">
        <f>'2006'!$BZ88-D15*'2006'!$AD88-'2006'!$AC88*D14</f>
        <v>5.6076720874000427</v>
      </c>
      <c r="F25" s="649">
        <f>F231</f>
        <v>27.855903220799998</v>
      </c>
      <c r="G25" s="702">
        <f>'2008'!$BZ88-F15*'2008'!$AD88-'2008'!$AC88*F14</f>
        <v>6.3460687091216332</v>
      </c>
      <c r="H25" s="649">
        <f>H231</f>
        <v>28.445016757199998</v>
      </c>
      <c r="I25" s="702">
        <f>'2009'!$BZ88-H15*'2009'!$AD88-'2009'!$AC88*H14</f>
        <v>6.0511470849768862</v>
      </c>
      <c r="J25" s="649">
        <f>J231</f>
        <v>38.595408886975207</v>
      </c>
      <c r="K25" s="702">
        <f>'2011'!$BZ88-J15*'2011'!$AD88-'2011'!$AC88*J14</f>
        <v>7.6164670647223591</v>
      </c>
      <c r="L25" s="649">
        <f>L231</f>
        <v>38.641465156437789</v>
      </c>
      <c r="M25" s="702">
        <f>'2013'!$BZ88-L15*'2013'!$AD88-'2013'!$AC88*L14</f>
        <v>7.4434431940033789</v>
      </c>
      <c r="N25" s="649">
        <f>N231</f>
        <v>27.013000000000002</v>
      </c>
      <c r="O25" s="702">
        <f>'2015'!$BZ88-N15*'2015'!$AD88-'2015'!$AC88*N14</f>
        <v>6.4855549082096662</v>
      </c>
      <c r="P25" s="649">
        <f>P231</f>
        <v>19.220299999999998</v>
      </c>
      <c r="Q25" s="702">
        <f>'2017'!$BZ88-P15*'2017'!$AD88-'2017'!$AC88*P14</f>
        <v>3.5780389120788927</v>
      </c>
      <c r="R25" s="649">
        <f>R231</f>
        <v>19.220299999999998</v>
      </c>
      <c r="S25" s="702">
        <f>'2019'!$BZ88-R15*'2019'!$AD88-'2019'!$AC88*R14</f>
        <v>3.5780389120788927</v>
      </c>
      <c r="T25" s="649">
        <f>T231</f>
        <v>19.220299999999998</v>
      </c>
      <c r="U25" s="702">
        <f>'2025'!$BZ88-T15*'2025'!$AD88-'2025'!$AC88*T14</f>
        <v>3.57881220661876</v>
      </c>
      <c r="V25" s="649">
        <f>V231</f>
        <v>19.390452032339883</v>
      </c>
      <c r="W25" s="702">
        <f>'2030 '!$BZ88-V15*'2030 '!$AD88-'2030 '!$AC88*V14</f>
        <v>2.8678802243129935</v>
      </c>
      <c r="X25" s="604"/>
    </row>
    <row r="26" spans="1:24" ht="15" customHeight="1" x14ac:dyDescent="0.25">
      <c r="A26" s="604" t="s">
        <v>239</v>
      </c>
      <c r="B26" s="649">
        <f>B282</f>
        <v>537.1857</v>
      </c>
      <c r="C26" s="702">
        <f>'2030 '!$BZ70+B14*'2030 '!$AC70*-1</f>
        <v>136.84309750758919</v>
      </c>
      <c r="D26" s="649">
        <f>D282</f>
        <v>537.08569999999986</v>
      </c>
      <c r="E26" s="702">
        <f>'2006'!$BZ70+D14*'2006'!$AC70*-1</f>
        <v>146.70610370499995</v>
      </c>
      <c r="F26" s="649">
        <f>F282</f>
        <v>526.20609999999999</v>
      </c>
      <c r="G26" s="702">
        <f>'2008'!$BZ70+F14*'2008'!$AC70*-1</f>
        <v>143.70349713799996</v>
      </c>
      <c r="H26" s="649">
        <f>H282</f>
        <v>510.41699999999997</v>
      </c>
      <c r="I26" s="702">
        <f>'2009'!$BZ70+H14*'2009'!$AC70*-1</f>
        <v>140.25137109599993</v>
      </c>
      <c r="J26" s="649">
        <f>J282</f>
        <v>512.10055</v>
      </c>
      <c r="K26" s="702">
        <f>'2011'!$BZ70+J14*'2011'!$AC70*-1</f>
        <v>135.72037054599997</v>
      </c>
      <c r="L26" s="649">
        <f>L282</f>
        <v>489.83180143718272</v>
      </c>
      <c r="M26" s="702">
        <f>'2013'!$BZ70+L14*'2013'!$AC70*-1</f>
        <v>127.8770987828587</v>
      </c>
      <c r="N26" s="649">
        <f>N282</f>
        <v>505.78464116000566</v>
      </c>
      <c r="O26" s="702">
        <f>'2015'!$BZ70+N14*'2015'!$AC70*-1</f>
        <v>131.90101328739519</v>
      </c>
      <c r="P26" s="649">
        <f>P282</f>
        <v>537.1857</v>
      </c>
      <c r="Q26" s="702">
        <f>'2017'!$BZ70+P14*'2017'!$AC70*-1</f>
        <v>139.00561009628302</v>
      </c>
      <c r="R26" s="649">
        <f>R282</f>
        <v>537.1857</v>
      </c>
      <c r="S26" s="702">
        <f>'2019'!$BZ70+R14*'2019'!$AC70*-1</f>
        <v>139.00561009628302</v>
      </c>
      <c r="T26" s="649">
        <f>T282</f>
        <v>537.1857</v>
      </c>
      <c r="U26" s="702">
        <f>'2025'!$BZ70+T14*'2025'!$AC70*-1</f>
        <v>137.8967173806864</v>
      </c>
      <c r="V26" s="649">
        <f>V282</f>
        <v>540.67086889092707</v>
      </c>
      <c r="W26" s="702">
        <f>'2030 '!$BZ70+V14*'2030 '!$AC70*-1</f>
        <v>136.84210698362907</v>
      </c>
      <c r="X26" s="604"/>
    </row>
    <row r="27" spans="1:24" ht="15" customHeight="1" x14ac:dyDescent="0.25">
      <c r="A27" s="604"/>
      <c r="B27" s="649"/>
      <c r="C27" s="702"/>
      <c r="D27" s="649"/>
      <c r="E27" s="702"/>
      <c r="F27" s="649"/>
      <c r="G27" s="702"/>
      <c r="H27" s="649"/>
      <c r="I27" s="702"/>
      <c r="J27" s="649"/>
      <c r="K27" s="702"/>
      <c r="L27" s="649"/>
      <c r="M27" s="702"/>
      <c r="N27" s="649"/>
      <c r="O27" s="702"/>
      <c r="P27" s="649"/>
      <c r="Q27" s="702"/>
      <c r="R27" s="649"/>
      <c r="S27" s="702"/>
      <c r="T27" s="649" t="s">
        <v>0</v>
      </c>
      <c r="U27" s="702" t="s">
        <v>491</v>
      </c>
      <c r="V27" s="649" t="s">
        <v>0</v>
      </c>
      <c r="W27" s="702" t="s">
        <v>491</v>
      </c>
      <c r="X27" s="604"/>
    </row>
    <row r="28" spans="1:24" x14ac:dyDescent="0.25">
      <c r="A28" s="629" t="s">
        <v>343</v>
      </c>
      <c r="B28" s="649">
        <f>B29+B34+B37</f>
        <v>1467.7090941275198</v>
      </c>
      <c r="C28" s="650"/>
      <c r="D28" s="649">
        <f>D29+D34+D37</f>
        <v>1565.6055264288218</v>
      </c>
      <c r="E28" s="650"/>
      <c r="F28" s="649">
        <f>F29+F34+F37</f>
        <v>1702.6517498701235</v>
      </c>
      <c r="G28" s="650">
        <f>(F28-D28)/IF(D28&gt;0,D28,1)/(F$1-D$1)</f>
        <v>4.3767801380309029E-2</v>
      </c>
      <c r="H28" s="649">
        <f>H29+H34+H37</f>
        <v>1803.759230694571</v>
      </c>
      <c r="I28" s="650">
        <f>(H28-F28)/IF(F28&gt;0,F28,1)/(H$1-F$1)</f>
        <v>5.9382360974380051E-2</v>
      </c>
      <c r="J28" s="649">
        <f>J29+J34+J37</f>
        <v>1646.9968525209945</v>
      </c>
      <c r="K28" s="650">
        <f>(J28-H28)/IF(H28&gt;0,H28,1)/(J$1-H$1)</f>
        <v>-4.3454352306547102E-2</v>
      </c>
      <c r="L28" s="649">
        <f>L29+L34+L37</f>
        <v>1547.9828102173758</v>
      </c>
      <c r="M28" s="650">
        <f>(L28-J28)/IF(J28&gt;0,J28,1)/(L$1-J$1)</f>
        <v>-3.0058965246977161E-2</v>
      </c>
      <c r="N28" s="649">
        <f>N29+N34+N37</f>
        <v>1481.4817791693636</v>
      </c>
      <c r="O28" s="650">
        <f>(N28-L28)/IF(L28&gt;0,L28,1)/(N$1-L$1)</f>
        <v>-2.1479899714995483E-2</v>
      </c>
      <c r="P28" s="649">
        <f>P29+P34+P37</f>
        <v>1467.4761506774801</v>
      </c>
      <c r="Q28" s="650">
        <f>(P28-N28)/IF(N28&gt;0,N28,1)/(P$1-N$1)</f>
        <v>-4.7268986661908752E-3</v>
      </c>
      <c r="R28" s="649">
        <f>R29+R34+R37</f>
        <v>1467.4761506774801</v>
      </c>
      <c r="S28" s="650">
        <f>(R28-P28)/IF(P28&gt;0,P28,1)/IF(R$1-P$1&gt;0,R$1-P$1,1)</f>
        <v>0</v>
      </c>
      <c r="T28" s="649">
        <f>T29+T34+T37</f>
        <v>1467.4761506774801</v>
      </c>
      <c r="U28" s="650">
        <f>(T28-Nøgletal!P28)/IF(Nøgletal!P28&gt;0,Nøgletal!P28,1)/(T$1-Nøgletal!P$1)</f>
        <v>0</v>
      </c>
      <c r="V28" s="649">
        <f>V29+V34+V37</f>
        <v>1383.8842979544149</v>
      </c>
      <c r="W28" s="650">
        <f>(V28-Nøgletal!P28)/IF(T28&gt;0,T28,1)/(V$1-Nøgletal!P$1)</f>
        <v>-4.3817696895382553E-3</v>
      </c>
      <c r="X28" s="604"/>
    </row>
    <row r="29" spans="1:24" x14ac:dyDescent="0.25">
      <c r="A29" s="631" t="s">
        <v>485</v>
      </c>
      <c r="B29" s="649">
        <f>SUM(B30:B33)</f>
        <v>199.7</v>
      </c>
      <c r="C29" s="650"/>
      <c r="D29" s="649">
        <f>SUM(D30:D33)</f>
        <v>240.43266247256781</v>
      </c>
      <c r="E29" s="650"/>
      <c r="F29" s="649">
        <f>SUM(F30:F33)</f>
        <v>241.57412392782356</v>
      </c>
      <c r="G29" s="650">
        <f t="shared" ref="G29:G37" si="33">(F29-D29)/IF(D29&gt;0,D29,1)/(F$1-D$1)</f>
        <v>2.3737653684760616E-3</v>
      </c>
      <c r="H29" s="649">
        <f>SUM(H30:H33)</f>
        <v>247.64875744730517</v>
      </c>
      <c r="I29" s="650">
        <f t="shared" ref="I29:I37" si="34">(H29-F29)/IF(F29&gt;0,F29,1)/(H$1-F$1)</f>
        <v>2.5146043875529319E-2</v>
      </c>
      <c r="J29" s="649">
        <f>SUM(J30:J33)</f>
        <v>242.96155919081235</v>
      </c>
      <c r="K29" s="650">
        <f t="shared" ref="K29:K37" si="35">(J29-H29)/IF(H29&gt;0,H29,1)/(J$1-H$1)</f>
        <v>-9.463399503407896E-3</v>
      </c>
      <c r="L29" s="649">
        <f>SUM(L30:L33)</f>
        <v>227.90718774376228</v>
      </c>
      <c r="M29" s="650">
        <f t="shared" ref="M29:M37" si="36">(L29-J29)/IF(J29&gt;0,J29,1)/(L$1-J$1)</f>
        <v>-3.098097389807037E-2</v>
      </c>
      <c r="N29" s="649">
        <f>SUM(N30:N33)</f>
        <v>209.4</v>
      </c>
      <c r="O29" s="650">
        <f t="shared" ref="O29:O37" si="37">(N29-L29)/IF(L29&gt;0,L29,1)/(N$1-L$1)</f>
        <v>-4.0602466133209544E-2</v>
      </c>
      <c r="P29" s="649">
        <f>SUM(P30:P33)</f>
        <v>199.7</v>
      </c>
      <c r="Q29" s="650">
        <f t="shared" ref="Q29:Q37" si="38">(P29-N29)/IF(N29&gt;0,N29,1)/(P$1-N$1)</f>
        <v>-2.3161413562559734E-2</v>
      </c>
      <c r="R29" s="649">
        <f>SUM(R30:R33)</f>
        <v>199.7</v>
      </c>
      <c r="S29" s="650">
        <f t="shared" ref="S29:S37" si="39">(R29-P29)/IF(P29&gt;0,P29,1)/IF(R$1-P$1&gt;0,R$1-P$1,1)</f>
        <v>0</v>
      </c>
      <c r="T29" s="649">
        <f>'Bolig, Service, Handel, Byg'!L8</f>
        <v>199.7</v>
      </c>
      <c r="U29" s="724">
        <f>'Bolig, Service, Handel, Byg'!M8</f>
        <v>0</v>
      </c>
      <c r="V29" s="649">
        <f>'Bolig, Service, Handel, Byg'!N8</f>
        <v>203.7872060548562</v>
      </c>
      <c r="W29" s="725">
        <f>'Bolig, Service, Handel, Byg'!O8</f>
        <v>5.0000000000000001E-3</v>
      </c>
      <c r="X29" s="604"/>
    </row>
    <row r="30" spans="1:24" ht="15" customHeight="1" x14ac:dyDescent="0.25">
      <c r="A30" s="604" t="s">
        <v>307</v>
      </c>
      <c r="B30" s="649">
        <f>' Plan Energi 2030-S'!AI8</f>
        <v>16</v>
      </c>
      <c r="C30" s="650"/>
      <c r="D30" s="649">
        <f>' Plan Energi 2006'!AI8</f>
        <v>19.26512081375683</v>
      </c>
      <c r="E30" s="650"/>
      <c r="F30" s="649">
        <f>' Plan Energi 2008'!AI8</f>
        <v>19.356582566971234</v>
      </c>
      <c r="G30" s="650">
        <f t="shared" si="33"/>
        <v>2.3737653684759805E-3</v>
      </c>
      <c r="H30" s="649">
        <f>' Plan Energi 2009'!AI8</f>
        <v>19.843324041480599</v>
      </c>
      <c r="I30" s="650">
        <f t="shared" si="34"/>
        <v>2.5146043875529364E-2</v>
      </c>
      <c r="J30" s="649">
        <f>' Plan Energi 2011'!AI8</f>
        <v>19.467753435720375</v>
      </c>
      <c r="K30" s="650">
        <f t="shared" si="35"/>
        <v>-9.4633995034080227E-3</v>
      </c>
      <c r="L30" s="649">
        <f>' Plan Energi 2013'!AI8</f>
        <v>18.261493513628135</v>
      </c>
      <c r="M30" s="650">
        <f t="shared" si="36"/>
        <v>-3.0980973898070231E-2</v>
      </c>
      <c r="N30" s="649">
        <f>' Plan Energi 2015'!AI8</f>
        <v>16.8</v>
      </c>
      <c r="O30" s="650">
        <f t="shared" si="37"/>
        <v>-4.0015717020556271E-2</v>
      </c>
      <c r="P30" s="649">
        <f>' Plan Energi 2017'!AI8</f>
        <v>16</v>
      </c>
      <c r="Q30" s="650">
        <f t="shared" si="38"/>
        <v>-2.3809523809523829E-2</v>
      </c>
      <c r="R30" s="649">
        <f>' Plan Energi 2019'!AI8</f>
        <v>16</v>
      </c>
      <c r="S30" s="650">
        <f t="shared" si="39"/>
        <v>0</v>
      </c>
      <c r="T30" s="649">
        <f>'Bolig, Service, Handel, Byg'!L9</f>
        <v>16</v>
      </c>
      <c r="U30" s="724">
        <f>'Bolig, Service, Handel, Byg'!M9</f>
        <v>0</v>
      </c>
      <c r="V30" s="649">
        <f>'Bolig, Service, Handel, Byg'!N9</f>
        <v>17.133328055887436</v>
      </c>
      <c r="W30" s="725">
        <f>'Bolig, Service, Handel, Byg'!O9</f>
        <v>5.2782545097671552E-3</v>
      </c>
      <c r="X30" s="604"/>
    </row>
    <row r="31" spans="1:24" ht="15" customHeight="1" x14ac:dyDescent="0.25">
      <c r="A31" s="604" t="s">
        <v>305</v>
      </c>
      <c r="B31" s="649">
        <f>' Plan Energi 2030-S'!AI11</f>
        <v>18.2</v>
      </c>
      <c r="C31" s="650"/>
      <c r="D31" s="649">
        <f>' Plan Energi 2006'!AI11</f>
        <v>21.892182742905486</v>
      </c>
      <c r="E31" s="650"/>
      <c r="F31" s="649">
        <f>' Plan Energi 2008'!AI11</f>
        <v>21.996116553376403</v>
      </c>
      <c r="G31" s="650">
        <f t="shared" si="33"/>
        <v>2.3737653684760621E-3</v>
      </c>
      <c r="H31" s="649">
        <f>' Plan Energi 2009'!AI11</f>
        <v>22.549231865318863</v>
      </c>
      <c r="I31" s="650">
        <f t="shared" si="34"/>
        <v>2.5146043875529305E-2</v>
      </c>
      <c r="J31" s="649">
        <f>' Plan Energi 2011'!AI11</f>
        <v>22.122447086045884</v>
      </c>
      <c r="K31" s="650">
        <f t="shared" si="35"/>
        <v>-9.4633995034079429E-3</v>
      </c>
      <c r="L31" s="649">
        <f>' Plan Energi 2013'!AI11</f>
        <v>20.751697174577423</v>
      </c>
      <c r="M31" s="650">
        <f t="shared" si="36"/>
        <v>-3.0980973898070384E-2</v>
      </c>
      <c r="N31" s="649">
        <f>' Plan Energi 2015'!AI11</f>
        <v>19.100000000000001</v>
      </c>
      <c r="O31" s="650">
        <f t="shared" si="37"/>
        <v>-3.9796676885804058E-2</v>
      </c>
      <c r="P31" s="649">
        <f>' Plan Energi 2017'!AI11</f>
        <v>18.2</v>
      </c>
      <c r="Q31" s="650">
        <f t="shared" si="38"/>
        <v>-2.3560209424083822E-2</v>
      </c>
      <c r="R31" s="649">
        <f>' Plan Energi 2019'!AI11</f>
        <v>18.2</v>
      </c>
      <c r="S31" s="650">
        <f t="shared" si="39"/>
        <v>0</v>
      </c>
      <c r="T31" s="649">
        <f>'Bolig, Service, Handel, Byg'!L10</f>
        <v>18.2</v>
      </c>
      <c r="U31" s="724">
        <f>'Bolig, Service, Handel, Byg'!M10</f>
        <v>0</v>
      </c>
      <c r="V31" s="649">
        <f>'Bolig, Service, Handel, Byg'!N10</f>
        <v>15.616118964058028</v>
      </c>
      <c r="W31" s="725">
        <f>'Bolig, Service, Handel, Byg'!O10</f>
        <v>-1.1709210879118914E-2</v>
      </c>
      <c r="X31" s="604"/>
    </row>
    <row r="32" spans="1:24" ht="15" customHeight="1" x14ac:dyDescent="0.25">
      <c r="A32" s="604" t="s">
        <v>309</v>
      </c>
      <c r="B32" s="649">
        <f>' Plan Energi 2030-S'!AI12</f>
        <v>64.400000000000006</v>
      </c>
      <c r="C32" s="650"/>
      <c r="D32" s="649">
        <f>' Plan Energi 2006'!AI12</f>
        <v>77.540698876484612</v>
      </c>
      <c r="E32" s="650"/>
      <c r="F32" s="649">
        <f>' Plan Energi 2008'!AI12</f>
        <v>77.908825727765461</v>
      </c>
      <c r="G32" s="650">
        <f t="shared" si="33"/>
        <v>2.3737653684759905E-3</v>
      </c>
      <c r="H32" s="649">
        <f>' Plan Energi 2009'!AI12</f>
        <v>79.867924477806824</v>
      </c>
      <c r="I32" s="650">
        <f t="shared" si="34"/>
        <v>2.5146043875529392E-2</v>
      </c>
      <c r="J32" s="649">
        <f>' Plan Energi 2011'!AI12</f>
        <v>78.356280324123816</v>
      </c>
      <c r="K32" s="650">
        <f t="shared" si="35"/>
        <v>-9.4633995034079915E-3</v>
      </c>
      <c r="L32" s="649">
        <f>' Plan Energi 2013'!AI12</f>
        <v>73.501172573180696</v>
      </c>
      <c r="M32" s="650">
        <f t="shared" si="36"/>
        <v>-3.0980973898070304E-2</v>
      </c>
      <c r="N32" s="649">
        <f>' Plan Energi 2015'!AI12</f>
        <v>67.5</v>
      </c>
      <c r="O32" s="650">
        <f t="shared" si="37"/>
        <v>-4.0823651943822321E-2</v>
      </c>
      <c r="P32" s="649">
        <f>' Plan Energi 2017'!AI12</f>
        <v>64.400000000000006</v>
      </c>
      <c r="Q32" s="650">
        <f t="shared" si="38"/>
        <v>-2.2962962962962921E-2</v>
      </c>
      <c r="R32" s="649">
        <f>' Plan Energi 2019'!AI12</f>
        <v>64.400000000000006</v>
      </c>
      <c r="S32" s="650">
        <f t="shared" si="39"/>
        <v>0</v>
      </c>
      <c r="T32" s="649">
        <f>'Bolig, Service, Handel, Byg'!L11</f>
        <v>64.400000000000006</v>
      </c>
      <c r="U32" s="724">
        <f>'Bolig, Service, Handel, Byg'!M11</f>
        <v>0</v>
      </c>
      <c r="V32" s="649">
        <f>'Bolig, Service, Handel, Byg'!N11</f>
        <v>66.554874210563469</v>
      </c>
      <c r="W32" s="725">
        <f>'Bolig, Service, Handel, Byg'!O11</f>
        <v>2.5349884618970364E-3</v>
      </c>
      <c r="X32" s="604"/>
    </row>
    <row r="33" spans="1:24" ht="15" customHeight="1" x14ac:dyDescent="0.25">
      <c r="A33" s="604" t="s">
        <v>290</v>
      </c>
      <c r="B33" s="649">
        <f>' Plan Energi 2030-S'!AI13</f>
        <v>101.1</v>
      </c>
      <c r="C33" s="650"/>
      <c r="D33" s="649">
        <f>' Plan Energi 2006'!AI13</f>
        <v>121.7346600394209</v>
      </c>
      <c r="E33" s="650"/>
      <c r="F33" s="649">
        <f>' Plan Energi 2008'!AI13</f>
        <v>122.31259907971048</v>
      </c>
      <c r="G33" s="650">
        <f t="shared" si="33"/>
        <v>2.3737653684761046E-3</v>
      </c>
      <c r="H33" s="649">
        <f>' Plan Energi 2009'!AI13</f>
        <v>125.3882770626989</v>
      </c>
      <c r="I33" s="650">
        <f t="shared" si="34"/>
        <v>2.5146043875529295E-2</v>
      </c>
      <c r="J33" s="649">
        <f>' Plan Energi 2011'!AI13</f>
        <v>123.01507834492226</v>
      </c>
      <c r="K33" s="650">
        <f t="shared" si="35"/>
        <v>-9.4633995034079463E-3</v>
      </c>
      <c r="L33" s="649">
        <f>' Plan Energi 2013'!AI13</f>
        <v>115.39282448237604</v>
      </c>
      <c r="M33" s="650">
        <f t="shared" si="36"/>
        <v>-3.098097389807029E-2</v>
      </c>
      <c r="N33" s="649">
        <f>' Plan Energi 2015'!AI13</f>
        <v>106</v>
      </c>
      <c r="O33" s="650">
        <f t="shared" si="37"/>
        <v>-4.0699343847895017E-2</v>
      </c>
      <c r="P33" s="649">
        <f>' Plan Energi 2017'!AI13</f>
        <v>101.1</v>
      </c>
      <c r="Q33" s="650">
        <f t="shared" si="38"/>
        <v>-2.3113207547169837E-2</v>
      </c>
      <c r="R33" s="649">
        <f>' Plan Energi 2019'!AI13</f>
        <v>101.1</v>
      </c>
      <c r="S33" s="650">
        <f t="shared" si="39"/>
        <v>0</v>
      </c>
      <c r="T33" s="649">
        <f>'Bolig, Service, Handel, Byg'!L12</f>
        <v>101.1</v>
      </c>
      <c r="U33" s="724">
        <f>'Bolig, Service, Handel, Byg'!M12</f>
        <v>0</v>
      </c>
      <c r="V33" s="649">
        <f>'Bolig, Service, Handel, Byg'!N12</f>
        <v>104.48288482434728</v>
      </c>
      <c r="W33" s="725">
        <f>'Bolig, Service, Handel, Byg'!O12</f>
        <v>2.5349884618970364E-3</v>
      </c>
      <c r="X33" s="604"/>
    </row>
    <row r="34" spans="1:24" x14ac:dyDescent="0.25">
      <c r="A34" s="631" t="s">
        <v>345</v>
      </c>
      <c r="B34" s="649">
        <f>' Plan Energi 2030-S'!AI16</f>
        <v>1.6910000000000001</v>
      </c>
      <c r="C34" s="650"/>
      <c r="D34" s="649">
        <f>' Plan Energi 2006'!AI16</f>
        <v>2.4244000000000003</v>
      </c>
      <c r="E34" s="650"/>
      <c r="F34" s="649">
        <f>' Plan Energi 2008'!AI16</f>
        <v>1.9456000000000004</v>
      </c>
      <c r="G34" s="650">
        <f t="shared" si="33"/>
        <v>-9.8746081504702155E-2</v>
      </c>
      <c r="H34" s="649">
        <f>' Plan Energi 2009'!AI16</f>
        <v>1.6872</v>
      </c>
      <c r="I34" s="650">
        <f t="shared" si="34"/>
        <v>-0.13281250000000017</v>
      </c>
      <c r="J34" s="649">
        <f>' Plan Energi 2011'!AI16</f>
        <v>1.6188</v>
      </c>
      <c r="K34" s="650">
        <f t="shared" si="35"/>
        <v>-2.0270270270270275E-2</v>
      </c>
      <c r="L34" s="649">
        <f>' Plan Energi 2013'!AI16</f>
        <v>1.549271933456942</v>
      </c>
      <c r="M34" s="650">
        <f t="shared" si="36"/>
        <v>-2.1475187343420431E-2</v>
      </c>
      <c r="N34" s="649">
        <f>' Plan Energi 2015'!AI16</f>
        <v>1.5884</v>
      </c>
      <c r="O34" s="650">
        <f t="shared" si="37"/>
        <v>1.26278885255961E-2</v>
      </c>
      <c r="P34" s="649">
        <f>' Plan Energi 2017'!AI16</f>
        <v>1.6910000000000001</v>
      </c>
      <c r="Q34" s="650">
        <f t="shared" si="38"/>
        <v>3.2296650717703358E-2</v>
      </c>
      <c r="R34" s="649">
        <f>' Plan Energi 2019'!AI16</f>
        <v>1.6910000000000001</v>
      </c>
      <c r="S34" s="650">
        <f t="shared" si="39"/>
        <v>0</v>
      </c>
      <c r="T34" s="649">
        <f>'Bolig, Service, Handel, Byg'!L13</f>
        <v>1.6910000000000001</v>
      </c>
      <c r="U34" s="724">
        <f>'Bolig, Service, Handel, Byg'!M13</f>
        <v>0</v>
      </c>
      <c r="V34" s="649">
        <f>'Bolig, Service, Handel, Byg'!N13</f>
        <v>1.6910000000000001</v>
      </c>
      <c r="W34" s="725">
        <f>'Bolig, Service, Handel, Byg'!O13</f>
        <v>0</v>
      </c>
      <c r="X34" s="604"/>
    </row>
    <row r="35" spans="1:24" x14ac:dyDescent="0.25">
      <c r="A35" s="631" t="s">
        <v>526</v>
      </c>
      <c r="B35" s="649">
        <f>' Plan Energi 2030-S'!AI$14+SUM(' Plan Energi 2030-S'!AI$17:AI$22)+' Plan Energi 2030-S'!AI$10+' Plan Energi 2030-S'!AI$9</f>
        <v>229.53</v>
      </c>
      <c r="C35" s="650"/>
      <c r="D35" s="649">
        <f>' Plan Energi 2006'!AI$14+SUM(' Plan Energi 2006'!AI$17:AI$22)+' Plan Energi 2006'!AI$10+' Plan Energi 2006'!AI$9</f>
        <v>326.65274120656386</v>
      </c>
      <c r="E35" s="650"/>
      <c r="F35" s="649">
        <f>' Plan Energi 2008'!AI$14+SUM(' Plan Energi 2008'!AI$17:AI$22)+' Plan Energi 2008'!AI$10+' Plan Energi 2008'!AI$9</f>
        <v>309.68191872996687</v>
      </c>
      <c r="G35" s="650">
        <f t="shared" si="33"/>
        <v>-2.5976856055013531E-2</v>
      </c>
      <c r="H35" s="649">
        <f>' Plan Energi 2009'!AI$14+SUM(' Plan Energi 2009'!AI$17:AI$22)+' Plan Energi 2009'!AI$10+' Plan Energi 2009'!AI$9</f>
        <v>301.95587753464173</v>
      </c>
      <c r="I35" s="650">
        <f t="shared" si="34"/>
        <v>-2.494831221341666E-2</v>
      </c>
      <c r="J35" s="649">
        <f>' Plan Energi 2011'!AI$14+SUM(' Plan Energi 2011'!AI$17:AI$22)+' Plan Energi 2011'!AI$10+' Plan Energi 2011'!AI$9</f>
        <v>279.40516750750226</v>
      </c>
      <c r="K35" s="650">
        <f t="shared" si="35"/>
        <v>-3.7341068190587474E-2</v>
      </c>
      <c r="L35" s="649">
        <f>' Plan Energi 2013'!AI$14+SUM(' Plan Energi 2013'!AI$17:AI$22)+' Plan Energi 2013'!AI$10+' Plan Energi 2013'!AI$9</f>
        <v>269.91254423452409</v>
      </c>
      <c r="M35" s="650">
        <f t="shared" si="36"/>
        <v>-1.6987200626350764E-2</v>
      </c>
      <c r="N35" s="649">
        <f>' Plan Energi 2015'!AI$14+SUM(' Plan Energi 2015'!AI$17:AI$22)+' Plan Energi 2015'!AI$10+' Plan Energi 2015'!AI$9</f>
        <v>256.61075340294752</v>
      </c>
      <c r="O35" s="650">
        <f t="shared" si="37"/>
        <v>-2.4640927433181442E-2</v>
      </c>
      <c r="P35" s="649">
        <f>' Plan Energi 2017'!AI$14+SUM(' Plan Energi 2017'!AI$17:AI$22)+' Plan Energi 2017'!AI$10+' Plan Energi 2017'!AI$9</f>
        <v>229.53</v>
      </c>
      <c r="Q35" s="650">
        <f t="shared" si="38"/>
        <v>-5.2766209217318914E-2</v>
      </c>
      <c r="R35" s="649">
        <f>' Plan Energi 2019'!AI$14+SUM(' Plan Energi 2019'!AI$17:AI$22)+' Plan Energi 2019'!AI$10+' Plan Energi 2019'!AI$9</f>
        <v>229.53</v>
      </c>
      <c r="S35" s="650">
        <f t="shared" si="39"/>
        <v>0</v>
      </c>
      <c r="T35" s="649">
        <f>'Bolig, Service, Handel, Byg'!L14</f>
        <v>229.53</v>
      </c>
      <c r="U35" s="724">
        <f>'Bolig, Service, Handel, Byg'!M14</f>
        <v>0</v>
      </c>
      <c r="V35" s="649">
        <f>'Bolig, Service, Handel, Byg'!N14</f>
        <v>202.46424373639678</v>
      </c>
      <c r="W35" s="725">
        <f>'Bolig, Service, Handel, Byg'!O14</f>
        <v>-9.605145604051013E-3</v>
      </c>
      <c r="X35" s="604"/>
    </row>
    <row r="36" spans="1:24" x14ac:dyDescent="0.25">
      <c r="A36" s="631" t="s">
        <v>28</v>
      </c>
      <c r="B36" s="649">
        <f>' Plan Energi 2030-S'!AI$39+' Plan Energi 2030-S'!AI$43+' Plan Energi 2030-S'!$AI$52+' Plan Energi 2030-S'!AI$55+' Plan Energi 2030-S'!AI$62+' Plan Energi 2030-S'!AI$71</f>
        <v>1036.7880941275198</v>
      </c>
      <c r="C36" s="650"/>
      <c r="D36" s="649">
        <f>' Plan Energi 2006'!AI$39+' Plan Energi 2006'!AI$43+' Plan Energi 2006'!$AI$52+' Plan Energi 2006'!AI$55+' Plan Energi 2006'!AI$62+' Plan Energi 2006'!AI$71</f>
        <v>996.09572274969014</v>
      </c>
      <c r="E36" s="650"/>
      <c r="F36" s="649">
        <f>' Plan Energi 2008'!AI$39+' Plan Energi 2008'!AI$43+' Plan Energi 2008'!$AI$52+' Plan Energi 2008'!AI$55+' Plan Energi 2008'!AI$62+' Plan Energi 2008'!AI$71</f>
        <v>1149.450107212333</v>
      </c>
      <c r="G36" s="650">
        <f t="shared" si="33"/>
        <v>7.6977734649493854E-2</v>
      </c>
      <c r="H36" s="649">
        <f>' Plan Energi 2009'!AI$39+' Plan Energi 2009'!AI$43+' Plan Energi 2009'!$AI$52+' Plan Energi 2009'!AI$55+' Plan Energi 2009'!AI$62+' Plan Energi 2009'!AI$71</f>
        <v>1252.467395712624</v>
      </c>
      <c r="I36" s="650">
        <f t="shared" si="34"/>
        <v>8.9623105738908804E-2</v>
      </c>
      <c r="J36" s="649">
        <f>' Plan Energi 2011'!AI$39+' Plan Energi 2011'!AI$43+' Plan Energi 2011'!$AI$52+' Plan Energi 2011'!AI$55+' Plan Energi 2011'!AI$62+' Plan Energi 2011'!AI$71</f>
        <v>1123.01132582268</v>
      </c>
      <c r="K36" s="650">
        <f t="shared" si="35"/>
        <v>-5.1680415128206446E-2</v>
      </c>
      <c r="L36" s="649">
        <f>' Plan Energi 2013'!AI$39+' Plan Energi 2013'!AI$43+' Plan Energi 2013'!$AI$52+' Plan Energi 2013'!AI$55+' Plan Energi 2013'!AI$62+' Plan Energi 2013'!AI$71</f>
        <v>1048.6138063056324</v>
      </c>
      <c r="M36" s="650">
        <f t="shared" si="36"/>
        <v>-3.3124118077146956E-2</v>
      </c>
      <c r="N36" s="649">
        <f>' Plan Energi 2015'!AI$39+' Plan Energi 2015'!AI$43+' Plan Energi 2015'!$AI$52+' Plan Energi 2015'!AI$55+' Plan Energi 2015'!AI$62+' Plan Energi 2015'!AI$71</f>
        <v>1013.882625766416</v>
      </c>
      <c r="O36" s="650">
        <f t="shared" si="37"/>
        <v>-1.6560520341410354E-2</v>
      </c>
      <c r="P36" s="649">
        <f>' Plan Energi 2017'!AI$39+' Plan Energi 2017'!AI$43+' Plan Energi 2017'!$AI$52+' Plan Energi 2017'!AI$55+' Plan Energi 2017'!AI$62+' Plan Energi 2017'!AI$71</f>
        <v>1036.55515067748</v>
      </c>
      <c r="Q36" s="650">
        <f t="shared" si="38"/>
        <v>1.118104025795162E-2</v>
      </c>
      <c r="R36" s="649">
        <f>' Plan Energi 2019'!AI$39+' Plan Energi 2019'!AI$43+' Plan Energi 2019'!$AI$52+' Plan Energi 2019'!AI$55+' Plan Energi 2019'!AI$62+' Plan Energi 2019'!AI$71</f>
        <v>1036.55515067748</v>
      </c>
      <c r="S36" s="650">
        <f t="shared" si="39"/>
        <v>0</v>
      </c>
      <c r="T36" s="649">
        <f>Fjernvarmeprognose!R6</f>
        <v>1036.55515067748</v>
      </c>
      <c r="U36" s="724">
        <f>Fjernvarmeprognose!S6</f>
        <v>0</v>
      </c>
      <c r="V36" s="649">
        <f>Fjernvarmeprognose!T6</f>
        <v>975.94184816316192</v>
      </c>
      <c r="W36" s="725">
        <f>Fjernvarmeprognose!U6</f>
        <v>-4.6242853915723359E-3</v>
      </c>
      <c r="X36" s="604"/>
    </row>
    <row r="37" spans="1:24" x14ac:dyDescent="0.25">
      <c r="A37" s="631" t="s">
        <v>486</v>
      </c>
      <c r="B37" s="649">
        <f>B35+B36</f>
        <v>1266.3180941275198</v>
      </c>
      <c r="C37" s="650"/>
      <c r="D37" s="649">
        <f>D35+D36</f>
        <v>1322.748463956254</v>
      </c>
      <c r="E37" s="650"/>
      <c r="F37" s="649">
        <f>F35+F36</f>
        <v>1459.1320259422998</v>
      </c>
      <c r="G37" s="650">
        <f t="shared" si="33"/>
        <v>5.1553097849810207E-2</v>
      </c>
      <c r="H37" s="649">
        <f>H35+H36</f>
        <v>1554.4232732472658</v>
      </c>
      <c r="I37" s="650">
        <f t="shared" si="34"/>
        <v>6.5306802681839138E-2</v>
      </c>
      <c r="J37" s="649">
        <f>J35+J36</f>
        <v>1402.4164933301822</v>
      </c>
      <c r="K37" s="650">
        <f t="shared" si="35"/>
        <v>-4.8894912516181652E-2</v>
      </c>
      <c r="L37" s="649">
        <f>L35+L36</f>
        <v>1318.5263505401565</v>
      </c>
      <c r="M37" s="650">
        <f t="shared" si="36"/>
        <v>-2.9909140112442612E-2</v>
      </c>
      <c r="N37" s="649">
        <f>N35+N36</f>
        <v>1270.4933791693636</v>
      </c>
      <c r="O37" s="650">
        <f t="shared" si="37"/>
        <v>-1.8214642184100217E-2</v>
      </c>
      <c r="P37" s="649">
        <f>P35+P36</f>
        <v>1266.08515067748</v>
      </c>
      <c r="Q37" s="650">
        <f t="shared" si="38"/>
        <v>-1.7348490610654252E-3</v>
      </c>
      <c r="R37" s="649">
        <f>R35+R36</f>
        <v>1266.08515067748</v>
      </c>
      <c r="S37" s="650">
        <f t="shared" si="39"/>
        <v>0</v>
      </c>
      <c r="T37" s="649">
        <f>T35+T36</f>
        <v>1266.08515067748</v>
      </c>
      <c r="U37" s="650">
        <f>(T37-Nøgletal!P37)/IF(Nøgletal!P37&gt;0,Nøgletal!P37,1)/(T$1-Nøgletal!P$1)</f>
        <v>0</v>
      </c>
      <c r="V37" s="649">
        <f>V35+V36</f>
        <v>1178.4060918995588</v>
      </c>
      <c r="W37" s="650">
        <f>(V37-Nøgletal!P37)/IF(T37&gt;0,T37,1)/(V$1-Nøgletal!P$1)</f>
        <v>-5.3270848167739932E-3</v>
      </c>
      <c r="X37" s="604"/>
    </row>
    <row r="38" spans="1:24" x14ac:dyDescent="0.25">
      <c r="A38" s="633" t="s">
        <v>487</v>
      </c>
      <c r="B38" s="650">
        <f>B35/IF(B37&gt;0,B37,1)</f>
        <v>0.18125777485485889</v>
      </c>
      <c r="C38" s="650"/>
      <c r="D38" s="650">
        <f>D35/IF(D37&gt;0,D37,1)</f>
        <v>0.24695000607263373</v>
      </c>
      <c r="E38" s="650"/>
      <c r="F38" s="650">
        <f>F35/IF(F37&gt;0,F37,1)</f>
        <v>0.21223707877289302</v>
      </c>
      <c r="G38" s="650"/>
      <c r="H38" s="650">
        <f>H35/IF(H37&gt;0,H37,1)</f>
        <v>0.19425589074193492</v>
      </c>
      <c r="I38" s="650"/>
      <c r="J38" s="650">
        <f>J35/IF(J37&gt;0,J37,1)</f>
        <v>0.19923123325797884</v>
      </c>
      <c r="K38" s="650"/>
      <c r="L38" s="650">
        <f>L35/IF(L37&gt;0,L37,1)</f>
        <v>0.20470773612066978</v>
      </c>
      <c r="M38" s="650"/>
      <c r="N38" s="650">
        <f>N35/IF(N37&gt;0,N37,1)</f>
        <v>0.20197724569860975</v>
      </c>
      <c r="O38" s="650"/>
      <c r="P38" s="650">
        <f>P35/IF(P37&gt;0,P37,1)</f>
        <v>0.18129112396364408</v>
      </c>
      <c r="Q38" s="650"/>
      <c r="R38" s="650">
        <f>R35/IF(R37&gt;0,R37,1)</f>
        <v>0.18129112396364408</v>
      </c>
      <c r="S38" s="650"/>
      <c r="T38" s="650">
        <f>T35/IF(T37&gt;0,T37,1)</f>
        <v>0.18129112396364408</v>
      </c>
      <c r="U38" s="650"/>
      <c r="V38" s="650">
        <f>V35/IF(V37&gt;0,V37,1)</f>
        <v>0.17181194592267415</v>
      </c>
      <c r="W38" s="650"/>
      <c r="X38" s="604"/>
    </row>
    <row r="39" spans="1:24" x14ac:dyDescent="0.25">
      <c r="A39" s="633" t="s">
        <v>488</v>
      </c>
      <c r="B39" s="650">
        <f>B36/IF(B37&gt;0,B37,1)</f>
        <v>0.81874222514514117</v>
      </c>
      <c r="C39" s="650"/>
      <c r="D39" s="650">
        <f>D36/IF(D37&gt;0,D37,1)</f>
        <v>0.75304999392736627</v>
      </c>
      <c r="E39" s="650"/>
      <c r="F39" s="650">
        <f>F36/IF(F37&gt;0,F37,1)</f>
        <v>0.787762921227107</v>
      </c>
      <c r="G39" s="650"/>
      <c r="H39" s="650">
        <f>H36/IF(H37&gt;0,H37,1)</f>
        <v>0.80574410925806506</v>
      </c>
      <c r="I39" s="650"/>
      <c r="J39" s="650">
        <f>J36/IF(J37&gt;0,J37,1)</f>
        <v>0.80076876674202113</v>
      </c>
      <c r="K39" s="650"/>
      <c r="L39" s="650">
        <f>L36/IF(L37&gt;0,L37,1)</f>
        <v>0.79529226387933016</v>
      </c>
      <c r="M39" s="650"/>
      <c r="N39" s="650">
        <f>N36/IF(N37&gt;0,N37,1)</f>
        <v>0.79802275430139025</v>
      </c>
      <c r="O39" s="650"/>
      <c r="P39" s="650">
        <f>P36/IF(P37&gt;0,P37,1)</f>
        <v>0.818708876036356</v>
      </c>
      <c r="Q39" s="650"/>
      <c r="R39" s="650">
        <f>R36/IF(R37&gt;0,R37,1)</f>
        <v>0.818708876036356</v>
      </c>
      <c r="S39" s="650"/>
      <c r="T39" s="650">
        <f>T36/IF(T37&gt;0,T37,1)</f>
        <v>0.818708876036356</v>
      </c>
      <c r="U39" s="650"/>
      <c r="V39" s="650">
        <f>V36/IF(V37&gt;0,V37,1)</f>
        <v>0.82818805407732576</v>
      </c>
      <c r="W39" s="650"/>
      <c r="X39" s="604"/>
    </row>
    <row r="40" spans="1:24" x14ac:dyDescent="0.25">
      <c r="A40" s="633" t="s">
        <v>490</v>
      </c>
      <c r="B40" s="650"/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04"/>
    </row>
    <row r="41" spans="1:24" x14ac:dyDescent="0.25">
      <c r="A41" s="604" t="s">
        <v>344</v>
      </c>
      <c r="B41" s="650">
        <f>' Plan Energi 2030-S'!AI$14/IF(' Plan Energi 2030-S'!AI$14+SUM(' Plan Energi 2030-S'!AI$17:AI$22)+' Plan Energi 2030-S'!AI$10+' Plan Energi 2030-S'!AI$9&gt;0,' Plan Energi 2030-S'!AI$14+SUM(' Plan Energi 2030-S'!AI$17:AI$22)+' Plan Energi 2030-S'!AI$10+' Plan Energi 2030-S'!AI$9,1)</f>
        <v>0</v>
      </c>
      <c r="C41" s="650"/>
      <c r="D41" s="650">
        <f>' Plan Energi 2006'!AI$14/IF(' Plan Energi 2006'!AI$14+SUM(' Plan Energi 2006'!AI$17:AI$22)+' Plan Energi 2006'!AI$10+' Plan Energi 2006'!AI$9&gt;0,' Plan Energi 2006'!AI$14+SUM(' Plan Energi 2006'!AI$17:AI$22)+' Plan Energi 2006'!AI$10+' Plan Energi 2006'!AI$9,1)</f>
        <v>1.662315760750422E-3</v>
      </c>
      <c r="E41" s="650"/>
      <c r="F41" s="650">
        <f>' Plan Energi 2008'!AI$14/IF(' Plan Energi 2008'!AI$14+SUM(' Plan Energi 2008'!AI$17:AI$22)+' Plan Energi 2008'!AI$10+' Plan Energi 2008'!AI$9&gt;0,' Plan Energi 2008'!AI$14+SUM(' Plan Energi 2008'!AI$17:AI$22)+' Plan Energi 2008'!AI$10+' Plan Energi 2008'!AI$9,1)</f>
        <v>2.0537201610229382E-3</v>
      </c>
      <c r="G41" s="650"/>
      <c r="H41" s="650">
        <f>' Plan Energi 2009'!AI$14/IF(' Plan Energi 2009'!AI$14+SUM(' Plan Energi 2009'!AI$17:AI$22)+' Plan Energi 2009'!AI$10+' Plan Energi 2009'!AI$9&gt;0,' Plan Energi 2009'!AI$14+SUM(' Plan Energi 2009'!AI$17:AI$22)+' Plan Energi 2009'!AI$10+' Plan Energi 2009'!AI$9,1)</f>
        <v>2.5136122740744603E-3</v>
      </c>
      <c r="I41" s="650"/>
      <c r="J41" s="650">
        <f>' Plan Energi 2011'!AI$14/IF(' Plan Energi 2011'!AI$14+SUM(' Plan Energi 2011'!AI$17:AI$22)+' Plan Energi 2011'!AI$10+' Plan Energi 2011'!AI$9&gt;0,' Plan Energi 2011'!AI$14+SUM(' Plan Energi 2011'!AI$17:AI$22)+' Plan Energi 2011'!AI$10+' Plan Energi 2011'!AI$9,1)</f>
        <v>5.014223654121866E-3</v>
      </c>
      <c r="K41" s="650"/>
      <c r="L41" s="650">
        <f>' Plan Energi 2013'!AI$14/IF(' Plan Energi 2013'!AI$14+SUM(' Plan Energi 2013'!AI$17:AI$22)+' Plan Energi 2013'!AI$10+' Plan Energi 2013'!AI$9&gt;0,' Plan Energi 2013'!AI$14+SUM(' Plan Energi 2013'!AI$17:AI$22)+' Plan Energi 2013'!AI$10+' Plan Energi 2013'!AI$9,1)</f>
        <v>4.7339766136075484E-3</v>
      </c>
      <c r="M41" s="650"/>
      <c r="N41" s="650">
        <f>' Plan Energi 2015'!AI$14/IF(' Plan Energi 2015'!AI$14+SUM(' Plan Energi 2015'!AI$17:AI$22)+' Plan Energi 2015'!AI$10+' Plan Energi 2015'!AI$9&gt;0,' Plan Energi 2015'!AI$14+SUM(' Plan Energi 2015'!AI$17:AI$22)+' Plan Energi 2015'!AI$10+' Plan Energi 2015'!AI$9,1)</f>
        <v>4.6763433881341632E-3</v>
      </c>
      <c r="O41" s="650"/>
      <c r="P41" s="650">
        <f>' Plan Energi 2017'!AI$14/IF(' Plan Energi 2017'!AI$14+SUM(' Plan Energi 2017'!AI$17:AI$22)+' Plan Energi 2017'!AI$10+' Plan Energi 2017'!AI$9&gt;0,' Plan Energi 2017'!AI$14+SUM(' Plan Energi 2017'!AI$17:AI$22)+' Plan Energi 2017'!AI$10+' Plan Energi 2017'!AI$9,1)</f>
        <v>0</v>
      </c>
      <c r="Q41" s="650"/>
      <c r="R41" s="650">
        <f>' Plan Energi 2019'!AI$14/IF(' Plan Energi 2019'!AI$14+SUM(' Plan Energi 2019'!AI$17:AI$22)+' Plan Energi 2019'!AI$10+' Plan Energi 2019'!AI$9&gt;0,' Plan Energi 2019'!AI$14+SUM(' Plan Energi 2019'!AI$17:AI$22)+' Plan Energi 2019'!AI$10+' Plan Energi 2019'!AI$9,1)</f>
        <v>0</v>
      </c>
      <c r="S41" s="650"/>
      <c r="T41" s="726">
        <f>'Bolig, Service, Handel, Byg'!L17</f>
        <v>0</v>
      </c>
      <c r="U41" s="650"/>
      <c r="V41" s="726">
        <f>'Bolig, Service, Handel, Byg'!N17</f>
        <v>0.20747889022919178</v>
      </c>
      <c r="W41" s="650"/>
      <c r="X41" s="604"/>
    </row>
    <row r="42" spans="1:24" x14ac:dyDescent="0.25">
      <c r="A42" s="604" t="s">
        <v>346</v>
      </c>
      <c r="B42" s="650">
        <f>' Plan Energi 2030-S'!AI$17/IF(' Plan Energi 2030-S'!AI$14+SUM(' Plan Energi 2030-S'!AI$17:AI$22)+' Plan Energi 2030-S'!AI$10+' Plan Energi 2030-S'!AI$9&gt;0,' Plan Energi 2030-S'!AI$14+SUM(' Plan Energi 2030-S'!AI$17:AI$22)+' Plan Energi 2030-S'!AI$10+' Plan Energi 2030-S'!AI$9,1)</f>
        <v>0.17426915871563631</v>
      </c>
      <c r="C42" s="650"/>
      <c r="D42" s="650">
        <f>' Plan Energi 2006'!AI$17/IF(' Plan Energi 2006'!AI$14+SUM(' Plan Energi 2006'!AI$17:AI$22)+' Plan Energi 2006'!AI$10+' Plan Energi 2006'!AI$9&gt;0,' Plan Energi 2006'!AI$14+SUM(' Plan Energi 2006'!AI$17:AI$22)+' Plan Energi 2006'!AI$10+' Plan Energi 2006'!AI$9,1)</f>
        <v>0.40654794296069263</v>
      </c>
      <c r="E42" s="650"/>
      <c r="F42" s="650">
        <f>' Plan Energi 2008'!AI$17/IF(' Plan Energi 2008'!AI$14+SUM(' Plan Energi 2008'!AI$17:AI$22)+' Plan Energi 2008'!AI$10+' Plan Energi 2008'!AI$9&gt;0,' Plan Energi 2008'!AI$14+SUM(' Plan Energi 2008'!AI$17:AI$22)+' Plan Energi 2008'!AI$10+' Plan Energi 2008'!AI$9,1)</f>
        <v>0.36941129940412598</v>
      </c>
      <c r="G42" s="650"/>
      <c r="H42" s="650">
        <f>' Plan Energi 2009'!AI$17/IF(' Plan Energi 2009'!AI$14+SUM(' Plan Energi 2009'!AI$17:AI$22)+' Plan Energi 2009'!AI$10+' Plan Energi 2009'!AI$9&gt;0,' Plan Energi 2009'!AI$14+SUM(' Plan Energi 2009'!AI$17:AI$22)+' Plan Energi 2009'!AI$10+' Plan Energi 2009'!AI$9,1)</f>
        <v>0.34707057486561715</v>
      </c>
      <c r="I42" s="650"/>
      <c r="J42" s="650">
        <f>' Plan Energi 2011'!AI$17/IF(' Plan Energi 2011'!AI$14+SUM(' Plan Energi 2011'!AI$17:AI$22)+' Plan Energi 2011'!AI$10+' Plan Energi 2011'!AI$9&gt;0,' Plan Energi 2011'!AI$14+SUM(' Plan Energi 2011'!AI$17:AI$22)+' Plan Energi 2011'!AI$10+' Plan Energi 2011'!AI$9,1)</f>
        <v>0.28632254984279032</v>
      </c>
      <c r="K42" s="650"/>
      <c r="L42" s="650">
        <f>' Plan Energi 2013'!AI$17/IF(' Plan Energi 2013'!AI$14+SUM(' Plan Energi 2013'!AI$17:AI$22)+' Plan Energi 2013'!AI$10+' Plan Energi 2013'!AI$9&gt;0,' Plan Energi 2013'!AI$14+SUM(' Plan Energi 2013'!AI$17:AI$22)+' Plan Energi 2013'!AI$10+' Plan Energi 2013'!AI$9,1)</f>
        <v>0.26082522470252517</v>
      </c>
      <c r="M42" s="650"/>
      <c r="N42" s="650">
        <f>' Plan Energi 2015'!AI$17/IF(' Plan Energi 2015'!AI$14+SUM(' Plan Energi 2015'!AI$17:AI$22)+' Plan Energi 2015'!AI$10+' Plan Energi 2015'!AI$9&gt;0,' Plan Energi 2015'!AI$14+SUM(' Plan Energi 2015'!AI$17:AI$22)+' Plan Energi 2015'!AI$10+' Plan Energi 2015'!AI$9,1)</f>
        <v>0.2306996071479521</v>
      </c>
      <c r="O42" s="650"/>
      <c r="P42" s="650">
        <f>' Plan Energi 2017'!AI$17/IF(' Plan Energi 2017'!AI$14+SUM(' Plan Energi 2017'!AI$17:AI$22)+' Plan Energi 2017'!AI$10+' Plan Energi 2017'!AI$9&gt;0,' Plan Energi 2017'!AI$14+SUM(' Plan Energi 2017'!AI$17:AI$22)+' Plan Energi 2017'!AI$10+' Plan Energi 2017'!AI$9,1)</f>
        <v>0.17426915871563631</v>
      </c>
      <c r="Q42" s="650"/>
      <c r="R42" s="650">
        <f>' Plan Energi 2019'!AI$17/IF(' Plan Energi 2019'!AI$14+SUM(' Plan Energi 2019'!AI$17:AI$22)+' Plan Energi 2019'!AI$10+' Plan Energi 2019'!AI$9&gt;0,' Plan Energi 2019'!AI$14+SUM(' Plan Energi 2019'!AI$17:AI$22)+' Plan Energi 2019'!AI$10+' Plan Energi 2019'!AI$9,1)</f>
        <v>0.17426915871563631</v>
      </c>
      <c r="S42" s="650"/>
      <c r="T42" s="726">
        <f>'Bolig, Service, Handel, Byg'!L18</f>
        <v>0.17</v>
      </c>
      <c r="U42" s="650"/>
      <c r="V42" s="726">
        <f>'Bolig, Service, Handel, Byg'!N18</f>
        <v>3.0156815440289503E-2</v>
      </c>
      <c r="W42" s="650"/>
      <c r="X42" s="604"/>
    </row>
    <row r="43" spans="1:24" x14ac:dyDescent="0.25">
      <c r="A43" s="604" t="s">
        <v>347</v>
      </c>
      <c r="B43" s="650">
        <f>' Plan Energi 2030-S'!AI$18/IF(' Plan Energi 2030-S'!AI$14+SUM(' Plan Energi 2030-S'!AI$17:AI$22)+' Plan Energi 2030-S'!AI$10+' Plan Energi 2030-S'!AI$9&gt;0,' Plan Energi 2030-S'!AI$14+SUM(' Plan Energi 2030-S'!AI$17:AI$22)+' Plan Energi 2030-S'!AI$10+' Plan Energi 2030-S'!AI$9,1)</f>
        <v>1.4812878490829086E-3</v>
      </c>
      <c r="C43" s="650"/>
      <c r="D43" s="650">
        <f>' Plan Energi 2006'!AI$18/IF(' Plan Energi 2006'!AI$14+SUM(' Plan Energi 2006'!AI$17:AI$22)+' Plan Energi 2006'!AI$10+' Plan Energi 2006'!AI$9&gt;0,' Plan Energi 2006'!AI$14+SUM(' Plan Energi 2006'!AI$17:AI$22)+' Plan Energi 2006'!AI$10+' Plan Energi 2006'!AI$9,1)</f>
        <v>1.6393555983091181E-3</v>
      </c>
      <c r="E43" s="650"/>
      <c r="F43" s="650">
        <f>' Plan Energi 2008'!AI$18/IF(' Plan Energi 2008'!AI$14+SUM(' Plan Energi 2008'!AI$17:AI$22)+' Plan Energi 2008'!AI$10+' Plan Energi 2008'!AI$9&gt;0,' Plan Energi 2008'!AI$14+SUM(' Plan Energi 2008'!AI$17:AI$22)+' Plan Energi 2008'!AI$10+' Plan Energi 2008'!AI$9,1)</f>
        <v>2.3028467497382206E-3</v>
      </c>
      <c r="G43" s="650"/>
      <c r="H43" s="650">
        <f>' Plan Energi 2009'!AI$18/IF(' Plan Energi 2009'!AI$14+SUM(' Plan Energi 2009'!AI$17:AI$22)+' Plan Energi 2009'!AI$10+' Plan Energi 2009'!AI$9&gt;0,' Plan Energi 2009'!AI$14+SUM(' Plan Energi 2009'!AI$17:AI$22)+' Plan Energi 2009'!AI$10+' Plan Energi 2009'!AI$9,1)</f>
        <v>1.7734379087837593E-3</v>
      </c>
      <c r="I43" s="650"/>
      <c r="J43" s="650">
        <f>' Plan Energi 2011'!AI$18/IF(' Plan Energi 2011'!AI$14+SUM(' Plan Energi 2011'!AI$17:AI$22)+' Plan Energi 2011'!AI$10+' Plan Energi 2011'!AI$9&gt;0,' Plan Energi 2011'!AI$14+SUM(' Plan Energi 2011'!AI$17:AI$22)+' Plan Energi 2011'!AI$10+' Plan Energi 2011'!AI$9,1)</f>
        <v>2.129523964455753E-3</v>
      </c>
      <c r="K43" s="650"/>
      <c r="L43" s="650">
        <f>' Plan Energi 2013'!AI$18/IF(' Plan Energi 2013'!AI$14+SUM(' Plan Energi 2013'!AI$17:AI$22)+' Plan Energi 2013'!AI$10+' Plan Energi 2013'!AI$9&gt;0,' Plan Energi 2013'!AI$14+SUM(' Plan Energi 2013'!AI$17:AI$22)+' Plan Energi 2013'!AI$10+' Plan Energi 2013'!AI$9,1)</f>
        <v>2.2029777775730949E-3</v>
      </c>
      <c r="M43" s="650"/>
      <c r="N43" s="650">
        <f>' Plan Energi 2015'!AI$18/IF(' Plan Energi 2015'!AI$14+SUM(' Plan Energi 2015'!AI$17:AI$22)+' Plan Energi 2015'!AI$10+' Plan Energi 2015'!AI$9&gt;0,' Plan Energi 2015'!AI$14+SUM(' Plan Energi 2015'!AI$17:AI$22)+' Plan Energi 2015'!AI$10+' Plan Energi 2015'!AI$9,1)</f>
        <v>1.9874459399570198E-3</v>
      </c>
      <c r="O43" s="650"/>
      <c r="P43" s="650">
        <f>' Plan Energi 2017'!AI$18/IF(' Plan Energi 2017'!AI$14+SUM(' Plan Energi 2017'!AI$17:AI$22)+' Plan Energi 2017'!AI$10+' Plan Energi 2017'!AI$9&gt;0,' Plan Energi 2017'!AI$14+SUM(' Plan Energi 2017'!AI$17:AI$22)+' Plan Energi 2017'!AI$10+' Plan Energi 2017'!AI$9,1)</f>
        <v>1.4812878490829086E-3</v>
      </c>
      <c r="Q43" s="650"/>
      <c r="R43" s="650">
        <f>' Plan Energi 2019'!AI$18/IF(' Plan Energi 2019'!AI$14+SUM(' Plan Energi 2019'!AI$17:AI$22)+' Plan Energi 2019'!AI$10+' Plan Energi 2019'!AI$9&gt;0,' Plan Energi 2019'!AI$14+SUM(' Plan Energi 2019'!AI$17:AI$22)+' Plan Energi 2019'!AI$10+' Plan Energi 2019'!AI$9,1)</f>
        <v>1.4812878490829086E-3</v>
      </c>
      <c r="S43" s="650"/>
      <c r="T43" s="726">
        <f>'Bolig, Service, Handel, Byg'!L19</f>
        <v>1.4812878490829086E-3</v>
      </c>
      <c r="U43" s="650"/>
      <c r="V43" s="726">
        <f>'Bolig, Service, Handel, Byg'!N19</f>
        <v>0.26055488540410132</v>
      </c>
      <c r="W43" s="650"/>
      <c r="X43" s="604"/>
    </row>
    <row r="44" spans="1:24" x14ac:dyDescent="0.25">
      <c r="A44" s="604" t="s">
        <v>348</v>
      </c>
      <c r="B44" s="650">
        <f>' Plan Energi 2030-S'!AI$19/IF(' Plan Energi 2030-S'!AI$14+SUM(' Plan Energi 2030-S'!AI$17:AI$22)+' Plan Energi 2030-S'!AI$10+' Plan Energi 2030-S'!AI$9&gt;0,' Plan Energi 2030-S'!AI$14+SUM(' Plan Energi 2030-S'!AI$17:AI$22)+' Plan Energi 2030-S'!AI$10+' Plan Energi 2030-S'!AI$9,1)</f>
        <v>0.2679388315252908</v>
      </c>
      <c r="C44" s="650"/>
      <c r="D44" s="650">
        <f>' Plan Energi 2006'!AI$19/IF(' Plan Energi 2006'!AI$14+SUM(' Plan Energi 2006'!AI$17:AI$22)+' Plan Energi 2006'!AI$10+' Plan Energi 2006'!AI$9&gt;0,' Plan Energi 2006'!AI$14+SUM(' Plan Energi 2006'!AI$17:AI$22)+' Plan Energi 2006'!AI$10+' Plan Energi 2006'!AI$9,1)</f>
        <v>7.3472519812173356E-2</v>
      </c>
      <c r="E44" s="650"/>
      <c r="F44" s="650">
        <f>' Plan Energi 2008'!AI$19/IF(' Plan Energi 2008'!AI$14+SUM(' Plan Energi 2008'!AI$17:AI$22)+' Plan Energi 2008'!AI$10+' Plan Energi 2008'!AI$9&gt;0,' Plan Energi 2008'!AI$14+SUM(' Plan Energi 2008'!AI$17:AI$22)+' Plan Energi 2008'!AI$10+' Plan Energi 2008'!AI$9,1)</f>
        <v>0.10171727212613609</v>
      </c>
      <c r="G44" s="650"/>
      <c r="H44" s="650">
        <f>' Plan Energi 2009'!AI$19/IF(' Plan Energi 2009'!AI$14+SUM(' Plan Energi 2009'!AI$17:AI$22)+' Plan Energi 2009'!AI$10+' Plan Energi 2009'!AI$9&gt;0,' Plan Energi 2009'!AI$14+SUM(' Plan Energi 2009'!AI$17:AI$22)+' Plan Energi 2009'!AI$10+' Plan Energi 2009'!AI$9,1)</f>
        <v>0.10431987698727997</v>
      </c>
      <c r="I44" s="650"/>
      <c r="J44" s="650">
        <f>' Plan Energi 2011'!AI$19/IF(' Plan Energi 2011'!AI$14+SUM(' Plan Energi 2011'!AI$17:AI$22)+' Plan Energi 2011'!AI$10+' Plan Energi 2011'!AI$9&gt;0,' Plan Energi 2011'!AI$14+SUM(' Plan Energi 2011'!AI$17:AI$22)+' Plan Energi 2011'!AI$10+' Plan Energi 2011'!AI$9,1)</f>
        <v>0.16642498209612189</v>
      </c>
      <c r="K44" s="650"/>
      <c r="L44" s="650">
        <f>' Plan Energi 2013'!AI$19/IF(' Plan Energi 2013'!AI$14+SUM(' Plan Energi 2013'!AI$17:AI$22)+' Plan Energi 2013'!AI$10+' Plan Energi 2013'!AI$9&gt;0,' Plan Energi 2013'!AI$14+SUM(' Plan Energi 2013'!AI$17:AI$22)+' Plan Energi 2013'!AI$10+' Plan Energi 2013'!AI$9,1)</f>
        <v>0.18895009175893157</v>
      </c>
      <c r="M44" s="650"/>
      <c r="N44" s="650">
        <f>' Plan Energi 2015'!AI$19/IF(' Plan Energi 2015'!AI$14+SUM(' Plan Energi 2015'!AI$17:AI$22)+' Plan Energi 2015'!AI$10+' Plan Energi 2015'!AI$9&gt;0,' Plan Energi 2015'!AI$14+SUM(' Plan Energi 2015'!AI$17:AI$22)+' Plan Energi 2015'!AI$10+' Plan Energi 2015'!AI$9,1)</f>
        <v>0.21920359631878891</v>
      </c>
      <c r="O44" s="650"/>
      <c r="P44" s="650">
        <f>' Plan Energi 2017'!AI$19/IF(' Plan Energi 2017'!AI$14+SUM(' Plan Energi 2017'!AI$17:AI$22)+' Plan Energi 2017'!AI$10+' Plan Energi 2017'!AI$9&gt;0,' Plan Energi 2017'!AI$14+SUM(' Plan Energi 2017'!AI$17:AI$22)+' Plan Energi 2017'!AI$10+' Plan Energi 2017'!AI$9,1)</f>
        <v>0.2679388315252908</v>
      </c>
      <c r="Q44" s="650"/>
      <c r="R44" s="650">
        <f>' Plan Energi 2019'!AI$19/IF(' Plan Energi 2019'!AI$14+SUM(' Plan Energi 2019'!AI$17:AI$22)+' Plan Energi 2019'!AI$10+' Plan Energi 2019'!AI$9&gt;0,' Plan Energi 2019'!AI$14+SUM(' Plan Energi 2019'!AI$17:AI$22)+' Plan Energi 2019'!AI$10+' Plan Energi 2019'!AI$9,1)</f>
        <v>0.2679388315252908</v>
      </c>
      <c r="S44" s="650"/>
      <c r="T44" s="726">
        <f>'Bolig, Service, Handel, Byg'!L20</f>
        <v>0.2679388315252908</v>
      </c>
      <c r="U44" s="650"/>
      <c r="V44" s="726">
        <f>'Bolig, Service, Handel, Byg'!N20</f>
        <v>0.11338962605548854</v>
      </c>
      <c r="W44" s="650"/>
      <c r="X44" s="604"/>
    </row>
    <row r="45" spans="1:24" x14ac:dyDescent="0.25">
      <c r="A45" s="604" t="s">
        <v>349</v>
      </c>
      <c r="B45" s="650">
        <f>' Plan Energi 2030-S'!AI$20/IF(' Plan Energi 2030-S'!AI$14+SUM(' Plan Energi 2030-S'!AI$17:AI$22)+' Plan Energi 2030-S'!AI$10+' Plan Energi 2030-S'!AI$9&gt;0,' Plan Energi 2030-S'!AI$14+SUM(' Plan Energi 2030-S'!AI$17:AI$22)+' Plan Energi 2030-S'!AI$10+' Plan Energi 2030-S'!AI$9,1)</f>
        <v>0.37947109310329802</v>
      </c>
      <c r="C45" s="650"/>
      <c r="D45" s="650">
        <f>' Plan Energi 2006'!AI$20/IF(' Plan Energi 2006'!AI$14+SUM(' Plan Energi 2006'!AI$17:AI$22)+' Plan Energi 2006'!AI$10+' Plan Energi 2006'!AI$9&gt;0,' Plan Energi 2006'!AI$14+SUM(' Plan Energi 2006'!AI$17:AI$22)+' Plan Energi 2006'!AI$10+' Plan Energi 2006'!AI$9,1)</f>
        <v>0.34623924961486696</v>
      </c>
      <c r="E45" s="650"/>
      <c r="F45" s="650">
        <f>' Plan Energi 2008'!AI$20/IF(' Plan Energi 2008'!AI$14+SUM(' Plan Energi 2008'!AI$17:AI$22)+' Plan Energi 2008'!AI$10+' Plan Energi 2008'!AI$9&gt;0,' Plan Energi 2008'!AI$14+SUM(' Plan Energi 2008'!AI$17:AI$22)+' Plan Energi 2008'!AI$10+' Plan Energi 2008'!AI$9,1)</f>
        <v>0.35891666021650881</v>
      </c>
      <c r="G45" s="650"/>
      <c r="H45" s="650">
        <f>' Plan Energi 2009'!AI$20/IF(' Plan Energi 2009'!AI$14+SUM(' Plan Energi 2009'!AI$17:AI$22)+' Plan Energi 2009'!AI$10+' Plan Energi 2009'!AI$9&gt;0,' Plan Energi 2009'!AI$14+SUM(' Plan Energi 2009'!AI$17:AI$22)+' Plan Energi 2009'!AI$10+' Plan Energi 2009'!AI$9,1)</f>
        <v>0.36379487260484772</v>
      </c>
      <c r="I45" s="650"/>
      <c r="J45" s="650">
        <f>' Plan Energi 2011'!AI$20/IF(' Plan Energi 2011'!AI$14+SUM(' Plan Energi 2011'!AI$17:AI$22)+' Plan Energi 2011'!AI$10+' Plan Energi 2011'!AI$9&gt;0,' Plan Energi 2011'!AI$14+SUM(' Plan Energi 2011'!AI$17:AI$22)+' Plan Energi 2011'!AI$10+' Plan Energi 2011'!AI$9,1)</f>
        <v>0.3675665733606821</v>
      </c>
      <c r="K45" s="650"/>
      <c r="L45" s="650">
        <f>' Plan Energi 2013'!AI$20/IF(' Plan Energi 2013'!AI$14+SUM(' Plan Energi 2013'!AI$17:AI$22)+' Plan Energi 2013'!AI$10+' Plan Energi 2013'!AI$9&gt;0,' Plan Energi 2013'!AI$14+SUM(' Plan Energi 2013'!AI$17:AI$22)+' Plan Energi 2013'!AI$10+' Plan Energi 2013'!AI$9,1)</f>
        <v>0.37567724126187568</v>
      </c>
      <c r="M45" s="650"/>
      <c r="N45" s="650">
        <f>' Plan Energi 2015'!AI$20/IF(' Plan Energi 2015'!AI$14+SUM(' Plan Energi 2015'!AI$17:AI$22)+' Plan Energi 2015'!AI$10+' Plan Energi 2015'!AI$9&gt;0,' Plan Energi 2015'!AI$14+SUM(' Plan Energi 2015'!AI$17:AI$22)+' Plan Energi 2015'!AI$10+' Plan Energi 2015'!AI$9,1)</f>
        <v>0.38755195829161881</v>
      </c>
      <c r="O45" s="650"/>
      <c r="P45" s="650">
        <f>' Plan Energi 2017'!AI$20/IF(' Plan Energi 2017'!AI$14+SUM(' Plan Energi 2017'!AI$17:AI$22)+' Plan Energi 2017'!AI$10+' Plan Energi 2017'!AI$9&gt;0,' Plan Energi 2017'!AI$14+SUM(' Plan Energi 2017'!AI$17:AI$22)+' Plan Energi 2017'!AI$10+' Plan Energi 2017'!AI$9,1)</f>
        <v>0.37947109310329802</v>
      </c>
      <c r="Q45" s="650"/>
      <c r="R45" s="650">
        <f>' Plan Energi 2019'!AI$20/IF(' Plan Energi 2019'!AI$14+SUM(' Plan Energi 2019'!AI$17:AI$22)+' Plan Energi 2019'!AI$10+' Plan Energi 2019'!AI$9&gt;0,' Plan Energi 2019'!AI$14+SUM(' Plan Energi 2019'!AI$17:AI$22)+' Plan Energi 2019'!AI$10+' Plan Energi 2019'!AI$9,1)</f>
        <v>0.37947109310329802</v>
      </c>
      <c r="S45" s="650"/>
      <c r="T45" s="726">
        <f>'Bolig, Service, Handel, Byg'!L21</f>
        <v>0.38374025181893445</v>
      </c>
      <c r="U45" s="650"/>
      <c r="V45" s="726">
        <f>'Bolig, Service, Handel, Byg'!N21</f>
        <v>0.28841978287092895</v>
      </c>
      <c r="W45" s="650"/>
      <c r="X45" s="604"/>
    </row>
    <row r="46" spans="1:24" x14ac:dyDescent="0.25">
      <c r="A46" s="604" t="s">
        <v>350</v>
      </c>
      <c r="B46" s="650">
        <f>' Plan Energi 2030-S'!AI$21/IF(' Plan Energi 2030-S'!AI$14+SUM(' Plan Energi 2030-S'!AI$17:AI$22)+' Plan Energi 2030-S'!AI$10+' Plan Energi 2030-S'!AI$9&gt;0,' Plan Energi 2030-S'!AI$14+SUM(' Plan Energi 2030-S'!AI$17:AI$22)+' Plan Energi 2030-S'!AI$10+' Plan Energi 2030-S'!AI$9,1)</f>
        <v>5.6637476582581794E-2</v>
      </c>
      <c r="C46" s="650"/>
      <c r="D46" s="650">
        <f>' Plan Energi 2006'!AI$21/IF(' Plan Energi 2006'!AI$14+SUM(' Plan Energi 2006'!AI$17:AI$22)+' Plan Energi 2006'!AI$10+' Plan Energi 2006'!AI$9&gt;0,' Plan Energi 2006'!AI$14+SUM(' Plan Energi 2006'!AI$17:AI$22)+' Plan Energi 2006'!AI$10+' Plan Energi 2006'!AI$9,1)</f>
        <v>7.7605349051608111E-2</v>
      </c>
      <c r="E46" s="650"/>
      <c r="F46" s="650">
        <f>' Plan Energi 2008'!AI$21/IF(' Plan Energi 2008'!AI$14+SUM(' Plan Energi 2008'!AI$17:AI$22)+' Plan Energi 2008'!AI$10+' Plan Energi 2008'!AI$9&gt;0,' Plan Energi 2008'!AI$14+SUM(' Plan Energi 2008'!AI$17:AI$22)+' Plan Energi 2008'!AI$10+' Plan Energi 2008'!AI$9,1)</f>
        <v>6.7165690800750175E-2</v>
      </c>
      <c r="G46" s="650"/>
      <c r="H46" s="650">
        <f>' Plan Energi 2009'!AI$21/IF(' Plan Energi 2009'!AI$14+SUM(' Plan Energi 2009'!AI$17:AI$22)+' Plan Energi 2009'!AI$10+' Plan Energi 2009'!AI$9&gt;0,' Plan Energi 2009'!AI$14+SUM(' Plan Energi 2009'!AI$17:AI$22)+' Plan Energi 2009'!AI$10+' Plan Energi 2009'!AI$9,1)</f>
        <v>7.1036868615147783E-2</v>
      </c>
      <c r="I46" s="650"/>
      <c r="J46" s="650">
        <f>' Plan Energi 2011'!AI$21/IF(' Plan Energi 2011'!AI$14+SUM(' Plan Energi 2011'!AI$17:AI$22)+' Plan Energi 2011'!AI$10+' Plan Energi 2011'!AI$9&gt;0,' Plan Energi 2011'!AI$14+SUM(' Plan Energi 2011'!AI$17:AI$22)+' Plan Energi 2011'!AI$10+' Plan Energi 2011'!AI$9,1)</f>
        <v>6.2812009371762137E-2</v>
      </c>
      <c r="K46" s="650"/>
      <c r="L46" s="650">
        <f>' Plan Energi 2013'!AI$21/IF(' Plan Energi 2013'!AI$14+SUM(' Plan Energi 2013'!AI$17:AI$22)+' Plan Energi 2013'!AI$10+' Plan Energi 2013'!AI$9&gt;0,' Plan Energi 2013'!AI$14+SUM(' Plan Energi 2013'!AI$17:AI$22)+' Plan Energi 2013'!AI$10+' Plan Energi 2013'!AI$9,1)</f>
        <v>5.7796498655673184E-2</v>
      </c>
      <c r="M46" s="650"/>
      <c r="N46" s="650">
        <f>' Plan Energi 2015'!AI$21/IF(' Plan Energi 2015'!AI$14+SUM(' Plan Energi 2015'!AI$17:AI$22)+' Plan Energi 2015'!AI$10+' Plan Energi 2015'!AI$9&gt;0,' Plan Energi 2015'!AI$14+SUM(' Plan Energi 2015'!AI$17:AI$22)+' Plan Energi 2015'!AI$10+' Plan Energi 2015'!AI$9,1)</f>
        <v>5.5726425375265454E-2</v>
      </c>
      <c r="O46" s="650"/>
      <c r="P46" s="650">
        <f>' Plan Energi 2017'!AI$21/IF(' Plan Energi 2017'!AI$14+SUM(' Plan Energi 2017'!AI$17:AI$22)+' Plan Energi 2017'!AI$10+' Plan Energi 2017'!AI$9&gt;0,' Plan Energi 2017'!AI$14+SUM(' Plan Energi 2017'!AI$17:AI$22)+' Plan Energi 2017'!AI$10+' Plan Energi 2017'!AI$9,1)</f>
        <v>5.6637476582581794E-2</v>
      </c>
      <c r="Q46" s="650"/>
      <c r="R46" s="650">
        <f>' Plan Energi 2019'!AI$21/IF(' Plan Energi 2019'!AI$14+SUM(' Plan Energi 2019'!AI$17:AI$22)+' Plan Energi 2019'!AI$10+' Plan Energi 2019'!AI$9&gt;0,' Plan Energi 2019'!AI$14+SUM(' Plan Energi 2019'!AI$17:AI$22)+' Plan Energi 2019'!AI$10+' Plan Energi 2019'!AI$9,1)</f>
        <v>5.6637476582581794E-2</v>
      </c>
      <c r="S46" s="650"/>
      <c r="T46" s="726">
        <f>'Bolig, Service, Handel, Byg'!L22</f>
        <v>5.6637476582581794E-2</v>
      </c>
      <c r="U46" s="650"/>
      <c r="V46" s="726">
        <f>'Bolig, Service, Handel, Byg'!N22</f>
        <v>0</v>
      </c>
      <c r="W46" s="650"/>
      <c r="X46" s="604"/>
    </row>
    <row r="47" spans="1:24" x14ac:dyDescent="0.25">
      <c r="A47" s="604" t="s">
        <v>331</v>
      </c>
      <c r="B47" s="650">
        <f>' Plan Energi 2030-S'!AI$22/IF(' Plan Energi 2030-S'!AI$14+SUM(' Plan Energi 2030-S'!AI$17:AI$22)+' Plan Energi 2030-S'!AI$10+' Plan Energi 2030-S'!AI$9&gt;0,' Plan Energi 2030-S'!AI$14+SUM(' Plan Energi 2030-S'!AI$17:AI$22)+' Plan Energi 2030-S'!AI$10+' Plan Energi 2030-S'!AI$9,1)</f>
        <v>1.3462292510782903E-2</v>
      </c>
      <c r="C47" s="650"/>
      <c r="D47" s="650">
        <f>' Plan Energi 2006'!AI$22/IF(' Plan Energi 2006'!AI$14+SUM(' Plan Energi 2006'!AI$17:AI$22)+' Plan Energi 2006'!AI$10+' Plan Energi 2006'!AI$9&gt;0,' Plan Energi 2006'!AI$14+SUM(' Plan Energi 2006'!AI$17:AI$22)+' Plan Energi 2006'!AI$10+' Plan Energi 2006'!AI$9,1)</f>
        <v>7.3472519812173356E-3</v>
      </c>
      <c r="E47" s="650"/>
      <c r="F47" s="650">
        <f>' Plan Energi 2008'!AI$22/IF(' Plan Energi 2008'!AI$14+SUM(' Plan Energi 2008'!AI$17:AI$22)+' Plan Energi 2008'!AI$10+' Plan Energi 2008'!AI$9&gt;0,' Plan Energi 2008'!AI$14+SUM(' Plan Energi 2008'!AI$17:AI$22)+' Plan Energi 2008'!AI$10+' Plan Energi 2008'!AI$9,1)</f>
        <v>8.3957113500937718E-3</v>
      </c>
      <c r="G47" s="650"/>
      <c r="H47" s="650">
        <f>' Plan Energi 2009'!AI$22/IF(' Plan Energi 2009'!AI$14+SUM(' Plan Energi 2009'!AI$17:AI$22)+' Plan Energi 2009'!AI$10+' Plan Energi 2009'!AI$9&gt;0,' Plan Energi 2009'!AI$14+SUM(' Plan Energi 2009'!AI$17:AI$22)+' Plan Energi 2009'!AI$10+' Plan Energi 2009'!AI$9,1)</f>
        <v>9.2728779544248852E-3</v>
      </c>
      <c r="I47" s="650"/>
      <c r="J47" s="650">
        <f>' Plan Energi 2011'!AI$22/IF(' Plan Energi 2011'!AI$14+SUM(' Plan Energi 2011'!AI$17:AI$22)+' Plan Energi 2011'!AI$10+' Plan Energi 2011'!AI$9&gt;0,' Plan Energi 2011'!AI$14+SUM(' Plan Energi 2011'!AI$17:AI$22)+' Plan Energi 2011'!AI$10+' Plan Energi 2011'!AI$9,1)</f>
        <v>1.0021289244497661E-2</v>
      </c>
      <c r="K47" s="650"/>
      <c r="L47" s="650">
        <f>' Plan Energi 2013'!AI$22/IF(' Plan Energi 2013'!AI$14+SUM(' Plan Energi 2013'!AI$17:AI$22)+' Plan Energi 2013'!AI$10+' Plan Energi 2013'!AI$9&gt;0,' Plan Energi 2013'!AI$14+SUM(' Plan Energi 2013'!AI$17:AI$22)+' Plan Energi 2013'!AI$10+' Plan Energi 2013'!AI$9,1)</f>
        <v>1.1117502565350204E-2</v>
      </c>
      <c r="M47" s="650"/>
      <c r="N47" s="650">
        <f>' Plan Energi 2015'!AI$22/IF(' Plan Energi 2015'!AI$14+SUM(' Plan Energi 2015'!AI$17:AI$22)+' Plan Energi 2015'!AI$10+' Plan Energi 2015'!AI$9&gt;0,' Plan Energi 2015'!AI$14+SUM(' Plan Energi 2015'!AI$17:AI$22)+' Plan Energi 2015'!AI$10+' Plan Energi 2015'!AI$9,1)</f>
        <v>1.1693794446078947E-2</v>
      </c>
      <c r="O47" s="650"/>
      <c r="P47" s="650">
        <f>' Plan Energi 2017'!AI$22/IF(' Plan Energi 2017'!AI$14+SUM(' Plan Energi 2017'!AI$17:AI$22)+' Plan Energi 2017'!AI$10+' Plan Energi 2017'!AI$9&gt;0,' Plan Energi 2017'!AI$14+SUM(' Plan Energi 2017'!AI$17:AI$22)+' Plan Energi 2017'!AI$10+' Plan Energi 2017'!AI$9,1)</f>
        <v>1.3462292510782903E-2</v>
      </c>
      <c r="Q47" s="650"/>
      <c r="R47" s="650">
        <f>' Plan Energi 2019'!AI$22/IF(' Plan Energi 2019'!AI$14+SUM(' Plan Energi 2019'!AI$17:AI$22)+' Plan Energi 2019'!AI$10+' Plan Energi 2019'!AI$9&gt;0,' Plan Energi 2019'!AI$14+SUM(' Plan Energi 2019'!AI$17:AI$22)+' Plan Energi 2019'!AI$10+' Plan Energi 2019'!AI$9,1)</f>
        <v>1.3462292510782903E-2</v>
      </c>
      <c r="S47" s="650"/>
      <c r="T47" s="726">
        <f>'Bolig, Service, Handel, Byg'!L23</f>
        <v>1.3462292510782903E-2</v>
      </c>
      <c r="U47" s="650"/>
      <c r="V47" s="726">
        <f>'Bolig, Service, Handel, Byg'!N23</f>
        <v>0</v>
      </c>
      <c r="W47" s="650"/>
      <c r="X47" s="604"/>
    </row>
    <row r="48" spans="1:24" x14ac:dyDescent="0.25">
      <c r="A48" s="604" t="s">
        <v>501</v>
      </c>
      <c r="B48" s="650">
        <f>' Plan Energi 2030-S'!AI$10/IF(' Plan Energi 2030-S'!AI$14+SUM(' Plan Energi 2030-S'!AI$17:AI$22)+' Plan Energi 2030-S'!AI$10+' Plan Energi 2030-S'!AI$9&gt;0,' Plan Energi 2030-S'!AI$14+SUM(' Plan Energi 2030-S'!AI$17:AI$22)+' Plan Energi 2030-S'!AI$10+' Plan Energi 2030-S'!AI$9,1)</f>
        <v>8.8005925151396325E-2</v>
      </c>
      <c r="C48" s="650"/>
      <c r="D48" s="650">
        <f>' Plan Energi 2006'!AI$10/IF(' Plan Energi 2006'!AI$14+SUM(' Plan Energi 2006'!AI$17:AI$22)+' Plan Energi 2006'!AI$10+' Plan Energi 2006'!AI$9&gt;0,' Plan Energi 2006'!AI$14+SUM(' Plan Energi 2006'!AI$17:AI$22)+' Plan Energi 2006'!AI$10+' Plan Energi 2006'!AI$9,1)</f>
        <v>7.0525962556815078E-2</v>
      </c>
      <c r="E48" s="650"/>
      <c r="F48" s="650">
        <f>' Plan Energi 2008'!AI$10/IF(' Plan Energi 2008'!AI$14+SUM(' Plan Energi 2008'!AI$17:AI$22)+' Plan Energi 2008'!AI$10+' Plan Energi 2008'!AI$9&gt;0,' Plan Energi 2008'!AI$14+SUM(' Plan Energi 2008'!AI$17:AI$22)+' Plan Energi 2008'!AI$10+' Plan Energi 2008'!AI$9,1)</f>
        <v>7.4280359333089657E-2</v>
      </c>
      <c r="G48" s="650"/>
      <c r="H48" s="650">
        <f>' Plan Energi 2009'!AI$10/IF(' Plan Energi 2009'!AI$14+SUM(' Plan Energi 2009'!AI$17:AI$22)+' Plan Energi 2009'!AI$10+' Plan Energi 2009'!AI$9&gt;0,' Plan Energi 2009'!AI$14+SUM(' Plan Energi 2009'!AI$17:AI$22)+' Plan Energi 2009'!AI$10+' Plan Energi 2009'!AI$9,1)</f>
        <v>8.2679750001604976E-2</v>
      </c>
      <c r="I48" s="650"/>
      <c r="J48" s="650">
        <f>' Plan Energi 2011'!AI$10/IF(' Plan Energi 2011'!AI$14+SUM(' Plan Energi 2011'!AI$17:AI$22)+' Plan Energi 2011'!AI$10+' Plan Energi 2011'!AI$9&gt;0,' Plan Energi 2011'!AI$14+SUM(' Plan Energi 2011'!AI$17:AI$22)+' Plan Energi 2011'!AI$10+' Plan Energi 2011'!AI$9,1)</f>
        <v>8.225979998409369E-2</v>
      </c>
      <c r="K48" s="650"/>
      <c r="L48" s="650">
        <f>' Plan Energi 2013'!AI$10/IF(' Plan Energi 2013'!AI$14+SUM(' Plan Energi 2013'!AI$17:AI$22)+' Plan Energi 2013'!AI$10+' Plan Energi 2013'!AI$9&gt;0,' Plan Energi 2013'!AI$14+SUM(' Plan Energi 2013'!AI$17:AI$22)+' Plan Energi 2013'!AI$10+' Plan Energi 2013'!AI$9,1)</f>
        <v>8.1424601498182481E-2</v>
      </c>
      <c r="M48" s="650"/>
      <c r="N48" s="650">
        <f>' Plan Energi 2015'!AI$10/IF(' Plan Energi 2015'!AI$14+SUM(' Plan Energi 2015'!AI$17:AI$22)+' Plan Energi 2015'!AI$10+' Plan Energi 2015'!AI$9&gt;0,' Plan Energi 2015'!AI$14+SUM(' Plan Energi 2015'!AI$17:AI$22)+' Plan Energi 2015'!AI$10+' Plan Energi 2015'!AI$9,1)</f>
        <v>7.2873017798424047E-2</v>
      </c>
      <c r="O48" s="650"/>
      <c r="P48" s="650">
        <f>' Plan Energi 2017'!AI$10/IF(' Plan Energi 2017'!AI$14+SUM(' Plan Energi 2017'!AI$17:AI$22)+' Plan Energi 2017'!AI$10+' Plan Energi 2017'!AI$9&gt;0,' Plan Energi 2017'!AI$14+SUM(' Plan Energi 2017'!AI$17:AI$22)+' Plan Energi 2017'!AI$10+' Plan Energi 2017'!AI$9,1)</f>
        <v>8.8005925151396325E-2</v>
      </c>
      <c r="Q48" s="650"/>
      <c r="R48" s="650">
        <f>' Plan Energi 2019'!AI$10/IF(' Plan Energi 2019'!AI$14+SUM(' Plan Energi 2019'!AI$17:AI$22)+' Plan Energi 2019'!AI$10+' Plan Energi 2019'!AI$9&gt;0,' Plan Energi 2019'!AI$14+SUM(' Plan Energi 2019'!AI$17:AI$22)+' Plan Energi 2019'!AI$10+' Plan Energi 2019'!AI$9,1)</f>
        <v>8.8005925151396325E-2</v>
      </c>
      <c r="S48" s="650"/>
      <c r="T48" s="726">
        <f>'Bolig, Service, Handel, Byg'!L24</f>
        <v>8.8005925151396325E-2</v>
      </c>
      <c r="U48" s="650"/>
      <c r="V48" s="726">
        <f>'Bolig, Service, Handel, Byg'!N24</f>
        <v>0.1</v>
      </c>
      <c r="W48" s="650"/>
      <c r="X48" s="604"/>
    </row>
    <row r="49" spans="1:24" x14ac:dyDescent="0.25">
      <c r="A49" s="604" t="s">
        <v>314</v>
      </c>
      <c r="B49" s="650">
        <f>' Plan Energi 2030-S'!AI$9/IF(' Plan Energi 2030-S'!AI$14+SUM(' Plan Energi 2030-S'!AI$17:AI$22)+' Plan Energi 2030-S'!AI$10+' Plan Energi 2030-S'!AI$9&gt;0,' Plan Energi 2030-S'!AI$14+SUM(' Plan Energi 2030-S'!AI$17:AI$22)+' Plan Energi 2030-S'!AI$10+' Plan Energi 2030-S'!AI$9,1)</f>
        <v>1.8733934561930902E-2</v>
      </c>
      <c r="C49" s="650"/>
      <c r="D49" s="650">
        <f>' Plan Energi 2006'!AI$9/IF(' Plan Energi 2006'!AI$14+SUM(' Plan Energi 2006'!AI$17:AI$22)+' Plan Energi 2006'!AI$10+' Plan Energi 2006'!AI$9&gt;0,' Plan Energi 2006'!AI$14+SUM(' Plan Energi 2006'!AI$17:AI$22)+' Plan Energi 2006'!AI$10+' Plan Energi 2006'!AI$9,1)</f>
        <v>1.496005266356684E-2</v>
      </c>
      <c r="E49" s="650"/>
      <c r="F49" s="650">
        <f>' Plan Energi 2008'!AI$9/IF(' Plan Energi 2008'!AI$14+SUM(' Plan Energi 2008'!AI$17:AI$22)+' Plan Energi 2008'!AI$10+' Plan Energi 2008'!AI$9&gt;0,' Plan Energi 2008'!AI$14+SUM(' Plan Energi 2008'!AI$17:AI$22)+' Plan Energi 2008'!AI$10+' Plan Energi 2008'!AI$9,1)</f>
        <v>1.5756439858534182E-2</v>
      </c>
      <c r="G49" s="650"/>
      <c r="H49" s="650">
        <f>' Plan Energi 2009'!AI$9/IF(' Plan Energi 2009'!AI$14+SUM(' Plan Energi 2009'!AI$17:AI$22)+' Plan Energi 2009'!AI$10+' Plan Energi 2009'!AI$9&gt;0,' Plan Energi 2009'!AI$14+SUM(' Plan Energi 2009'!AI$17:AI$22)+' Plan Energi 2009'!AI$10+' Plan Energi 2009'!AI$9,1)</f>
        <v>1.753812878821924E-2</v>
      </c>
      <c r="I49" s="650"/>
      <c r="J49" s="650">
        <f>' Plan Energi 2011'!AI$9/IF(' Plan Energi 2011'!AI$14+SUM(' Plan Energi 2011'!AI$17:AI$22)+' Plan Energi 2011'!AI$10+' Plan Energi 2011'!AI$9&gt;0,' Plan Energi 2011'!AI$14+SUM(' Plan Energi 2011'!AI$17:AI$22)+' Plan Energi 2011'!AI$10+' Plan Energi 2011'!AI$9,1)</f>
        <v>1.7449048481474428E-2</v>
      </c>
      <c r="K49" s="650"/>
      <c r="L49" s="650">
        <f>' Plan Energi 2013'!AI$9/IF(' Plan Energi 2013'!AI$14+SUM(' Plan Energi 2013'!AI$17:AI$22)+' Plan Energi 2013'!AI$10+' Plan Energi 2013'!AI$9&gt;0,' Plan Energi 2013'!AI$14+SUM(' Plan Energi 2013'!AI$17:AI$22)+' Plan Energi 2013'!AI$10+' Plan Energi 2013'!AI$9,1)</f>
        <v>1.7271885166281139E-2</v>
      </c>
      <c r="M49" s="650"/>
      <c r="N49" s="650">
        <f>' Plan Energi 2015'!AI$9/IF(' Plan Energi 2015'!AI$14+SUM(' Plan Energi 2015'!AI$17:AI$22)+' Plan Energi 2015'!AI$10+' Plan Energi 2015'!AI$9&gt;0,' Plan Energi 2015'!AI$14+SUM(' Plan Energi 2015'!AI$17:AI$22)+' Plan Energi 2015'!AI$10+' Plan Energi 2015'!AI$9,1)</f>
        <v>1.5587811293780545E-2</v>
      </c>
      <c r="O49" s="650"/>
      <c r="P49" s="650">
        <f>' Plan Energi 2017'!AI$9/IF(' Plan Energi 2017'!AI$14+SUM(' Plan Energi 2017'!AI$17:AI$22)+' Plan Energi 2017'!AI$10+' Plan Energi 2017'!AI$9&gt;0,' Plan Energi 2017'!AI$14+SUM(' Plan Energi 2017'!AI$17:AI$22)+' Plan Energi 2017'!AI$10+' Plan Energi 2017'!AI$9,1)</f>
        <v>1.8733934561930902E-2</v>
      </c>
      <c r="Q49" s="650"/>
      <c r="R49" s="650">
        <f>' Plan Energi 2019'!AI$9/IF(' Plan Energi 2019'!AI$14+SUM(' Plan Energi 2019'!AI$17:AI$22)+' Plan Energi 2019'!AI$10+' Plan Energi 2019'!AI$9&gt;0,' Plan Energi 2019'!AI$14+SUM(' Plan Energi 2019'!AI$17:AI$22)+' Plan Energi 2019'!AI$10+' Plan Energi 2019'!AI$9,1)</f>
        <v>1.8733934561930902E-2</v>
      </c>
      <c r="S49" s="650"/>
      <c r="T49" s="726">
        <f>'Bolig, Service, Handel, Byg'!L25</f>
        <v>1.8733934561930902E-2</v>
      </c>
      <c r="U49" s="650"/>
      <c r="V49" s="726">
        <f>'Bolig, Service, Handel, Byg'!N25</f>
        <v>0</v>
      </c>
      <c r="W49" s="650"/>
      <c r="X49" s="604"/>
    </row>
    <row r="50" spans="1:24" x14ac:dyDescent="0.25">
      <c r="A50" s="633" t="s">
        <v>489</v>
      </c>
      <c r="B50" s="650"/>
      <c r="C50" s="650"/>
      <c r="D50" s="650"/>
      <c r="E50" s="650"/>
      <c r="F50" s="650"/>
      <c r="G50" s="650"/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  <c r="V50" s="650"/>
      <c r="W50" s="650"/>
      <c r="X50" s="604"/>
    </row>
    <row r="51" spans="1:24" x14ac:dyDescent="0.25">
      <c r="A51" s="604" t="s">
        <v>351</v>
      </c>
      <c r="B51" s="650">
        <f>' Plan Energi 2030-S'!AI$39/IF(' Plan Energi 2030-S'!AI$39+' Plan Energi 2030-S'!AI$43+' Plan Energi 2030-S'!AI$52+' Plan Energi 2030-S'!AI$55+' Plan Energi 2030-S'!AI$62+' Plan Energi 2030-S'!AI$71&gt;0,' Plan Energi 2030-S'!AI$39+' Plan Energi 2030-S'!AI$43+' Plan Energi 2030-S'!AI$52+' Plan Energi 2030-S'!AI$55+' Plan Energi 2030-S'!AI$62+' Plan Energi 2030-S'!AI$71,1)</f>
        <v>0</v>
      </c>
      <c r="C51" s="650"/>
      <c r="D51" s="650">
        <f>' Plan Energi 2006'!AI$39/IF(' Plan Energi 2006'!AI$39+' Plan Energi 2006'!AI$43+' Plan Energi 2006'!AI$52+' Plan Energi 2006'!AI$55+' Plan Energi 2006'!AI$62+' Plan Energi 2006'!AI$71&gt;0,' Plan Energi 2006'!AI$39+' Plan Energi 2006'!AI$43+' Plan Energi 2006'!AI$52+' Plan Energi 2006'!AI$55+' Plan Energi 2006'!AI$62+' Plan Energi 2006'!AI$71,1)</f>
        <v>0</v>
      </c>
      <c r="E51" s="650"/>
      <c r="F51" s="650">
        <f>' Plan Energi 2008'!AI$39/IF(' Plan Energi 2008'!AI$39+' Plan Energi 2008'!AI$43+' Plan Energi 2008'!AI$52+' Plan Energi 2008'!AI$55+' Plan Energi 2008'!AI$62+' Plan Energi 2008'!AI$71&gt;0,' Plan Energi 2008'!AI$39+' Plan Energi 2008'!AI$43+' Plan Energi 2008'!AI$52+' Plan Energi 2008'!AI$55+' Plan Energi 2008'!AI$62+' Plan Energi 2008'!AI$71,1)</f>
        <v>0</v>
      </c>
      <c r="G51" s="650"/>
      <c r="H51" s="650">
        <f>' Plan Energi 2009'!AI$39/IF(' Plan Energi 2009'!AI$39+' Plan Energi 2009'!AI$43+' Plan Energi 2009'!AI$52+' Plan Energi 2009'!AI$55+' Plan Energi 2009'!AI$62+' Plan Energi 2009'!AI$71&gt;0,' Plan Energi 2009'!AI$39+' Plan Energi 2009'!AI$43+' Plan Energi 2009'!AI$52+' Plan Energi 2009'!AI$55+' Plan Energi 2009'!AI$62+' Plan Energi 2009'!AI$71,1)</f>
        <v>0</v>
      </c>
      <c r="I51" s="650"/>
      <c r="J51" s="650">
        <f>' Plan Energi 2011'!AI$39/IF(' Plan Energi 2011'!AI$39+' Plan Energi 2011'!AI$43+' Plan Energi 2011'!AI$52+' Plan Energi 2011'!AI$55+' Plan Energi 2011'!AI$62+' Plan Energi 2011'!AI$71&gt;0,' Plan Energi 2011'!AI$39+' Plan Energi 2011'!AI$43+' Plan Energi 2011'!AI$52+' Plan Energi 2011'!AI$55+' Plan Energi 2011'!AI$62+' Plan Energi 2011'!AI$71,1)</f>
        <v>0</v>
      </c>
      <c r="K51" s="650"/>
      <c r="L51" s="650">
        <f>' Plan Energi 2013'!AI$39/IF(' Plan Energi 2013'!AI$39+' Plan Energi 2013'!AI$43+' Plan Energi 2013'!AI$52+' Plan Energi 2013'!AI$55+' Plan Energi 2013'!AI$62+' Plan Energi 2013'!AI$71&gt;0,' Plan Energi 2013'!AI$39+' Plan Energi 2013'!AI$43+' Plan Energi 2013'!AI$52+' Plan Energi 2013'!AI$55+' Plan Energi 2013'!AI$62+' Plan Energi 2013'!AI$71,1)</f>
        <v>0</v>
      </c>
      <c r="M51" s="650"/>
      <c r="N51" s="650">
        <f>' Plan Energi 2015'!AI$39/IF(' Plan Energi 2015'!AI$39+' Plan Energi 2015'!AI$43+' Plan Energi 2015'!AI$52+' Plan Energi 2015'!AI$55+' Plan Energi 2015'!AI$62+' Plan Energi 2015'!AI$71&gt;0,' Plan Energi 2015'!AI$39+' Plan Energi 2015'!AI$43+' Plan Energi 2015'!AI$52+' Plan Energi 2015'!AI$55+' Plan Energi 2015'!AI$62+' Plan Energi 2015'!AI$71,1)</f>
        <v>0</v>
      </c>
      <c r="O51" s="650"/>
      <c r="P51" s="650">
        <f>' Plan Energi 2017'!AI$39/IF(' Plan Energi 2017'!AI$39+' Plan Energi 2017'!AI$43+' Plan Energi 2017'!AI$52+' Plan Energi 2017'!AI$55+' Plan Energi 2017'!AI$62+' Plan Energi 2017'!AI$71&gt;0,' Plan Energi 2017'!AI$39+' Plan Energi 2017'!AI$43+' Plan Energi 2017'!AI$52+' Plan Energi 2017'!AI$55+' Plan Energi 2017'!AI$62+' Plan Energi 2017'!AI$71,1)</f>
        <v>0</v>
      </c>
      <c r="Q51" s="650"/>
      <c r="R51" s="650">
        <f>' Plan Energi 2019'!AI$39/IF(' Plan Energi 2019'!AI$39+' Plan Energi 2019'!AI$43+' Plan Energi 2019'!AI$52+' Plan Energi 2019'!AI$55+' Plan Energi 2019'!AI$62+' Plan Energi 2019'!AI$71&gt;0,' Plan Energi 2019'!AI$39+' Plan Energi 2019'!AI$43+' Plan Energi 2019'!AI$52+' Plan Energi 2019'!AI$55+' Plan Energi 2019'!AI$62+' Plan Energi 2019'!AI$71,1)</f>
        <v>0</v>
      </c>
      <c r="S51" s="650"/>
      <c r="T51" s="727">
        <f>Fjernvarme!J7</f>
        <v>0</v>
      </c>
      <c r="U51" s="650"/>
      <c r="V51" s="727">
        <f>Fjernvarme!L7</f>
        <v>0</v>
      </c>
      <c r="W51" s="650"/>
      <c r="X51" s="604"/>
    </row>
    <row r="52" spans="1:24" x14ac:dyDescent="0.25">
      <c r="A52" s="604" t="s">
        <v>352</v>
      </c>
      <c r="B52" s="650">
        <f>' Plan Energi 2030-S'!AI$43/IF(' Plan Energi 2030-S'!AI$39+' Plan Energi 2030-S'!AI$43+' Plan Energi 2030-S'!AI$52+' Plan Energi 2030-S'!AI$55+' Plan Energi 2030-S'!AI$62+' Plan Energi 2030-S'!AI$71&gt;0,' Plan Energi 2030-S'!AI$39+' Plan Energi 2030-S'!AI$43+' Plan Energi 2030-S'!AI$52+' Plan Energi 2030-S'!AI$55+' Plan Energi 2030-S'!AI$62+' Plan Energi 2030-S'!AI$71,1)</f>
        <v>0</v>
      </c>
      <c r="C52" s="650"/>
      <c r="D52" s="650">
        <f>' Plan Energi 2006'!AI$43/IF(' Plan Energi 2006'!AI$39+' Plan Energi 2006'!AI$43+' Plan Energi 2006'!AI$52+' Plan Energi 2006'!AI$55+' Plan Energi 2006'!AI$62+' Plan Energi 2006'!AI$71&gt;0,' Plan Energi 2006'!AI$39+' Plan Energi 2006'!AI$43+' Plan Energi 2006'!AI$52+' Plan Energi 2006'!AI$55+' Plan Energi 2006'!AI$62+' Plan Energi 2006'!AI$71,1)</f>
        <v>0</v>
      </c>
      <c r="E52" s="650"/>
      <c r="F52" s="650">
        <f>' Plan Energi 2008'!AI$43/IF(' Plan Energi 2008'!AI$39+' Plan Energi 2008'!AI$43+' Plan Energi 2008'!AI$52+' Plan Energi 2008'!AI$55+' Plan Energi 2008'!AI$62+' Plan Energi 2008'!AI$71&gt;0,' Plan Energi 2008'!AI$39+' Plan Energi 2008'!AI$43+' Plan Energi 2008'!AI$52+' Plan Energi 2008'!AI$55+' Plan Energi 2008'!AI$62+' Plan Energi 2008'!AI$71,1)</f>
        <v>0</v>
      </c>
      <c r="G52" s="650"/>
      <c r="H52" s="650">
        <f>' Plan Energi 2009'!AI$43/IF(' Plan Energi 2009'!AI$39+' Plan Energi 2009'!AI$43+' Plan Energi 2009'!AI$52+' Plan Energi 2009'!AI$55+' Plan Energi 2009'!AI$62+' Plan Energi 2009'!AI$71&gt;0,' Plan Energi 2009'!AI$39+' Plan Energi 2009'!AI$43+' Plan Energi 2009'!AI$52+' Plan Energi 2009'!AI$55+' Plan Energi 2009'!AI$62+' Plan Energi 2009'!AI$71,1)</f>
        <v>0</v>
      </c>
      <c r="I52" s="650"/>
      <c r="J52" s="650">
        <f>' Plan Energi 2011'!AI$43/IF(' Plan Energi 2011'!AI$39+' Plan Energi 2011'!AI$43+' Plan Energi 2011'!AI$52+' Plan Energi 2011'!AI$55+' Plan Energi 2011'!AI$62+' Plan Energi 2011'!AI$71&gt;0,' Plan Energi 2011'!AI$39+' Plan Energi 2011'!AI$43+' Plan Energi 2011'!AI$52+' Plan Energi 2011'!AI$55+' Plan Energi 2011'!AI$62+' Plan Energi 2011'!AI$71,1)</f>
        <v>0</v>
      </c>
      <c r="K52" s="650"/>
      <c r="L52" s="650">
        <f>' Plan Energi 2013'!AI$43/IF(' Plan Energi 2013'!AI$39+' Plan Energi 2013'!AI$43+' Plan Energi 2013'!AI$52+' Plan Energi 2013'!AI$55+' Plan Energi 2013'!AI$62+' Plan Energi 2013'!AI$71&gt;0,' Plan Energi 2013'!AI$39+' Plan Energi 2013'!AI$43+' Plan Energi 2013'!AI$52+' Plan Energi 2013'!AI$55+' Plan Energi 2013'!AI$62+' Plan Energi 2013'!AI$71,1)</f>
        <v>0</v>
      </c>
      <c r="M52" s="650"/>
      <c r="N52" s="650">
        <f>' Plan Energi 2015'!AI$43/IF(' Plan Energi 2015'!AI$39+' Plan Energi 2015'!AI$43+' Plan Energi 2015'!AI$52+' Plan Energi 2015'!AI$55+' Plan Energi 2015'!AI$62+' Plan Energi 2015'!AI$71&gt;0,' Plan Energi 2015'!AI$39+' Plan Energi 2015'!AI$43+' Plan Energi 2015'!AI$52+' Plan Energi 2015'!AI$55+' Plan Energi 2015'!AI$62+' Plan Energi 2015'!AI$71,1)</f>
        <v>0</v>
      </c>
      <c r="O52" s="650"/>
      <c r="P52" s="650">
        <f>' Plan Energi 2017'!AI$43/IF(' Plan Energi 2017'!AI$39+' Plan Energi 2017'!AI$43+' Plan Energi 2017'!AI$52+' Plan Energi 2017'!AI$55+' Plan Energi 2017'!AI$62+' Plan Energi 2017'!AI$71&gt;0,' Plan Energi 2017'!AI$39+' Plan Energi 2017'!AI$43+' Plan Energi 2017'!AI$52+' Plan Energi 2017'!AI$55+' Plan Energi 2017'!AI$62+' Plan Energi 2017'!AI$71,1)</f>
        <v>0</v>
      </c>
      <c r="Q52" s="650"/>
      <c r="R52" s="650">
        <f>' Plan Energi 2019'!AI$43/IF(' Plan Energi 2019'!AI$39+' Plan Energi 2019'!AI$43+' Plan Energi 2019'!AI$52+' Plan Energi 2019'!AI$55+' Plan Energi 2019'!AI$62+' Plan Energi 2019'!AI$71&gt;0,' Plan Energi 2019'!AI$39+' Plan Energi 2019'!AI$43+' Plan Energi 2019'!AI$52+' Plan Energi 2019'!AI$55+' Plan Energi 2019'!AI$62+' Plan Energi 2019'!AI$71,1)</f>
        <v>0</v>
      </c>
      <c r="S52" s="650"/>
      <c r="T52" s="727">
        <f>Fjernvarme!J8</f>
        <v>0</v>
      </c>
      <c r="U52" s="650"/>
      <c r="V52" s="727">
        <f>Fjernvarme!L8</f>
        <v>0</v>
      </c>
      <c r="W52" s="650"/>
      <c r="X52" s="604"/>
    </row>
    <row r="53" spans="1:24" x14ac:dyDescent="0.25">
      <c r="A53" s="604" t="s">
        <v>353</v>
      </c>
      <c r="B53" s="650">
        <f>' Plan Energi 2030-S'!AI$52/IF(' Plan Energi 2030-S'!AI$39+' Plan Energi 2030-S'!AI$43+' Plan Energi 2030-S'!AI$52+' Plan Energi 2030-S'!AI$55+' Plan Energi 2030-S'!AI$62+' Plan Energi 2030-S'!AI$71&gt;0,' Plan Energi 2030-S'!AI$39+' Plan Energi 2030-S'!AI$43+' Plan Energi 2030-S'!AI$52+' Plan Energi 2030-S'!AI$55+' Plan Energi 2030-S'!AI$62+' Plan Energi 2030-S'!AI$71,1)</f>
        <v>0</v>
      </c>
      <c r="C53" s="650"/>
      <c r="D53" s="650">
        <f>' Plan Energi 2006'!AI$52/IF(' Plan Energi 2006'!AI$39+' Plan Energi 2006'!AI$43+' Plan Energi 2006'!AI$52+' Plan Energi 2006'!AI$55+' Plan Energi 2006'!AI$62+' Plan Energi 2006'!AI$71&gt;0,' Plan Energi 2006'!AI$39+' Plan Energi 2006'!AI$43+' Plan Energi 2006'!AI$52+' Plan Energi 2006'!AI$55+' Plan Energi 2006'!AI$62+' Plan Energi 2006'!AI$71,1)</f>
        <v>0</v>
      </c>
      <c r="E53" s="650"/>
      <c r="F53" s="650">
        <f>' Plan Energi 2008'!AI$52/IF(' Plan Energi 2008'!AI$39+' Plan Energi 2008'!AI$43+' Plan Energi 2008'!AI$52+' Plan Energi 2008'!AI$55+' Plan Energi 2008'!AI$62+' Plan Energi 2008'!AI$71&gt;0,' Plan Energi 2008'!AI$39+' Plan Energi 2008'!AI$43+' Plan Energi 2008'!AI$52+' Plan Energi 2008'!AI$55+' Plan Energi 2008'!AI$62+' Plan Energi 2008'!AI$71,1)</f>
        <v>0</v>
      </c>
      <c r="G53" s="650"/>
      <c r="H53" s="650">
        <f>' Plan Energi 2009'!AI$52/IF(' Plan Energi 2009'!AI$39+' Plan Energi 2009'!AI$43+' Plan Energi 2009'!AI$52+' Plan Energi 2009'!AI$55+' Plan Energi 2009'!AI$62+' Plan Energi 2009'!AI$71&gt;0,' Plan Energi 2009'!AI$39+' Plan Energi 2009'!AI$43+' Plan Energi 2009'!AI$52+' Plan Energi 2009'!AI$55+' Plan Energi 2009'!AI$62+' Plan Energi 2009'!AI$71,1)</f>
        <v>0</v>
      </c>
      <c r="I53" s="650"/>
      <c r="J53" s="650">
        <f>' Plan Energi 2011'!AI$52/IF(' Plan Energi 2011'!AI$39+' Plan Energi 2011'!AI$43+' Plan Energi 2011'!AI$52+' Plan Energi 2011'!AI$55+' Plan Energi 2011'!AI$62+' Plan Energi 2011'!AI$71&gt;0,' Plan Energi 2011'!AI$39+' Plan Energi 2011'!AI$43+' Plan Energi 2011'!AI$52+' Plan Energi 2011'!AI$55+' Plan Energi 2011'!AI$62+' Plan Energi 2011'!AI$71,1)</f>
        <v>0</v>
      </c>
      <c r="K53" s="650"/>
      <c r="L53" s="650">
        <f>' Plan Energi 2013'!AI$52/IF(' Plan Energi 2013'!AI$39+' Plan Energi 2013'!AI$43+' Plan Energi 2013'!AI$52+' Plan Energi 2013'!AI$55+' Plan Energi 2013'!AI$62+' Plan Energi 2013'!AI$71&gt;0,' Plan Energi 2013'!AI$39+' Plan Energi 2013'!AI$43+' Plan Energi 2013'!AI$52+' Plan Energi 2013'!AI$55+' Plan Energi 2013'!AI$62+' Plan Energi 2013'!AI$71,1)</f>
        <v>0</v>
      </c>
      <c r="M53" s="650"/>
      <c r="N53" s="650">
        <f>' Plan Energi 2015'!AI$52/IF(' Plan Energi 2015'!AI$39+' Plan Energi 2015'!AI$43+' Plan Energi 2015'!AI$52+' Plan Energi 2015'!AI$55+' Plan Energi 2015'!AI$62+' Plan Energi 2015'!AI$71&gt;0,' Plan Energi 2015'!AI$39+' Plan Energi 2015'!AI$43+' Plan Energi 2015'!AI$52+' Plan Energi 2015'!AI$55+' Plan Energi 2015'!AI$62+' Plan Energi 2015'!AI$71,1)</f>
        <v>0</v>
      </c>
      <c r="O53" s="650"/>
      <c r="P53" s="650">
        <f>' Plan Energi 2017'!AI$52/IF(' Plan Energi 2017'!AI$39+' Plan Energi 2017'!AI$43+' Plan Energi 2017'!AI$52+' Plan Energi 2017'!AI$55+' Plan Energi 2017'!AI$62+' Plan Energi 2017'!AI$71&gt;0,' Plan Energi 2017'!AI$39+' Plan Energi 2017'!AI$43+' Plan Energi 2017'!AI$52+' Plan Energi 2017'!AI$55+' Plan Energi 2017'!AI$62+' Plan Energi 2017'!AI$71,1)</f>
        <v>0</v>
      </c>
      <c r="Q53" s="650"/>
      <c r="R53" s="650">
        <f>' Plan Energi 2019'!AI$52/IF(' Plan Energi 2019'!AI$39+' Plan Energi 2019'!AI$43+' Plan Energi 2019'!AI$52+' Plan Energi 2019'!AI$55+' Plan Energi 2019'!AI$62+' Plan Energi 2019'!AI$71&gt;0,' Plan Energi 2019'!AI$39+' Plan Energi 2019'!AI$43+' Plan Energi 2019'!AI$52+' Plan Energi 2019'!AI$55+' Plan Energi 2019'!AI$62+' Plan Energi 2019'!AI$71,1)</f>
        <v>0</v>
      </c>
      <c r="S53" s="650"/>
      <c r="T53" s="727">
        <f>Fjernvarme!J9</f>
        <v>0</v>
      </c>
      <c r="U53" s="650"/>
      <c r="V53" s="727">
        <f>Fjernvarme!L9</f>
        <v>0</v>
      </c>
      <c r="W53" s="650"/>
      <c r="X53" s="604"/>
    </row>
    <row r="54" spans="1:24" x14ac:dyDescent="0.25">
      <c r="A54" s="604" t="s">
        <v>354</v>
      </c>
      <c r="B54" s="650">
        <f>' Plan Energi 2030-S'!AI$55/IF(' Plan Energi 2030-S'!AI$39+' Plan Energi 2030-S'!AI$43+' Plan Energi 2030-S'!AI$52+' Plan Energi 2030-S'!AI$55+' Plan Energi 2030-S'!AI$62+' Plan Energi 2030-S'!AI$71&gt;0,' Plan Energi 2030-S'!AI$39+' Plan Energi 2030-S'!AI$43+' Plan Energi 2030-S'!AI$52+' Plan Energi 2030-S'!AI$55+' Plan Energi 2030-S'!AI$62+' Plan Energi 2030-S'!AI$71,1)</f>
        <v>0</v>
      </c>
      <c r="C54" s="650"/>
      <c r="D54" s="650">
        <f>' Plan Energi 2006'!AI$55/IF(' Plan Energi 2006'!AI$39+' Plan Energi 2006'!AI$43+' Plan Energi 2006'!AI$52+' Plan Energi 2006'!AI$55+' Plan Energi 2006'!AI$62+' Plan Energi 2006'!AI$71&gt;0,' Plan Energi 2006'!AI$39+' Plan Energi 2006'!AI$43+' Plan Energi 2006'!AI$52+' Plan Energi 2006'!AI$55+' Plan Energi 2006'!AI$62+' Plan Energi 2006'!AI$71,1)</f>
        <v>0</v>
      </c>
      <c r="E54" s="650"/>
      <c r="F54" s="650">
        <f>' Plan Energi 2008'!AI$55/IF(' Plan Energi 2008'!AI$39+' Plan Energi 2008'!AI$43+' Plan Energi 2008'!AI$52+' Plan Energi 2008'!AI$55+' Plan Energi 2008'!AI$62+' Plan Energi 2008'!AI$71&gt;0,' Plan Energi 2008'!AI$39+' Plan Energi 2008'!AI$43+' Plan Energi 2008'!AI$52+' Plan Energi 2008'!AI$55+' Plan Energi 2008'!AI$62+' Plan Energi 2008'!AI$71,1)</f>
        <v>0</v>
      </c>
      <c r="G54" s="650"/>
      <c r="H54" s="650">
        <f>' Plan Energi 2009'!AI$55/IF(' Plan Energi 2009'!AI$39+' Plan Energi 2009'!AI$43+' Plan Energi 2009'!AI$52+' Plan Energi 2009'!AI$55+' Plan Energi 2009'!AI$62+' Plan Energi 2009'!AI$71&gt;0,' Plan Energi 2009'!AI$39+' Plan Energi 2009'!AI$43+' Plan Energi 2009'!AI$52+' Plan Energi 2009'!AI$55+' Plan Energi 2009'!AI$62+' Plan Energi 2009'!AI$71,1)</f>
        <v>0</v>
      </c>
      <c r="I54" s="650"/>
      <c r="J54" s="650">
        <f>' Plan Energi 2011'!AI$55/IF(' Plan Energi 2011'!AI$39+' Plan Energi 2011'!AI$43+' Plan Energi 2011'!AI$52+' Plan Energi 2011'!AI$55+' Plan Energi 2011'!AI$62+' Plan Energi 2011'!AI$71&gt;0,' Plan Energi 2011'!AI$39+' Plan Energi 2011'!AI$43+' Plan Energi 2011'!AI$52+' Plan Energi 2011'!AI$55+' Plan Energi 2011'!AI$62+' Plan Energi 2011'!AI$71,1)</f>
        <v>0</v>
      </c>
      <c r="K54" s="650"/>
      <c r="L54" s="650">
        <f>' Plan Energi 2013'!AI$55/IF(' Plan Energi 2013'!AI$39+' Plan Energi 2013'!AI$43+' Plan Energi 2013'!AI$52+' Plan Energi 2013'!AI$55+' Plan Energi 2013'!AI$62+' Plan Energi 2013'!AI$71&gt;0,' Plan Energi 2013'!AI$39+' Plan Energi 2013'!AI$43+' Plan Energi 2013'!AI$52+' Plan Energi 2013'!AI$55+' Plan Energi 2013'!AI$62+' Plan Energi 2013'!AI$71,1)</f>
        <v>0</v>
      </c>
      <c r="M54" s="650"/>
      <c r="N54" s="650">
        <f>' Plan Energi 2015'!AI$55/IF(' Plan Energi 2015'!AI$39+' Plan Energi 2015'!AI$43+' Plan Energi 2015'!AI$52+' Plan Energi 2015'!AI$55+' Plan Energi 2015'!AI$62+' Plan Energi 2015'!AI$71&gt;0,' Plan Energi 2015'!AI$39+' Plan Energi 2015'!AI$43+' Plan Energi 2015'!AI$52+' Plan Energi 2015'!AI$55+' Plan Energi 2015'!AI$62+' Plan Energi 2015'!AI$71,1)</f>
        <v>0</v>
      </c>
      <c r="O54" s="650"/>
      <c r="P54" s="650">
        <f>' Plan Energi 2017'!AI$55/IF(' Plan Energi 2017'!AI$39+' Plan Energi 2017'!AI$43+' Plan Energi 2017'!AI$52+' Plan Energi 2017'!AI$55+' Plan Energi 2017'!AI$62+' Plan Energi 2017'!AI$71&gt;0,' Plan Energi 2017'!AI$39+' Plan Energi 2017'!AI$43+' Plan Energi 2017'!AI$52+' Plan Energi 2017'!AI$55+' Plan Energi 2017'!AI$62+' Plan Energi 2017'!AI$71,1)</f>
        <v>0</v>
      </c>
      <c r="Q54" s="650"/>
      <c r="R54" s="650">
        <f>' Plan Energi 2019'!AI$55/IF(' Plan Energi 2019'!AI$39+' Plan Energi 2019'!AI$43+' Plan Energi 2019'!AI$52+' Plan Energi 2019'!AI$55+' Plan Energi 2019'!AI$62+' Plan Energi 2019'!AI$71&gt;0,' Plan Energi 2019'!AI$39+' Plan Energi 2019'!AI$43+' Plan Energi 2019'!AI$52+' Plan Energi 2019'!AI$55+' Plan Energi 2019'!AI$62+' Plan Energi 2019'!AI$71,1)</f>
        <v>0</v>
      </c>
      <c r="S54" s="650"/>
      <c r="T54" s="727">
        <f>Fjernvarme!J10</f>
        <v>0</v>
      </c>
      <c r="U54" s="650"/>
      <c r="V54" s="727">
        <f>Fjernvarme!L10</f>
        <v>0</v>
      </c>
      <c r="W54" s="650"/>
      <c r="X54" s="604"/>
    </row>
    <row r="55" spans="1:24" x14ac:dyDescent="0.25">
      <c r="A55" s="604" t="s">
        <v>199</v>
      </c>
      <c r="B55" s="650">
        <f>' Plan Energi 2030-S'!AI$62/IF(' Plan Energi 2030-S'!AI$39+' Plan Energi 2030-S'!AI$43+' Plan Energi 2030-S'!AI$52+' Plan Energi 2030-S'!AI$55+' Plan Energi 2030-S'!AI$62+' Plan Energi 2030-S'!AI$71&gt;0,' Plan Energi 2030-S'!AI$39+' Plan Energi 2030-S'!AI$43+' Plan Energi 2030-S'!AI$52+' Plan Energi 2030-S'!AI$55+' Plan Energi 2030-S'!AI$62+' Plan Energi 2030-S'!AI$71,1)</f>
        <v>0.81422293248102284</v>
      </c>
      <c r="C55" s="650"/>
      <c r="D55" s="650">
        <f>' Plan Energi 2006'!AI$62/IF(' Plan Energi 2006'!AI$39+' Plan Energi 2006'!AI$43+' Plan Energi 2006'!AI$52+' Plan Energi 2006'!AI$55+' Plan Energi 2006'!AI$62+' Plan Energi 2006'!AI$71&gt;0,' Plan Energi 2006'!AI$39+' Plan Energi 2006'!AI$43+' Plan Energi 2006'!AI$52+' Plan Energi 2006'!AI$55+' Plan Energi 2006'!AI$62+' Plan Energi 2006'!AI$71,1)</f>
        <v>0.80201498808706606</v>
      </c>
      <c r="E55" s="650"/>
      <c r="F55" s="650">
        <f>' Plan Energi 2008'!AI$62/IF(' Plan Energi 2008'!AI$39+' Plan Energi 2008'!AI$43+' Plan Energi 2008'!AI$52+' Plan Energi 2008'!AI$55+' Plan Energi 2008'!AI$62+' Plan Energi 2008'!AI$71&gt;0,' Plan Energi 2008'!AI$39+' Plan Energi 2008'!AI$43+' Plan Energi 2008'!AI$52+' Plan Energi 2008'!AI$55+' Plan Energi 2008'!AI$62+' Plan Energi 2008'!AI$71,1)</f>
        <v>0.82968314293276568</v>
      </c>
      <c r="G55" s="650"/>
      <c r="H55" s="650">
        <f>' Plan Energi 2009'!AI$62/IF(' Plan Energi 2009'!AI$39+' Plan Energi 2009'!AI$43+' Plan Energi 2009'!AI$52+' Plan Energi 2009'!AI$55+' Plan Energi 2009'!AI$62+' Plan Energi 2009'!AI$71&gt;0,' Plan Energi 2009'!AI$39+' Plan Energi 2009'!AI$43+' Plan Energi 2009'!AI$52+' Plan Energi 2009'!AI$55+' Plan Energi 2009'!AI$62+' Plan Energi 2009'!AI$71,1)</f>
        <v>0.84029857568292787</v>
      </c>
      <c r="I55" s="650"/>
      <c r="J55" s="650">
        <f>' Plan Energi 2011'!AI$62/IF(' Plan Energi 2011'!AI$39+' Plan Energi 2011'!AI$43+' Plan Energi 2011'!AI$52+' Plan Energi 2011'!AI$55+' Plan Energi 2011'!AI$62+' Plan Energi 2011'!AI$71&gt;0,' Plan Energi 2011'!AI$39+' Plan Energi 2011'!AI$43+' Plan Energi 2011'!AI$52+' Plan Energi 2011'!AI$55+' Plan Energi 2011'!AI$62+' Plan Energi 2011'!AI$71,1)</f>
        <v>0.84428002689279003</v>
      </c>
      <c r="K55" s="650"/>
      <c r="L55" s="650">
        <f>' Plan Energi 2013'!AI$62/IF(' Plan Energi 2013'!AI$39+' Plan Energi 2013'!AI$43+' Plan Energi 2013'!AI$52+' Plan Energi 2013'!AI$55+' Plan Energi 2013'!AI$62+' Plan Energi 2013'!AI$71&gt;0,' Plan Energi 2013'!AI$39+' Plan Energi 2013'!AI$43+' Plan Energi 2013'!AI$52+' Plan Energi 2013'!AI$55+' Plan Energi 2013'!AI$62+' Plan Energi 2013'!AI$71,1)</f>
        <v>0.84952884213808344</v>
      </c>
      <c r="M55" s="650"/>
      <c r="N55" s="650">
        <f>' Plan Energi 2015'!AI$62/IF(' Plan Energi 2015'!AI$39+' Plan Energi 2015'!AI$43+' Plan Energi 2015'!AI$52+' Plan Energi 2015'!AI$55+' Plan Energi 2015'!AI$62+' Plan Energi 2015'!AI$71&gt;0,' Plan Energi 2015'!AI$39+' Plan Energi 2015'!AI$43+' Plan Energi 2015'!AI$52+' Plan Energi 2015'!AI$55+' Plan Energi 2015'!AI$62+' Plan Energi 2015'!AI$71,1)</f>
        <v>0.80918601530058065</v>
      </c>
      <c r="O55" s="650"/>
      <c r="P55" s="650">
        <f>' Plan Energi 2017'!AI$62/IF(' Plan Energi 2017'!AI$39+' Plan Energi 2017'!AI$43+' Plan Energi 2017'!AI$52+' Plan Energi 2017'!AI$55+' Plan Energi 2017'!AI$62+' Plan Energi 2017'!AI$71&gt;0,' Plan Energi 2017'!AI$39+' Plan Energi 2017'!AI$43+' Plan Energi 2017'!AI$52+' Plan Energi 2017'!AI$55+' Plan Energi 2017'!AI$62+' Plan Energi 2017'!AI$71,1)</f>
        <v>0.81418118308542342</v>
      </c>
      <c r="Q55" s="650"/>
      <c r="R55" s="650">
        <f>' Plan Energi 2019'!AI$62/IF(' Plan Energi 2019'!AI$39+' Plan Energi 2019'!AI$43+' Plan Energi 2019'!AI$52+' Plan Energi 2019'!AI$55+' Plan Energi 2019'!AI$62+' Plan Energi 2019'!AI$71&gt;0,' Plan Energi 2019'!AI$39+' Plan Energi 2019'!AI$43+' Plan Energi 2019'!AI$52+' Plan Energi 2019'!AI$55+' Plan Energi 2019'!AI$62+' Plan Energi 2019'!AI$71,1)</f>
        <v>0.81418118308542342</v>
      </c>
      <c r="S55" s="650"/>
      <c r="T55" s="727">
        <f>Fjernvarme!J11</f>
        <v>0.81422293248102273</v>
      </c>
      <c r="U55" s="650"/>
      <c r="V55" s="727">
        <f>Fjernvarme!L11</f>
        <v>0.81422293248102273</v>
      </c>
      <c r="W55" s="650"/>
      <c r="X55" s="604"/>
    </row>
    <row r="56" spans="1:24" x14ac:dyDescent="0.25">
      <c r="A56" s="604" t="s">
        <v>493</v>
      </c>
      <c r="B56" s="650">
        <f>' Plan Energi 2030-S'!AI$71/IF(' Plan Energi 2030-S'!AI$39+' Plan Energi 2030-S'!AI$43+' Plan Energi 2030-S'!AI$52+' Plan Energi 2030-S'!AI$55+' Plan Energi 2030-S'!AI$62+' Plan Energi 2030-S'!AI$71&gt;0,' Plan Energi 2030-S'!AI$39+' Plan Energi 2030-S'!AI$43+' Plan Energi 2030-S'!AI$52+' Plan Energi 2030-S'!AI$55+' Plan Energi 2030-S'!AI$62+' Plan Energi 2030-S'!AI$71,1)</f>
        <v>0.18577706751897727</v>
      </c>
      <c r="C56" s="650"/>
      <c r="D56" s="650">
        <f>' Plan Energi 2006'!AI$71/IF(' Plan Energi 2006'!AI$39+' Plan Energi 2006'!AI$43+' Plan Energi 2006'!AI$52+' Plan Energi 2006'!AI$55+' Plan Energi 2006'!AI$62+' Plan Energi 2006'!AI$71&gt;0,' Plan Energi 2006'!AI$39+' Plan Energi 2006'!AI$43+' Plan Energi 2006'!AI$52+' Plan Energi 2006'!AI$55+' Plan Energi 2006'!AI$62+' Plan Energi 2006'!AI$71,1)</f>
        <v>0.19798501191293399</v>
      </c>
      <c r="E56" s="650"/>
      <c r="F56" s="650">
        <f>' Plan Energi 2008'!AI$71/IF(' Plan Energi 2008'!AI$39+' Plan Energi 2008'!AI$43+' Plan Energi 2008'!AI$52+' Plan Energi 2008'!AI$55+' Plan Energi 2008'!AI$62+' Plan Energi 2008'!AI$71&gt;0,' Plan Energi 2008'!AI$39+' Plan Energi 2008'!AI$43+' Plan Energi 2008'!AI$52+' Plan Energi 2008'!AI$55+' Plan Energi 2008'!AI$62+' Plan Energi 2008'!AI$71,1)</f>
        <v>0.17031685706723423</v>
      </c>
      <c r="G56" s="650"/>
      <c r="H56" s="650">
        <f>' Plan Energi 2009'!AI$71/IF(' Plan Energi 2009'!AI$39+' Plan Energi 2009'!AI$43+' Plan Energi 2009'!AI$52+' Plan Energi 2009'!AI$55+' Plan Energi 2009'!AI$62+' Plan Energi 2009'!AI$71&gt;0,' Plan Energi 2009'!AI$39+' Plan Energi 2009'!AI$43+' Plan Energi 2009'!AI$52+' Plan Energi 2009'!AI$55+' Plan Energi 2009'!AI$62+' Plan Energi 2009'!AI$71,1)</f>
        <v>0.15970142431707213</v>
      </c>
      <c r="I56" s="650"/>
      <c r="J56" s="650">
        <f>' Plan Energi 2011'!AI$71/IF(' Plan Energi 2011'!AI$39+' Plan Energi 2011'!AI$43+' Plan Energi 2011'!AI$52+' Plan Energi 2011'!AI$55+' Plan Energi 2011'!AI$62+' Plan Energi 2011'!AI$71&gt;0,' Plan Energi 2011'!AI$39+' Plan Energi 2011'!AI$43+' Plan Energi 2011'!AI$52+' Plan Energi 2011'!AI$55+' Plan Energi 2011'!AI$62+' Plan Energi 2011'!AI$71,1)</f>
        <v>0.15571997310721003</v>
      </c>
      <c r="K56" s="650"/>
      <c r="L56" s="650">
        <f>' Plan Energi 2013'!AI$71/IF(' Plan Energi 2013'!AI$39+' Plan Energi 2013'!AI$43+' Plan Energi 2013'!AI$52+' Plan Energi 2013'!AI$55+' Plan Energi 2013'!AI$62+' Plan Energi 2013'!AI$71&gt;0,' Plan Energi 2013'!AI$39+' Plan Energi 2013'!AI$43+' Plan Energi 2013'!AI$52+' Plan Energi 2013'!AI$55+' Plan Energi 2013'!AI$62+' Plan Energi 2013'!AI$71,1)</f>
        <v>0.15047115786191656</v>
      </c>
      <c r="M56" s="650"/>
      <c r="N56" s="650">
        <f>' Plan Energi 2015'!AI$71/IF(' Plan Energi 2015'!AI$39+' Plan Energi 2015'!AI$43+' Plan Energi 2015'!AI$52+' Plan Energi 2015'!AI$55+' Plan Energi 2015'!AI$62+' Plan Energi 2015'!AI$71&gt;0,' Plan Energi 2015'!AI$39+' Plan Energi 2015'!AI$43+' Plan Energi 2015'!AI$52+' Plan Energi 2015'!AI$55+' Plan Energi 2015'!AI$62+' Plan Energi 2015'!AI$71,1)</f>
        <v>0.19081398469941935</v>
      </c>
      <c r="O56" s="650"/>
      <c r="P56" s="650">
        <f>' Plan Energi 2017'!AI$71/IF(' Plan Energi 2017'!AI$39+' Plan Energi 2017'!AI$43+' Plan Energi 2017'!AI$52+' Plan Energi 2017'!AI$55+' Plan Energi 2017'!AI$62+' Plan Energi 2017'!AI$71&gt;0,' Plan Energi 2017'!AI$39+' Plan Energi 2017'!AI$43+' Plan Energi 2017'!AI$52+' Plan Energi 2017'!AI$55+' Plan Energi 2017'!AI$62+' Plan Energi 2017'!AI$71,1)</f>
        <v>0.18581881691457658</v>
      </c>
      <c r="Q56" s="650"/>
      <c r="R56" s="650">
        <f>' Plan Energi 2019'!AI$71/IF(' Plan Energi 2019'!AI$39+' Plan Energi 2019'!AI$43+' Plan Energi 2019'!AI$52+' Plan Energi 2019'!AI$55+' Plan Energi 2019'!AI$62+' Plan Energi 2019'!AI$71&gt;0,' Plan Energi 2019'!AI$39+' Plan Energi 2019'!AI$43+' Plan Energi 2019'!AI$52+' Plan Energi 2019'!AI$55+' Plan Energi 2019'!AI$62+' Plan Energi 2019'!AI$71,1)</f>
        <v>0.18581881691457658</v>
      </c>
      <c r="S56" s="650"/>
      <c r="T56" s="727">
        <f>Fjernvarme!J12</f>
        <v>0.18577706751897727</v>
      </c>
      <c r="U56" s="650"/>
      <c r="V56" s="727">
        <f>Fjernvarme!L12</f>
        <v>0.18577706751897727</v>
      </c>
      <c r="W56" s="650"/>
      <c r="X56" s="604"/>
    </row>
    <row r="57" spans="1:24" x14ac:dyDescent="0.25">
      <c r="A57" s="629" t="s">
        <v>260</v>
      </c>
      <c r="B57" s="649">
        <f>B58+B62+B65</f>
        <v>261.86823551248</v>
      </c>
      <c r="C57" s="650"/>
      <c r="D57" s="649">
        <f>D58+D62+D65</f>
        <v>294.0674597987628</v>
      </c>
      <c r="E57" s="650"/>
      <c r="F57" s="649">
        <f>F58+F62+F65</f>
        <v>311.18147229225508</v>
      </c>
      <c r="G57" s="650">
        <f>(F57-D57)/IF(D57&gt;0,D57,1)/(F$1-D$1)</f>
        <v>2.9098786559389807E-2</v>
      </c>
      <c r="H57" s="649">
        <f>H58+H62+H65</f>
        <v>329.49346860578396</v>
      </c>
      <c r="I57" s="650">
        <f>(H57-F57)/IF(F57&gt;0,F57,1)/(H$1-F$1)</f>
        <v>5.8846679330351127E-2</v>
      </c>
      <c r="J57" s="649">
        <f>J58+J62+J65</f>
        <v>314.55561026722796</v>
      </c>
      <c r="K57" s="650">
        <f>(J57-H57)/IF(H57&gt;0,H57,1)/(J$1-H$1)</f>
        <v>-2.2667912662675732E-2</v>
      </c>
      <c r="L57" s="649">
        <f>L58+L62+L65</f>
        <v>342.99322561941801</v>
      </c>
      <c r="M57" s="650">
        <f>(L57-J57)/IF(J57&gt;0,J57,1)/(L$1-J$1)</f>
        <v>4.5202842397296814E-2</v>
      </c>
      <c r="N57" s="649">
        <f>N58+N62+N65</f>
        <v>346.58648652967202</v>
      </c>
      <c r="O57" s="650">
        <f>(N57-L57)/IF(L57&gt;0,L57,1)/(N$1-L$1)</f>
        <v>5.2380931194265781E-3</v>
      </c>
      <c r="P57" s="649">
        <f>P58+P62+P65</f>
        <v>261.83281093252003</v>
      </c>
      <c r="Q57" s="650">
        <f>(P57-N57)/IF(N57&gt;0,N57,1)/(P$1-N$1)</f>
        <v>-0.12226915775883264</v>
      </c>
      <c r="R57" s="649">
        <f>R58+R62+R65</f>
        <v>261.83281093252003</v>
      </c>
      <c r="S57" s="650">
        <f t="shared" ref="S57:S65" si="40">(R57-P57)/IF(P57&gt;0,P57,1)/IF(R$1-P$1&gt;0,R$1-P$1,1)</f>
        <v>0</v>
      </c>
      <c r="T57" s="649">
        <f>T58+T62+T65</f>
        <v>261.83281093252003</v>
      </c>
      <c r="U57" s="650">
        <f>(T57-Nøgletal!P57)/IF(Nøgletal!P57&gt;0,Nøgletal!P57,1)/(T$1-Nøgletal!P$1)</f>
        <v>0</v>
      </c>
      <c r="V57" s="649">
        <f>V58+V62+V65</f>
        <v>272.36129104214177</v>
      </c>
      <c r="W57" s="650">
        <f>(V57-Nøgletal!P57)/IF(T57&gt;0,T57,1)/(V$1-Nøgletal!P$1)</f>
        <v>3.0931306220603606E-3</v>
      </c>
      <c r="X57" s="604"/>
    </row>
    <row r="58" spans="1:24" x14ac:dyDescent="0.25">
      <c r="A58" s="631" t="s">
        <v>485</v>
      </c>
      <c r="B58" s="649">
        <f>SUM(B59:B61)</f>
        <v>104.19999999999999</v>
      </c>
      <c r="C58" s="650"/>
      <c r="D58" s="649">
        <f>SUM(D59:D61)</f>
        <v>139.6734169806</v>
      </c>
      <c r="E58" s="650"/>
      <c r="F58" s="649">
        <f>SUM(F59:F61)</f>
        <v>142.83681092099999</v>
      </c>
      <c r="G58" s="650">
        <f t="shared" ref="G58:G65" si="41">(F58-D58)/IF(D58&gt;0,D58,1)/(F$1-D$1)</f>
        <v>1.1324251990052553E-2</v>
      </c>
      <c r="H58" s="649">
        <f>SUM(H59:H61)</f>
        <v>148.60335807899997</v>
      </c>
      <c r="I58" s="650">
        <f t="shared" ref="I58:I65" si="42">(H58-F58)/IF(F58&gt;0,F58,1)/(H$1-F$1)</f>
        <v>4.0371575932126737E-2</v>
      </c>
      <c r="J58" s="649">
        <f>SUM(J59:J61)</f>
        <v>151.112647354068</v>
      </c>
      <c r="K58" s="650">
        <f t="shared" ref="K58:K65" si="43">(J58-H58)/IF(H58&gt;0,H58,1)/(J$1-H$1)</f>
        <v>8.4429090550364565E-3</v>
      </c>
      <c r="L58" s="649">
        <f>SUM(L59:L61)</f>
        <v>183.42155944247401</v>
      </c>
      <c r="M58" s="650">
        <f t="shared" ref="M58:M65" si="44">(L58-J58)/IF(J58&gt;0,J58,1)/(L$1-J$1)</f>
        <v>0.10690340171429813</v>
      </c>
      <c r="N58" s="649">
        <f>SUM(N59:N61)</f>
        <v>192.3</v>
      </c>
      <c r="O58" s="650">
        <f t="shared" ref="O58:O65" si="45">(N58-L58)/IF(L58&gt;0,L58,1)/(N$1-L$1)</f>
        <v>2.4202281848744518E-2</v>
      </c>
      <c r="P58" s="649">
        <f>SUM(P59:P61)</f>
        <v>104.19999999999999</v>
      </c>
      <c r="Q58" s="650">
        <f t="shared" ref="Q58:Q65" si="46">(P58-N58)/IF(N58&gt;0,N58,1)/(P$1-N$1)</f>
        <v>-0.22906916276651071</v>
      </c>
      <c r="R58" s="649">
        <f>SUM(R59:R61)</f>
        <v>104.19999999999999</v>
      </c>
      <c r="S58" s="650">
        <f t="shared" si="40"/>
        <v>0</v>
      </c>
      <c r="T58" s="649">
        <f>'Bolig, Service, Handel, Byg'!L27</f>
        <v>104.19999999999999</v>
      </c>
      <c r="U58" s="724">
        <f>'Bolig, Service, Handel, Byg'!M27</f>
        <v>0</v>
      </c>
      <c r="V58" s="649">
        <f>'Bolig, Service, Handel, Byg'!N27</f>
        <v>109.53104690319174</v>
      </c>
      <c r="W58" s="725">
        <f>'Bolig, Service, Handel, Byg'!O27</f>
        <v>3.8455222818443158E-3</v>
      </c>
      <c r="X58" s="604"/>
    </row>
    <row r="59" spans="1:24" ht="15" customHeight="1" x14ac:dyDescent="0.25">
      <c r="A59" s="604" t="s">
        <v>305</v>
      </c>
      <c r="B59" s="649">
        <f>' Plan Energi 2030-S'!AJ11</f>
        <v>18.600000000000001</v>
      </c>
      <c r="C59" s="650"/>
      <c r="D59" s="649">
        <f>' Plan Energi 2006'!AJ11</f>
        <v>24.958188342000003</v>
      </c>
      <c r="E59" s="650"/>
      <c r="F59" s="649">
        <f>' Plan Energi 2008'!AJ11</f>
        <v>25.523453970000002</v>
      </c>
      <c r="G59" s="650">
        <f t="shared" si="41"/>
        <v>1.132425199005253E-2</v>
      </c>
      <c r="H59" s="649">
        <f>' Plan Energi 2009'!AJ11</f>
        <v>26.553876030000005</v>
      </c>
      <c r="I59" s="650">
        <f t="shared" si="42"/>
        <v>4.037157593212698E-2</v>
      </c>
      <c r="J59" s="649">
        <f>' Plan Energi 2011'!AJ11</f>
        <v>27.002259950760003</v>
      </c>
      <c r="K59" s="650">
        <f t="shared" si="43"/>
        <v>8.4429090550363177E-3</v>
      </c>
      <c r="L59" s="649">
        <f>' Plan Energi 2013'!AJ11</f>
        <v>32.775526836180006</v>
      </c>
      <c r="M59" s="650">
        <f t="shared" si="44"/>
        <v>0.10690340171429817</v>
      </c>
      <c r="N59" s="649">
        <f>' Plan Energi 2015'!AJ11</f>
        <v>34.4</v>
      </c>
      <c r="O59" s="650">
        <f t="shared" si="45"/>
        <v>2.4781800944642343E-2</v>
      </c>
      <c r="P59" s="649">
        <f>' Plan Energi 2017'!AJ11</f>
        <v>18.600000000000001</v>
      </c>
      <c r="Q59" s="650">
        <f t="shared" si="46"/>
        <v>-0.22965116279069764</v>
      </c>
      <c r="R59" s="649">
        <f>' Plan Energi 2019'!AJ11</f>
        <v>18.600000000000001</v>
      </c>
      <c r="S59" s="650">
        <f t="shared" si="40"/>
        <v>0</v>
      </c>
      <c r="T59" s="649">
        <f>'Bolig, Service, Handel, Byg'!L28</f>
        <v>18.600000000000001</v>
      </c>
      <c r="U59" s="724">
        <f>'Bolig, Service, Handel, Byg'!M28</f>
        <v>0</v>
      </c>
      <c r="V59" s="649">
        <f>'Bolig, Service, Handel, Byg'!N28</f>
        <v>19.551607220723287</v>
      </c>
      <c r="W59" s="725">
        <f>'Bolig, Service, Handel, Byg'!O28</f>
        <v>3.8455222818443158E-3</v>
      </c>
      <c r="X59" s="604"/>
    </row>
    <row r="60" spans="1:24" ht="15" customHeight="1" x14ac:dyDescent="0.25">
      <c r="A60" s="604" t="s">
        <v>309</v>
      </c>
      <c r="B60" s="649">
        <f>' Plan Energi 2030-S'!AJ12</f>
        <v>0</v>
      </c>
      <c r="C60" s="650"/>
      <c r="D60" s="649">
        <f>' Plan Energi 2006'!AJ12</f>
        <v>0</v>
      </c>
      <c r="E60" s="650"/>
      <c r="F60" s="649">
        <f>' Plan Energi 2008'!AJ12</f>
        <v>0</v>
      </c>
      <c r="G60" s="650">
        <f t="shared" si="41"/>
        <v>0</v>
      </c>
      <c r="H60" s="649">
        <f>' Plan Energi 2009'!AJ12</f>
        <v>0</v>
      </c>
      <c r="I60" s="650">
        <f t="shared" si="42"/>
        <v>0</v>
      </c>
      <c r="J60" s="649">
        <f>' Plan Energi 2011'!AJ12</f>
        <v>0</v>
      </c>
      <c r="K60" s="650">
        <f t="shared" si="43"/>
        <v>0</v>
      </c>
      <c r="L60" s="649">
        <f>' Plan Energi 2013'!AJ12</f>
        <v>0</v>
      </c>
      <c r="M60" s="650">
        <f t="shared" si="44"/>
        <v>0</v>
      </c>
      <c r="N60" s="649">
        <f>' Plan Energi 2015'!AJ12</f>
        <v>0</v>
      </c>
      <c r="O60" s="650">
        <f t="shared" si="45"/>
        <v>0</v>
      </c>
      <c r="P60" s="649">
        <f>' Plan Energi 2017'!AJ12</f>
        <v>0</v>
      </c>
      <c r="Q60" s="650">
        <f t="shared" si="46"/>
        <v>0</v>
      </c>
      <c r="R60" s="649">
        <f>' Plan Energi 2019'!AJ12</f>
        <v>0</v>
      </c>
      <c r="S60" s="650">
        <f t="shared" si="40"/>
        <v>0</v>
      </c>
      <c r="T60" s="649">
        <f>'Bolig, Service, Handel, Byg'!L29</f>
        <v>0</v>
      </c>
      <c r="U60" s="724">
        <f>'Bolig, Service, Handel, Byg'!M29</f>
        <v>0</v>
      </c>
      <c r="V60" s="649">
        <f>'Bolig, Service, Handel, Byg'!N29</f>
        <v>0</v>
      </c>
      <c r="W60" s="725">
        <f>'Bolig, Service, Handel, Byg'!O29</f>
        <v>3.8455222818443158E-3</v>
      </c>
      <c r="X60" s="604"/>
    </row>
    <row r="61" spans="1:24" ht="15" customHeight="1" x14ac:dyDescent="0.25">
      <c r="A61" s="604" t="s">
        <v>290</v>
      </c>
      <c r="B61" s="649">
        <f>' Plan Energi 2030-S'!AJ13</f>
        <v>85.6</v>
      </c>
      <c r="C61" s="650"/>
      <c r="D61" s="649">
        <f>' Plan Energi 2006'!AJ13</f>
        <v>114.7152286386</v>
      </c>
      <c r="E61" s="650"/>
      <c r="F61" s="649">
        <f>' Plan Energi 2008'!AJ13</f>
        <v>117.313356951</v>
      </c>
      <c r="G61" s="650">
        <f t="shared" si="41"/>
        <v>1.1324251990052587E-2</v>
      </c>
      <c r="H61" s="649">
        <f>' Plan Energi 2009'!AJ13</f>
        <v>122.04948204899998</v>
      </c>
      <c r="I61" s="650">
        <f t="shared" si="42"/>
        <v>4.0371575932126647E-2</v>
      </c>
      <c r="J61" s="649">
        <f>' Plan Energi 2011'!AJ13</f>
        <v>124.11038740330801</v>
      </c>
      <c r="K61" s="650">
        <f t="shared" si="43"/>
        <v>8.4429090550365016E-3</v>
      </c>
      <c r="L61" s="649">
        <f>' Plan Energi 2013'!AJ13</f>
        <v>150.646032606294</v>
      </c>
      <c r="M61" s="650">
        <f t="shared" si="44"/>
        <v>0.10690340171429806</v>
      </c>
      <c r="N61" s="649">
        <f>' Plan Energi 2015'!AJ13</f>
        <v>157.9</v>
      </c>
      <c r="O61" s="650">
        <f t="shared" si="45"/>
        <v>2.4076197919741745E-2</v>
      </c>
      <c r="P61" s="649">
        <f>' Plan Energi 2017'!AJ13</f>
        <v>85.6</v>
      </c>
      <c r="Q61" s="650">
        <f t="shared" si="46"/>
        <v>-0.22894236858771377</v>
      </c>
      <c r="R61" s="649">
        <f>' Plan Energi 2019'!AJ13</f>
        <v>85.6</v>
      </c>
      <c r="S61" s="650">
        <f t="shared" si="40"/>
        <v>0</v>
      </c>
      <c r="T61" s="649">
        <f>'Bolig, Service, Handel, Byg'!L30</f>
        <v>85.6</v>
      </c>
      <c r="U61" s="724">
        <f>'Bolig, Service, Handel, Byg'!M30</f>
        <v>0</v>
      </c>
      <c r="V61" s="649">
        <f>'Bolig, Service, Handel, Byg'!N30</f>
        <v>89.979439682468453</v>
      </c>
      <c r="W61" s="725">
        <f>'Bolig, Service, Handel, Byg'!O30</f>
        <v>3.8455222818443158E-3</v>
      </c>
      <c r="X61" s="604"/>
    </row>
    <row r="62" spans="1:24" x14ac:dyDescent="0.25">
      <c r="A62" s="631" t="s">
        <v>345</v>
      </c>
      <c r="B62" s="649">
        <f>' Plan Energi 2030-S'!AJ16</f>
        <v>0</v>
      </c>
      <c r="C62" s="650"/>
      <c r="D62" s="649">
        <f>' Plan Energi 2006'!AJ16</f>
        <v>0</v>
      </c>
      <c r="E62" s="650"/>
      <c r="F62" s="649">
        <f>' Plan Energi 2008'!AJ16</f>
        <v>0</v>
      </c>
      <c r="G62" s="650">
        <f t="shared" si="41"/>
        <v>0</v>
      </c>
      <c r="H62" s="649">
        <f>' Plan Energi 2009'!AJ16</f>
        <v>0</v>
      </c>
      <c r="I62" s="650">
        <f t="shared" si="42"/>
        <v>0</v>
      </c>
      <c r="J62" s="649">
        <f>' Plan Energi 2011'!AJ16</f>
        <v>0</v>
      </c>
      <c r="K62" s="650">
        <f t="shared" si="43"/>
        <v>0</v>
      </c>
      <c r="L62" s="649">
        <f>' Plan Energi 2013'!AJ16</f>
        <v>0</v>
      </c>
      <c r="M62" s="650">
        <f t="shared" si="44"/>
        <v>0</v>
      </c>
      <c r="N62" s="649">
        <f>' Plan Energi 2015'!AJ16</f>
        <v>0</v>
      </c>
      <c r="O62" s="650">
        <f t="shared" si="45"/>
        <v>0</v>
      </c>
      <c r="P62" s="649">
        <f>' Plan Energi 2017'!AJ16</f>
        <v>0</v>
      </c>
      <c r="Q62" s="650">
        <f t="shared" si="46"/>
        <v>0</v>
      </c>
      <c r="R62" s="649">
        <f>' Plan Energi 2019'!AJ16</f>
        <v>0</v>
      </c>
      <c r="S62" s="650">
        <f t="shared" si="40"/>
        <v>0</v>
      </c>
      <c r="T62" s="649">
        <f>'Bolig, Service, Handel, Byg'!L31</f>
        <v>0</v>
      </c>
      <c r="U62" s="724">
        <f>'Bolig, Service, Handel, Byg'!M31</f>
        <v>0</v>
      </c>
      <c r="V62" s="649">
        <f>'Bolig, Service, Handel, Byg'!N31</f>
        <v>0</v>
      </c>
      <c r="W62" s="725">
        <f>'Bolig, Service, Handel, Byg'!O31</f>
        <v>-2.0081405291969112E-2</v>
      </c>
      <c r="X62" s="604"/>
    </row>
    <row r="63" spans="1:24" x14ac:dyDescent="0.25">
      <c r="A63" s="631" t="s">
        <v>526</v>
      </c>
      <c r="B63" s="649">
        <f>' Plan Energi 2030-S'!AJ$14+SUM(' Plan Energi 2030-S'!AJ$17:AJ$22)+' Plan Energi 2030-S'!AJ$10+' Plan Energi 2030-S'!AJ$9</f>
        <v>0</v>
      </c>
      <c r="C63" s="650"/>
      <c r="D63" s="649">
        <f>' Plan Energi 2006'!AJ$14+SUM(' Plan Energi 2006'!AJ$17:AJ$22)+' Plan Energi 2006'!AJ$10+' Plan Energi 2006'!AJ$9</f>
        <v>0</v>
      </c>
      <c r="E63" s="650"/>
      <c r="F63" s="649">
        <f>' Plan Energi 2008'!AJ$14+SUM(' Plan Energi 2008'!AJ$17:AJ$22)+' Plan Energi 2008'!AJ$10+' Plan Energi 2008'!AJ$9</f>
        <v>0</v>
      </c>
      <c r="G63" s="650">
        <f t="shared" si="41"/>
        <v>0</v>
      </c>
      <c r="H63" s="649">
        <f>' Plan Energi 2009'!AJ$14+SUM(' Plan Energi 2009'!AJ$17:AJ$22)+' Plan Energi 2009'!AJ$10+' Plan Energi 2009'!AJ$9</f>
        <v>0</v>
      </c>
      <c r="I63" s="650">
        <f t="shared" si="42"/>
        <v>0</v>
      </c>
      <c r="J63" s="649">
        <f>' Plan Energi 2011'!AJ$14+SUM(' Plan Energi 2011'!AJ$17:AJ$22)+' Plan Energi 2011'!AJ$10+' Plan Energi 2011'!AJ$9</f>
        <v>0</v>
      </c>
      <c r="K63" s="650">
        <f t="shared" si="43"/>
        <v>0</v>
      </c>
      <c r="L63" s="649">
        <f>' Plan Energi 2013'!AJ$14+SUM(' Plan Energi 2013'!AJ$17:AJ$22)+' Plan Energi 2013'!AJ$10+' Plan Energi 2013'!AJ$9</f>
        <v>0</v>
      </c>
      <c r="M63" s="650">
        <f t="shared" si="44"/>
        <v>0</v>
      </c>
      <c r="N63" s="649">
        <f>' Plan Energi 2015'!AJ$14+SUM(' Plan Energi 2015'!AJ$17:AJ$22)+' Plan Energi 2015'!AJ$10+' Plan Energi 2015'!AJ$9</f>
        <v>0</v>
      </c>
      <c r="O63" s="650">
        <f t="shared" si="45"/>
        <v>0</v>
      </c>
      <c r="P63" s="649">
        <f>' Plan Energi 2017'!AJ$14+SUM(' Plan Energi 2017'!AJ$17:AJ$22)+' Plan Energi 2017'!AJ$10+' Plan Energi 2017'!AJ$9</f>
        <v>0</v>
      </c>
      <c r="Q63" s="650">
        <f t="shared" si="46"/>
        <v>0</v>
      </c>
      <c r="R63" s="649">
        <f>' Plan Energi 2019'!AJ$14+SUM(' Plan Energi 2019'!AJ$17:AJ$22)+' Plan Energi 2019'!AJ$10+' Plan Energi 2019'!AJ$9</f>
        <v>0</v>
      </c>
      <c r="S63" s="650">
        <f t="shared" si="40"/>
        <v>0</v>
      </c>
      <c r="T63" s="649">
        <f>'Bolig, Service, Handel, Byg'!L32</f>
        <v>0</v>
      </c>
      <c r="U63" s="724">
        <f>'Bolig, Service, Handel, Byg'!M32</f>
        <v>0</v>
      </c>
      <c r="V63" s="649">
        <f>'Bolig, Service, Handel, Byg'!N32</f>
        <v>0</v>
      </c>
      <c r="W63" s="725">
        <f>'Bolig, Service, Handel, Byg'!O32</f>
        <v>1.0614824662905642E-2</v>
      </c>
      <c r="X63" s="604"/>
    </row>
    <row r="64" spans="1:24" x14ac:dyDescent="0.25">
      <c r="A64" s="631" t="s">
        <v>28</v>
      </c>
      <c r="B64" s="649">
        <f>' Plan Energi 2030-S'!AJ$39+' Plan Energi 2030-S'!AJ$43+' Plan Energi 2030-S'!$AJ$52+' Plan Energi 2030-S'!AJ$55+' Plan Energi 2030-S'!AJ$62+' Plan Energi 2030-S'!AJ$71</f>
        <v>157.66823551248001</v>
      </c>
      <c r="C64" s="650"/>
      <c r="D64" s="649">
        <f>' Plan Energi 2006'!AJ$39+' Plan Energi 2006'!AJ$43+' Plan Energi 2006'!$AJ$52+' Plan Energi 2006'!AJ$55+' Plan Energi 2006'!AJ$62+' Plan Energi 2006'!AJ$71</f>
        <v>154.3940428181628</v>
      </c>
      <c r="E64" s="650"/>
      <c r="F64" s="649">
        <f>' Plan Energi 2008'!AJ$39+' Plan Energi 2008'!AJ$43+' Plan Energi 2008'!$AJ$52+' Plan Energi 2008'!AJ$55+' Plan Energi 2008'!AJ$62+' Plan Energi 2008'!AJ$71</f>
        <v>168.34466137125509</v>
      </c>
      <c r="G64" s="650">
        <f t="shared" si="41"/>
        <v>4.5178616669564735E-2</v>
      </c>
      <c r="H64" s="649">
        <f>' Plan Energi 2009'!AJ$39+' Plan Energi 2009'!AJ$43+' Plan Energi 2009'!$AJ$52+' Plan Energi 2009'!AJ$55+' Plan Energi 2009'!AJ$62+' Plan Energi 2009'!AJ$71</f>
        <v>180.89011052678399</v>
      </c>
      <c r="I64" s="650">
        <f t="shared" si="42"/>
        <v>7.4522405720143847E-2</v>
      </c>
      <c r="J64" s="649">
        <f>' Plan Energi 2011'!AJ$39+' Plan Energi 2011'!AJ$43+' Plan Energi 2011'!$AJ$52+' Plan Energi 2011'!AJ$55+' Plan Energi 2011'!AJ$62+' Plan Energi 2011'!AJ$71</f>
        <v>163.44296291315999</v>
      </c>
      <c r="K64" s="650">
        <f t="shared" si="43"/>
        <v>-4.8225819429306607E-2</v>
      </c>
      <c r="L64" s="649">
        <f>' Plan Energi 2013'!AJ$39+' Plan Energi 2013'!AJ$43+' Plan Energi 2013'!$AJ$52+' Plan Energi 2013'!AJ$55+' Plan Energi 2013'!AJ$62+' Plan Energi 2013'!AJ$71</f>
        <v>159.57166617694403</v>
      </c>
      <c r="M64" s="650">
        <f t="shared" si="44"/>
        <v>-1.184295936397347E-2</v>
      </c>
      <c r="N64" s="649">
        <f>' Plan Energi 2015'!AJ$39+' Plan Energi 2015'!AJ$43+' Plan Energi 2015'!$AJ$52+' Plan Energi 2015'!AJ$55+' Plan Energi 2015'!AJ$62+' Plan Energi 2015'!AJ$71</f>
        <v>154.286486529672</v>
      </c>
      <c r="O64" s="650">
        <f t="shared" si="45"/>
        <v>-1.6560520341410298E-2</v>
      </c>
      <c r="P64" s="649">
        <f>' Plan Energi 2017'!AJ$39+' Plan Energi 2017'!AJ$43+' Plan Energi 2017'!$AJ$52+' Plan Energi 2017'!AJ$55+' Plan Energi 2017'!AJ$62+' Plan Energi 2017'!AJ$71</f>
        <v>157.63281093252002</v>
      </c>
      <c r="Q64" s="650">
        <f t="shared" si="46"/>
        <v>1.0844515544154462E-2</v>
      </c>
      <c r="R64" s="649">
        <f>' Plan Energi 2019'!AJ$39+' Plan Energi 2019'!AJ$43+' Plan Energi 2019'!$AJ$52+' Plan Energi 2019'!AJ$55+' Plan Energi 2019'!AJ$62+' Plan Energi 2019'!AJ$71</f>
        <v>157.63281093252002</v>
      </c>
      <c r="S64" s="650">
        <f t="shared" si="40"/>
        <v>0</v>
      </c>
      <c r="T64" s="649">
        <f>Fjernvarmeprognose!R8</f>
        <v>157.63281093252002</v>
      </c>
      <c r="U64" s="724">
        <f>Fjernvarmeprognose!S8</f>
        <v>0</v>
      </c>
      <c r="V64" s="649">
        <f>Fjernvarmeprognose!T8</f>
        <v>162.83024413895004</v>
      </c>
      <c r="W64" s="725">
        <f>Fjernvarmeprognose!U8</f>
        <v>2.498490204587922E-3</v>
      </c>
      <c r="X64" s="604"/>
    </row>
    <row r="65" spans="1:24" x14ac:dyDescent="0.25">
      <c r="A65" s="631" t="s">
        <v>486</v>
      </c>
      <c r="B65" s="649">
        <f>B63+B64</f>
        <v>157.66823551248001</v>
      </c>
      <c r="C65" s="650"/>
      <c r="D65" s="649">
        <f>D63+D64</f>
        <v>154.3940428181628</v>
      </c>
      <c r="E65" s="650"/>
      <c r="F65" s="649">
        <f>F63+F64</f>
        <v>168.34466137125509</v>
      </c>
      <c r="G65" s="650">
        <f t="shared" si="41"/>
        <v>4.5178616669564735E-2</v>
      </c>
      <c r="H65" s="649">
        <f>H63+H64</f>
        <v>180.89011052678399</v>
      </c>
      <c r="I65" s="650">
        <f t="shared" si="42"/>
        <v>7.4522405720143847E-2</v>
      </c>
      <c r="J65" s="649">
        <f>J63+J64</f>
        <v>163.44296291315999</v>
      </c>
      <c r="K65" s="650">
        <f t="shared" si="43"/>
        <v>-4.8225819429306607E-2</v>
      </c>
      <c r="L65" s="649">
        <f>L63+L64</f>
        <v>159.57166617694403</v>
      </c>
      <c r="M65" s="650">
        <f t="shared" si="44"/>
        <v>-1.184295936397347E-2</v>
      </c>
      <c r="N65" s="649">
        <f>N63+N64</f>
        <v>154.286486529672</v>
      </c>
      <c r="O65" s="650">
        <f t="shared" si="45"/>
        <v>-1.6560520341410298E-2</v>
      </c>
      <c r="P65" s="649">
        <f>P63+P64</f>
        <v>157.63281093252002</v>
      </c>
      <c r="Q65" s="650">
        <f t="shared" si="46"/>
        <v>1.0844515544154462E-2</v>
      </c>
      <c r="R65" s="649">
        <f>R63+R64</f>
        <v>157.63281093252002</v>
      </c>
      <c r="S65" s="650">
        <f t="shared" si="40"/>
        <v>0</v>
      </c>
      <c r="T65" s="649">
        <f>T63+T64</f>
        <v>157.63281093252002</v>
      </c>
      <c r="U65" s="650">
        <f>(T65-Nøgletal!N65)/IF(Nøgletal!N65&gt;0,Nøgletal!N65,1)/(T$1-Nøgletal!N$1)</f>
        <v>2.1689031088308925E-3</v>
      </c>
      <c r="V65" s="649">
        <f>V63+V64</f>
        <v>162.83024413895004</v>
      </c>
      <c r="W65" s="650">
        <f>(V65-Nøgletal!P65)/IF(Nøgletal!P65&gt;0,Nøgletal!P65,1)/(V$1-Nøgletal!P$1)</f>
        <v>2.536290204911207E-3</v>
      </c>
      <c r="X65" s="604"/>
    </row>
    <row r="66" spans="1:24" x14ac:dyDescent="0.25">
      <c r="A66" s="633" t="s">
        <v>487</v>
      </c>
      <c r="B66" s="650">
        <f>B63/IF(B65&gt;0,B65,1)</f>
        <v>0</v>
      </c>
      <c r="C66" s="650"/>
      <c r="D66" s="650">
        <f>D63/IF(D65&gt;0,D65,1)</f>
        <v>0</v>
      </c>
      <c r="E66" s="650"/>
      <c r="F66" s="650">
        <f>F63/IF(F65&gt;0,F65,1)</f>
        <v>0</v>
      </c>
      <c r="G66" s="650"/>
      <c r="H66" s="650">
        <f>H63/IF(H65&gt;0,H65,1)</f>
        <v>0</v>
      </c>
      <c r="I66" s="650"/>
      <c r="J66" s="650">
        <f>J63/IF(J65&gt;0,J65,1)</f>
        <v>0</v>
      </c>
      <c r="K66" s="650"/>
      <c r="L66" s="650">
        <f>L63/IF(L65&gt;0,L65,1)</f>
        <v>0</v>
      </c>
      <c r="M66" s="650"/>
      <c r="N66" s="650">
        <f>N63/IF(N65&gt;0,N65,1)</f>
        <v>0</v>
      </c>
      <c r="O66" s="650"/>
      <c r="P66" s="650">
        <f>P63/IF(P65&gt;0,P65,1)</f>
        <v>0</v>
      </c>
      <c r="Q66" s="650"/>
      <c r="R66" s="650">
        <f>R63/IF(R65&gt;0,R65,1)</f>
        <v>0</v>
      </c>
      <c r="S66" s="650"/>
      <c r="T66" s="650">
        <f>T63/IF(T65&gt;0,T65,1)</f>
        <v>0</v>
      </c>
      <c r="U66" s="650"/>
      <c r="V66" s="650">
        <f>V63/IF(V65&gt;0,V65,1)</f>
        <v>0</v>
      </c>
      <c r="W66" s="650"/>
      <c r="X66" s="604"/>
    </row>
    <row r="67" spans="1:24" x14ac:dyDescent="0.25">
      <c r="A67" s="633" t="s">
        <v>488</v>
      </c>
      <c r="B67" s="650">
        <f>B64/IF(B65&gt;0,B65,1)</f>
        <v>1</v>
      </c>
      <c r="C67" s="650"/>
      <c r="D67" s="650">
        <f>D64/IF(D65&gt;0,D65,1)</f>
        <v>1</v>
      </c>
      <c r="E67" s="650"/>
      <c r="F67" s="650">
        <f>F64/IF(F65&gt;0,F65,1)</f>
        <v>1</v>
      </c>
      <c r="G67" s="650"/>
      <c r="H67" s="650">
        <f>H64/IF(H65&gt;0,H65,1)</f>
        <v>1</v>
      </c>
      <c r="I67" s="650"/>
      <c r="J67" s="650">
        <f>J64/IF(J65&gt;0,J65,1)</f>
        <v>1</v>
      </c>
      <c r="K67" s="650"/>
      <c r="L67" s="650">
        <f>L64/IF(L65&gt;0,L65,1)</f>
        <v>1</v>
      </c>
      <c r="M67" s="650"/>
      <c r="N67" s="650">
        <f>N64/IF(N65&gt;0,N65,1)</f>
        <v>1</v>
      </c>
      <c r="O67" s="650"/>
      <c r="P67" s="650">
        <f>P64/IF(P65&gt;0,P65,1)</f>
        <v>1</v>
      </c>
      <c r="Q67" s="650"/>
      <c r="R67" s="650">
        <f>R64/IF(R65&gt;0,R65,1)</f>
        <v>1</v>
      </c>
      <c r="S67" s="650"/>
      <c r="T67" s="650">
        <f>T64/IF(T65&gt;0,T65,1)</f>
        <v>1</v>
      </c>
      <c r="U67" s="650"/>
      <c r="V67" s="650">
        <f>V64/IF(V65&gt;0,V65,1)</f>
        <v>1</v>
      </c>
      <c r="W67" s="650"/>
      <c r="X67" s="604"/>
    </row>
    <row r="68" spans="1:24" ht="15" customHeight="1" x14ac:dyDescent="0.25">
      <c r="A68" s="633" t="s">
        <v>490</v>
      </c>
      <c r="B68" s="650"/>
      <c r="C68" s="650"/>
      <c r="D68" s="650"/>
      <c r="E68" s="650"/>
      <c r="F68" s="650"/>
      <c r="G68" s="650"/>
      <c r="H68" s="650"/>
      <c r="I68" s="650"/>
      <c r="J68" s="650"/>
      <c r="K68" s="650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04"/>
    </row>
    <row r="69" spans="1:24" ht="15" customHeight="1" x14ac:dyDescent="0.25">
      <c r="A69" s="604" t="s">
        <v>344</v>
      </c>
      <c r="B69" s="650">
        <f>' Plan Energi 2030-S'!AJ14/IF('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69" s="650"/>
      <c r="D69" s="650">
        <f>' Plan Energi 2006'!AJ14/IF('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69" s="650"/>
      <c r="F69" s="650">
        <f>' Plan Energi 2008'!AJ14/IF('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69" s="650"/>
      <c r="H69" s="650">
        <f>' Plan Energi 2009'!AJ14/IF('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69" s="650"/>
      <c r="J69" s="650">
        <f>' Plan Energi 2011'!AJ14/IF('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69" s="650"/>
      <c r="L69" s="650">
        <f>' Plan Energi 2013'!AJ14/IF('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69" s="650"/>
      <c r="N69" s="650">
        <f>' Plan Energi 2015'!AJ14/IF('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69" s="650"/>
      <c r="P69" s="650">
        <f>' Plan Energi 2017'!AJ14/IF('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69" s="650"/>
      <c r="R69" s="650">
        <f>' Plan Energi 2019'!AJ14/IF('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69" s="650"/>
      <c r="T69" s="726">
        <f>'Bolig, Service, Handel, Byg'!L35</f>
        <v>0</v>
      </c>
      <c r="U69" s="650"/>
      <c r="V69" s="726">
        <f>'Bolig, Service, Handel, Byg'!N35</f>
        <v>0</v>
      </c>
      <c r="W69" s="650"/>
      <c r="X69" s="604"/>
    </row>
    <row r="70" spans="1:24" ht="15" customHeight="1" x14ac:dyDescent="0.25">
      <c r="A70" s="604" t="s">
        <v>346</v>
      </c>
      <c r="B70" s="650">
        <f>' Plan Energi 2030-S'!AJ17/IF('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0" s="650"/>
      <c r="D70" s="650">
        <f>' Plan Energi 2006'!AJ17/IF('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0" s="650"/>
      <c r="F70" s="650">
        <f>' Plan Energi 2008'!AJ17/IF('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0" s="650"/>
      <c r="H70" s="650">
        <f>' Plan Energi 2009'!AJ17/IF('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0" s="650"/>
      <c r="J70" s="650">
        <f>' Plan Energi 2011'!AJ17/IF('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0" s="650"/>
      <c r="L70" s="650">
        <f>' Plan Energi 2013'!AJ17/IF('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0" s="650"/>
      <c r="N70" s="650">
        <f>' Plan Energi 2015'!AJ17/IF('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0" s="650"/>
      <c r="P70" s="650">
        <f>' Plan Energi 2017'!AJ17/IF('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0" s="650"/>
      <c r="R70" s="650">
        <f>' Plan Energi 2019'!AJ17/IF('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0" s="650"/>
      <c r="T70" s="726">
        <f>'Bolig, Service, Handel, Byg'!L36</f>
        <v>0</v>
      </c>
      <c r="U70" s="650"/>
      <c r="V70" s="726">
        <f>'Bolig, Service, Handel, Byg'!N36</f>
        <v>0.13804173354735153</v>
      </c>
      <c r="W70" s="650"/>
      <c r="X70" s="604"/>
    </row>
    <row r="71" spans="1:24" ht="15" customHeight="1" x14ac:dyDescent="0.25">
      <c r="A71" s="604" t="s">
        <v>347</v>
      </c>
      <c r="B71" s="650">
        <f>' Plan Energi 2030-S'!AJ18/IF('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1" s="650"/>
      <c r="D71" s="650">
        <f>' Plan Energi 2006'!AJ18/IF('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1" s="650"/>
      <c r="F71" s="650">
        <f>' Plan Energi 2008'!AJ18/IF('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1" s="650"/>
      <c r="H71" s="650">
        <f>' Plan Energi 2009'!AJ18/IF('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1" s="650"/>
      <c r="J71" s="650">
        <f>' Plan Energi 2011'!AJ18/IF('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1" s="650"/>
      <c r="L71" s="650">
        <f>' Plan Energi 2013'!AJ18/IF('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1" s="650"/>
      <c r="N71" s="650">
        <f>' Plan Energi 2015'!AJ18/IF('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1" s="650"/>
      <c r="P71" s="650">
        <f>' Plan Energi 2017'!AJ18/IF('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1" s="650"/>
      <c r="R71" s="650">
        <f>' Plan Energi 2019'!AJ18/IF('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1" s="650"/>
      <c r="T71" s="726">
        <f>'Bolig, Service, Handel, Byg'!L37</f>
        <v>0</v>
      </c>
      <c r="U71" s="650"/>
      <c r="V71" s="726">
        <f>'Bolig, Service, Handel, Byg'!N37</f>
        <v>0.36757624398073835</v>
      </c>
      <c r="W71" s="650"/>
      <c r="X71" s="604"/>
    </row>
    <row r="72" spans="1:24" ht="15" customHeight="1" x14ac:dyDescent="0.25">
      <c r="A72" s="604" t="s">
        <v>348</v>
      </c>
      <c r="B72" s="650">
        <f>' Plan Energi 2030-S'!AJ19/IF('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2" s="650"/>
      <c r="D72" s="650">
        <f>' Plan Energi 2006'!AJ19/IF('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2" s="650"/>
      <c r="F72" s="650">
        <f>' Plan Energi 2008'!AJ19/IF('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2" s="650"/>
      <c r="H72" s="650">
        <f>' Plan Energi 2009'!AJ19/IF('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2" s="650"/>
      <c r="J72" s="650">
        <f>' Plan Energi 2011'!AJ19/IF('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2" s="650"/>
      <c r="L72" s="650">
        <f>' Plan Energi 2013'!AJ19/IF('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2" s="650"/>
      <c r="N72" s="650">
        <f>' Plan Energi 2015'!AJ19/IF('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2" s="650"/>
      <c r="P72" s="650">
        <f>' Plan Energi 2017'!AJ19/IF('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2" s="650"/>
      <c r="R72" s="650">
        <f>' Plan Energi 2019'!AJ19/IF('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2" s="650"/>
      <c r="T72" s="726">
        <f>'Bolig, Service, Handel, Byg'!L38</f>
        <v>0</v>
      </c>
      <c r="U72" s="650"/>
      <c r="V72" s="726">
        <f>'Bolig, Service, Handel, Byg'!N38</f>
        <v>0.3499197431781701</v>
      </c>
      <c r="W72" s="650"/>
      <c r="X72" s="604"/>
    </row>
    <row r="73" spans="1:24" ht="15" customHeight="1" x14ac:dyDescent="0.25">
      <c r="A73" s="604" t="s">
        <v>349</v>
      </c>
      <c r="B73" s="650">
        <f>' Plan Energi 2030-S'!AJ20/IF('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3" s="650"/>
      <c r="D73" s="650">
        <f>' Plan Energi 2006'!AJ20/IF('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3" s="650"/>
      <c r="F73" s="650">
        <f>' Plan Energi 2008'!AJ20/IF('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3" s="650"/>
      <c r="H73" s="650">
        <f>' Plan Energi 2009'!AJ20/IF('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3" s="650"/>
      <c r="J73" s="650">
        <f>' Plan Energi 2011'!AJ20/IF('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3" s="650"/>
      <c r="L73" s="650">
        <f>' Plan Energi 2013'!AJ20/IF('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3" s="650"/>
      <c r="N73" s="650">
        <f>' Plan Energi 2015'!AJ20/IF('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3" s="650"/>
      <c r="P73" s="650">
        <f>' Plan Energi 2017'!AJ20/IF('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3" s="650"/>
      <c r="R73" s="650">
        <f>' Plan Energi 2019'!AJ20/IF('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3" s="650"/>
      <c r="T73" s="726">
        <f>'Bolig, Service, Handel, Byg'!L39</f>
        <v>0</v>
      </c>
      <c r="U73" s="650"/>
      <c r="V73" s="726">
        <f>'Bolig, Service, Handel, Byg'!N39</f>
        <v>0</v>
      </c>
      <c r="W73" s="650"/>
      <c r="X73" s="604"/>
    </row>
    <row r="74" spans="1:24" ht="15" customHeight="1" x14ac:dyDescent="0.25">
      <c r="A74" s="604" t="s">
        <v>350</v>
      </c>
      <c r="B74" s="650">
        <f>' Plan Energi 2030-S'!AJ21/IF('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4" s="650"/>
      <c r="D74" s="650">
        <f>' Plan Energi 2006'!AJ21/IF('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4" s="650"/>
      <c r="F74" s="650">
        <f>' Plan Energi 2008'!AJ21/IF('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4" s="650"/>
      <c r="H74" s="650">
        <f>' Plan Energi 2009'!AJ21/IF('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4" s="650"/>
      <c r="J74" s="650">
        <f>' Plan Energi 2011'!AJ21/IF('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4" s="650"/>
      <c r="L74" s="650">
        <f>' Plan Energi 2013'!AJ21/IF('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4" s="650"/>
      <c r="N74" s="650">
        <f>' Plan Energi 2015'!AJ21/IF('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4" s="650"/>
      <c r="P74" s="650">
        <f>' Plan Energi 2017'!AJ21/IF('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4" s="650"/>
      <c r="R74" s="650">
        <f>' Plan Energi 2019'!AJ21/IF('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4" s="650"/>
      <c r="T74" s="726">
        <f>'Bolig, Service, Handel, Byg'!L40</f>
        <v>0</v>
      </c>
      <c r="U74" s="650"/>
      <c r="V74" s="726">
        <f>'Bolig, Service, Handel, Byg'!N40</f>
        <v>0</v>
      </c>
      <c r="W74" s="650"/>
      <c r="X74" s="604"/>
    </row>
    <row r="75" spans="1:24" ht="15" customHeight="1" x14ac:dyDescent="0.25">
      <c r="A75" s="604" t="s">
        <v>331</v>
      </c>
      <c r="B75" s="650">
        <f>' Plan Energi 2030-S'!AJ22/IF('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5" s="650"/>
      <c r="D75" s="650">
        <f>' Plan Energi 2006'!AJ22/IF('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5" s="650"/>
      <c r="F75" s="650">
        <f>' Plan Energi 2008'!AJ22/IF('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5" s="650"/>
      <c r="H75" s="650">
        <f>' Plan Energi 2009'!AJ22/IF('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5" s="650"/>
      <c r="J75" s="650">
        <f>' Plan Energi 2011'!AJ22/IF('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5" s="650"/>
      <c r="L75" s="650">
        <f>' Plan Energi 2013'!AJ22/IF('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5" s="650"/>
      <c r="N75" s="650">
        <f>' Plan Energi 2015'!AJ22/IF('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5" s="650"/>
      <c r="P75" s="650">
        <f>' Plan Energi 2017'!AJ22/IF('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5" s="650"/>
      <c r="R75" s="650">
        <f>' Plan Energi 2019'!AJ22/IF('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5" s="650"/>
      <c r="T75" s="726">
        <f>'Bolig, Service, Handel, Byg'!L41</f>
        <v>0</v>
      </c>
      <c r="U75" s="650"/>
      <c r="V75" s="726">
        <f>'Bolig, Service, Handel, Byg'!N41</f>
        <v>0</v>
      </c>
      <c r="W75" s="650"/>
      <c r="X75" s="604"/>
    </row>
    <row r="76" spans="1:24" ht="15" customHeight="1" x14ac:dyDescent="0.25">
      <c r="A76" s="604" t="s">
        <v>501</v>
      </c>
      <c r="B76" s="650">
        <f>' Plan Energi 2030-S'!AJ10/IF('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6" s="650"/>
      <c r="D76" s="650">
        <f>' Plan Energi 2006'!AJ10/IF('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6" s="650"/>
      <c r="F76" s="650">
        <f>' Plan Energi 2008'!AJ10/IF('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6" s="650"/>
      <c r="H76" s="650">
        <f>' Plan Energi 2009'!AJ10/IF('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6" s="650"/>
      <c r="J76" s="650">
        <f>' Plan Energi 2011'!AJ10/IF('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6" s="650"/>
      <c r="L76" s="650">
        <f>' Plan Energi 2013'!AJ10/IF('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6" s="650"/>
      <c r="N76" s="650">
        <f>' Plan Energi 2015'!AJ10/IF('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6" s="650"/>
      <c r="P76" s="650">
        <f>' Plan Energi 2017'!AJ10/IF('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6" s="650"/>
      <c r="R76" s="650">
        <f>' Plan Energi 2019'!AJ10/IF('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6" s="650"/>
      <c r="T76" s="726">
        <f>'Bolig, Service, Handel, Byg'!L42</f>
        <v>0</v>
      </c>
      <c r="U76" s="650"/>
      <c r="V76" s="726">
        <f>'Bolig, Service, Handel, Byg'!N42</f>
        <v>0</v>
      </c>
      <c r="W76" s="650"/>
      <c r="X76" s="604"/>
    </row>
    <row r="77" spans="1:24" ht="15" customHeight="1" x14ac:dyDescent="0.25">
      <c r="A77" s="604" t="s">
        <v>314</v>
      </c>
      <c r="B77" s="650">
        <f>' Plan Energi 2030-S'!AJ9/IF(' Plan Energi 2030-S'!AJ$14+SUM(' Plan Energi 2030-S'!AJ$17:AJ$22)+' Plan Energi 2030-S'!AJ$9+' Plan Energi 2030-S'!AJ$10&gt;0,' Plan Energi 2030-S'!AJ$14+SUM(' Plan Energi 2030-S'!AJ$17:AJ$22)+' Plan Energi 2030-S'!AJ$9+' Plan Energi 2030-S'!AJ$10,1)</f>
        <v>0</v>
      </c>
      <c r="C77" s="650"/>
      <c r="D77" s="650">
        <f>' Plan Energi 2006'!AJ9/IF(' Plan Energi 2006'!AJ$14+SUM(' Plan Energi 2006'!AJ$17:AJ$22)+' Plan Energi 2006'!AJ$9+' Plan Energi 2006'!AJ$10&gt;0,' Plan Energi 2006'!AJ$14+SUM(' Plan Energi 2006'!AJ$17:AJ$22)+' Plan Energi 2006'!AJ$9+' Plan Energi 2006'!AJ$10,1)</f>
        <v>0</v>
      </c>
      <c r="E77" s="650"/>
      <c r="F77" s="650">
        <f>' Plan Energi 2008'!AJ9/IF(' Plan Energi 2008'!AJ$14+SUM(' Plan Energi 2008'!AJ$17:AJ$22)+' Plan Energi 2008'!AJ$9+' Plan Energi 2008'!AJ$10&gt;0,' Plan Energi 2008'!AJ$14+SUM(' Plan Energi 2008'!AJ$17:AJ$22)+' Plan Energi 2008'!AJ$9+' Plan Energi 2008'!AJ$10,1)</f>
        <v>0</v>
      </c>
      <c r="G77" s="650"/>
      <c r="H77" s="650">
        <f>' Plan Energi 2009'!AJ9/IF(' Plan Energi 2009'!AJ$14+SUM(' Plan Energi 2009'!AJ$17:AJ$22)+' Plan Energi 2009'!AJ$9+' Plan Energi 2009'!AJ$10&gt;0,' Plan Energi 2009'!AJ$14+SUM(' Plan Energi 2009'!AJ$17:AJ$22)+' Plan Energi 2009'!AJ$9+' Plan Energi 2009'!AJ$10,1)</f>
        <v>0</v>
      </c>
      <c r="I77" s="650"/>
      <c r="J77" s="650">
        <f>' Plan Energi 2011'!AJ9/IF(' Plan Energi 2011'!AJ$14+SUM(' Plan Energi 2011'!AJ$17:AJ$22)+' Plan Energi 2011'!AJ$9+' Plan Energi 2011'!AJ$10&gt;0,' Plan Energi 2011'!AJ$14+SUM(' Plan Energi 2011'!AJ$17:AJ$22)+' Plan Energi 2011'!AJ$9+' Plan Energi 2011'!AJ$10,1)</f>
        <v>0</v>
      </c>
      <c r="K77" s="650"/>
      <c r="L77" s="650">
        <f>' Plan Energi 2013'!AJ9/IF(' Plan Energi 2013'!AJ$14+SUM(' Plan Energi 2013'!AJ$17:AJ$22)+' Plan Energi 2013'!AJ$9+' Plan Energi 2013'!AJ$10&gt;0,' Plan Energi 2013'!AJ$14+SUM(' Plan Energi 2013'!AJ$17:AJ$22)+' Plan Energi 2013'!AJ$9+' Plan Energi 2013'!AJ$10,1)</f>
        <v>0</v>
      </c>
      <c r="M77" s="650"/>
      <c r="N77" s="650">
        <f>' Plan Energi 2015'!AJ9/IF(' Plan Energi 2015'!AJ$14+SUM(' Plan Energi 2015'!AJ$17:AJ$22)+' Plan Energi 2015'!AJ$9+' Plan Energi 2015'!AJ$10&gt;0,' Plan Energi 2015'!AJ$14+SUM(' Plan Energi 2015'!AJ$17:AJ$22)+' Plan Energi 2015'!AJ$9+' Plan Energi 2015'!AJ$10,1)</f>
        <v>0</v>
      </c>
      <c r="O77" s="650"/>
      <c r="P77" s="650">
        <f>' Plan Energi 2017'!AJ9/IF(' Plan Energi 2017'!AJ$14+SUM(' Plan Energi 2017'!AJ$17:AJ$22)+' Plan Energi 2017'!AJ$9+' Plan Energi 2017'!AJ$10&gt;0,' Plan Energi 2017'!AJ$14+SUM(' Plan Energi 2017'!AJ$17:AJ$22)+' Plan Energi 2017'!AJ$9+' Plan Energi 2017'!AJ$10,1)</f>
        <v>0</v>
      </c>
      <c r="Q77" s="650"/>
      <c r="R77" s="650">
        <f>' Plan Energi 2019'!AJ9/IF(' Plan Energi 2019'!AJ$14+SUM(' Plan Energi 2019'!AJ$17:AJ$22)+' Plan Energi 2019'!AJ$9+' Plan Energi 2019'!AJ$10&gt;0,' Plan Energi 2019'!AJ$14+SUM(' Plan Energi 2019'!AJ$17:AJ$22)+' Plan Energi 2019'!AJ$9+' Plan Energi 2019'!AJ$10,1)</f>
        <v>0</v>
      </c>
      <c r="S77" s="650"/>
      <c r="T77" s="726">
        <f>'Bolig, Service, Handel, Byg'!L43</f>
        <v>0</v>
      </c>
      <c r="U77" s="650"/>
      <c r="V77" s="726">
        <f>'Bolig, Service, Handel, Byg'!N43</f>
        <v>0</v>
      </c>
      <c r="W77" s="650"/>
      <c r="X77" s="604"/>
    </row>
    <row r="78" spans="1:24" x14ac:dyDescent="0.25">
      <c r="A78" s="633" t="s">
        <v>489</v>
      </c>
      <c r="B78" s="650"/>
      <c r="C78" s="650"/>
      <c r="D78" s="650"/>
      <c r="E78" s="650"/>
      <c r="F78" s="650"/>
      <c r="G78" s="650"/>
      <c r="H78" s="650"/>
      <c r="I78" s="650"/>
      <c r="J78" s="650"/>
      <c r="K78" s="650"/>
      <c r="L78" s="650"/>
      <c r="M78" s="650"/>
      <c r="N78" s="650"/>
      <c r="O78" s="650"/>
      <c r="P78" s="650"/>
      <c r="Q78" s="650"/>
      <c r="R78" s="650"/>
      <c r="S78" s="650"/>
      <c r="T78" s="650"/>
      <c r="U78" s="650"/>
      <c r="V78" s="650"/>
      <c r="W78" s="650"/>
      <c r="X78" s="604"/>
    </row>
    <row r="79" spans="1:24" x14ac:dyDescent="0.25">
      <c r="A79" s="604" t="s">
        <v>351</v>
      </c>
      <c r="B79" s="650">
        <f>' Plan Energi 2030-S'!AJ$39/IF(' Plan Energi 2030-S'!AJ$39+' Plan Energi 2030-S'!AJ$43+' Plan Energi 2030-S'!AJ$52+' Plan Energi 2030-S'!AJ$55+' Plan Energi 2030-S'!AJ$62+' Plan Energi 2030-S'!AJ$71&gt;0,' Plan Energi 2030-S'!AJ$39+' Plan Energi 2030-S'!AJ$43+' Plan Energi 2030-S'!AJ$52+' Plan Energi 2030-S'!AJ$55+' Plan Energi 2030-S'!AJ$62+' Plan Energi 2030-S'!AJ$71,1)</f>
        <v>0</v>
      </c>
      <c r="C79" s="650"/>
      <c r="D79" s="650">
        <f>' Plan Energi 2006'!AJ$39/IF(' Plan Energi 2006'!AJ$39+' Plan Energi 2006'!AJ$43+' Plan Energi 2006'!AJ$52+' Plan Energi 2006'!AJ$55+' Plan Energi 2006'!AJ$62+' Plan Energi 2006'!AJ$71&gt;0,' Plan Energi 2006'!AJ$39+' Plan Energi 2006'!AJ$43+' Plan Energi 2006'!AJ$52+' Plan Energi 2006'!AJ$55+' Plan Energi 2006'!AJ$62+' Plan Energi 2006'!AJ$71,1)</f>
        <v>0</v>
      </c>
      <c r="E79" s="650"/>
      <c r="F79" s="650">
        <f>' Plan Energi 2008'!AJ$39/IF(' Plan Energi 2008'!AJ$39+' Plan Energi 2008'!AJ$43+' Plan Energi 2008'!AJ$52+' Plan Energi 2008'!AJ$55+' Plan Energi 2008'!AJ$62+' Plan Energi 2008'!AJ$71&gt;0,' Plan Energi 2008'!AJ$39+' Plan Energi 2008'!AJ$43+' Plan Energi 2008'!AJ$52+' Plan Energi 2008'!AJ$55+' Plan Energi 2008'!AJ$62+' Plan Energi 2008'!AJ$71,1)</f>
        <v>0</v>
      </c>
      <c r="G79" s="650"/>
      <c r="H79" s="650">
        <f>' Plan Energi 2009'!AJ$39/IF(' Plan Energi 2009'!AJ$39+' Plan Energi 2009'!AJ$43+' Plan Energi 2009'!AJ$52+' Plan Energi 2009'!AJ$55+' Plan Energi 2009'!AJ$62+' Plan Energi 2009'!AJ$71&gt;0,' Plan Energi 2009'!AJ$39+' Plan Energi 2009'!AJ$43+' Plan Energi 2009'!AJ$52+' Plan Energi 2009'!AJ$55+' Plan Energi 2009'!AJ$62+' Plan Energi 2009'!AJ$71,1)</f>
        <v>0</v>
      </c>
      <c r="I79" s="650"/>
      <c r="J79" s="650">
        <f>' Plan Energi 2011'!AJ$39/IF(' Plan Energi 2011'!AJ$39+' Plan Energi 2011'!AJ$43+' Plan Energi 2011'!AJ$52+' Plan Energi 2011'!AJ$55+' Plan Energi 2011'!AJ$62+' Plan Energi 2011'!AJ$71&gt;0,' Plan Energi 2011'!AJ$39+' Plan Energi 2011'!AJ$43+' Plan Energi 2011'!AJ$52+' Plan Energi 2011'!AJ$55+' Plan Energi 2011'!AJ$62+' Plan Energi 2011'!AJ$71,1)</f>
        <v>0</v>
      </c>
      <c r="K79" s="650"/>
      <c r="L79" s="650">
        <f>' Plan Energi 2013'!AJ$39/IF(' Plan Energi 2013'!AJ$39+' Plan Energi 2013'!AJ$43+' Plan Energi 2013'!AJ$52+' Plan Energi 2013'!AJ$55+' Plan Energi 2013'!AJ$62+' Plan Energi 2013'!AJ$71&gt;0,' Plan Energi 2013'!AJ$39+' Plan Energi 2013'!AJ$43+' Plan Energi 2013'!AJ$52+' Plan Energi 2013'!AJ$55+' Plan Energi 2013'!AJ$62+' Plan Energi 2013'!AJ$71,1)</f>
        <v>0</v>
      </c>
      <c r="M79" s="650"/>
      <c r="N79" s="650">
        <f>' Plan Energi 2015'!AJ$39/IF(' Plan Energi 2015'!AJ$39+' Plan Energi 2015'!AJ$43+' Plan Energi 2015'!AJ$52+' Plan Energi 2015'!AJ$55+' Plan Energi 2015'!AJ$62+' Plan Energi 2015'!AJ$71&gt;0,' Plan Energi 2015'!AJ$39+' Plan Energi 2015'!AJ$43+' Plan Energi 2015'!AJ$52+' Plan Energi 2015'!AJ$55+' Plan Energi 2015'!AJ$62+' Plan Energi 2015'!AJ$71,1)</f>
        <v>0</v>
      </c>
      <c r="O79" s="650"/>
      <c r="P79" s="650">
        <f>' Plan Energi 2017'!AJ$39/IF(' Plan Energi 2017'!AJ$39+' Plan Energi 2017'!AJ$43+' Plan Energi 2017'!AJ$52+' Plan Energi 2017'!AJ$55+' Plan Energi 2017'!AJ$62+' Plan Energi 2017'!AJ$71&gt;0,' Plan Energi 2017'!AJ$39+' Plan Energi 2017'!AJ$43+' Plan Energi 2017'!AJ$52+' Plan Energi 2017'!AJ$55+' Plan Energi 2017'!AJ$62+' Plan Energi 2017'!AJ$71,1)</f>
        <v>0</v>
      </c>
      <c r="Q79" s="650"/>
      <c r="R79" s="650">
        <f>' Plan Energi 2019'!AJ$39/IF(' Plan Energi 2019'!AJ$39+' Plan Energi 2019'!AJ$43+' Plan Energi 2019'!AJ$52+' Plan Energi 2019'!AJ$55+' Plan Energi 2019'!AJ$62+' Plan Energi 2019'!AJ$71&gt;0,' Plan Energi 2019'!AJ$39+' Plan Energi 2019'!AJ$43+' Plan Energi 2019'!AJ$52+' Plan Energi 2019'!AJ$55+' Plan Energi 2019'!AJ$62+' Plan Energi 2019'!AJ$71,1)</f>
        <v>0</v>
      </c>
      <c r="S79" s="650"/>
      <c r="T79" s="727">
        <f>Fjernvarme!J7</f>
        <v>0</v>
      </c>
      <c r="U79" s="650"/>
      <c r="V79" s="727">
        <f>Fjernvarme!L7</f>
        <v>0</v>
      </c>
      <c r="W79" s="650"/>
      <c r="X79" s="604"/>
    </row>
    <row r="80" spans="1:24" x14ac:dyDescent="0.25">
      <c r="A80" s="604" t="s">
        <v>352</v>
      </c>
      <c r="B80" s="650">
        <f>' Plan Energi 2030-S'!AJ$43/IF(' Plan Energi 2030-S'!AJ$39+' Plan Energi 2030-S'!AJ$43+' Plan Energi 2030-S'!AJ$52+' Plan Energi 2030-S'!AJ$55+' Plan Energi 2030-S'!AJ$62+' Plan Energi 2030-S'!AJ$71&gt;0,' Plan Energi 2030-S'!AJ$39+' Plan Energi 2030-S'!AJ$43+' Plan Energi 2030-S'!AJ$52+' Plan Energi 2030-S'!AJ$55+' Plan Energi 2030-S'!AJ$62+' Plan Energi 2030-S'!AJ$71,1)</f>
        <v>0</v>
      </c>
      <c r="C80" s="650"/>
      <c r="D80" s="650">
        <f>' Plan Energi 2006'!AJ$43/IF(' Plan Energi 2006'!AJ$39+' Plan Energi 2006'!AJ$43+' Plan Energi 2006'!AJ$52+' Plan Energi 2006'!AJ$55+' Plan Energi 2006'!AJ$62+' Plan Energi 2006'!AJ$71&gt;0,' Plan Energi 2006'!AJ$39+' Plan Energi 2006'!AJ$43+' Plan Energi 2006'!AJ$52+' Plan Energi 2006'!AJ$55+' Plan Energi 2006'!AJ$62+' Plan Energi 2006'!AJ$71,1)</f>
        <v>0</v>
      </c>
      <c r="E80" s="650"/>
      <c r="F80" s="650">
        <f>' Plan Energi 2008'!AJ$43/IF(' Plan Energi 2008'!AJ$39+' Plan Energi 2008'!AJ$43+' Plan Energi 2008'!AJ$52+' Plan Energi 2008'!AJ$55+' Plan Energi 2008'!AJ$62+' Plan Energi 2008'!AJ$71&gt;0,' Plan Energi 2008'!AJ$39+' Plan Energi 2008'!AJ$43+' Plan Energi 2008'!AJ$52+' Plan Energi 2008'!AJ$55+' Plan Energi 2008'!AJ$62+' Plan Energi 2008'!AJ$71,1)</f>
        <v>0</v>
      </c>
      <c r="G80" s="650"/>
      <c r="H80" s="650">
        <f>' Plan Energi 2009'!AJ$43/IF(' Plan Energi 2009'!AJ$39+' Plan Energi 2009'!AJ$43+' Plan Energi 2009'!AJ$52+' Plan Energi 2009'!AJ$55+' Plan Energi 2009'!AJ$62+' Plan Energi 2009'!AJ$71&gt;0,' Plan Energi 2009'!AJ$39+' Plan Energi 2009'!AJ$43+' Plan Energi 2009'!AJ$52+' Plan Energi 2009'!AJ$55+' Plan Energi 2009'!AJ$62+' Plan Energi 2009'!AJ$71,1)</f>
        <v>0</v>
      </c>
      <c r="I80" s="650"/>
      <c r="J80" s="650">
        <f>' Plan Energi 2011'!AJ$43/IF(' Plan Energi 2011'!AJ$39+' Plan Energi 2011'!AJ$43+' Plan Energi 2011'!AJ$52+' Plan Energi 2011'!AJ$55+' Plan Energi 2011'!AJ$62+' Plan Energi 2011'!AJ$71&gt;0,' Plan Energi 2011'!AJ$39+' Plan Energi 2011'!AJ$43+' Plan Energi 2011'!AJ$52+' Plan Energi 2011'!AJ$55+' Plan Energi 2011'!AJ$62+' Plan Energi 2011'!AJ$71,1)</f>
        <v>0</v>
      </c>
      <c r="K80" s="650"/>
      <c r="L80" s="650">
        <f>' Plan Energi 2013'!AJ$43/IF(' Plan Energi 2013'!AJ$39+' Plan Energi 2013'!AJ$43+' Plan Energi 2013'!AJ$52+' Plan Energi 2013'!AJ$55+' Plan Energi 2013'!AJ$62+' Plan Energi 2013'!AJ$71&gt;0,' Plan Energi 2013'!AJ$39+' Plan Energi 2013'!AJ$43+' Plan Energi 2013'!AJ$52+' Plan Energi 2013'!AJ$55+' Plan Energi 2013'!AJ$62+' Plan Energi 2013'!AJ$71,1)</f>
        <v>0</v>
      </c>
      <c r="M80" s="650"/>
      <c r="N80" s="650">
        <f>' Plan Energi 2015'!AJ$43/IF(' Plan Energi 2015'!AJ$39+' Plan Energi 2015'!AJ$43+' Plan Energi 2015'!AJ$52+' Plan Energi 2015'!AJ$55+' Plan Energi 2015'!AJ$62+' Plan Energi 2015'!AJ$71&gt;0,' Plan Energi 2015'!AJ$39+' Plan Energi 2015'!AJ$43+' Plan Energi 2015'!AJ$52+' Plan Energi 2015'!AJ$55+' Plan Energi 2015'!AJ$62+' Plan Energi 2015'!AJ$71,1)</f>
        <v>0</v>
      </c>
      <c r="O80" s="650"/>
      <c r="P80" s="650">
        <f>' Plan Energi 2017'!AJ$43/IF(' Plan Energi 2017'!AJ$39+' Plan Energi 2017'!AJ$43+' Plan Energi 2017'!AJ$52+' Plan Energi 2017'!AJ$55+' Plan Energi 2017'!AJ$62+' Plan Energi 2017'!AJ$71&gt;0,' Plan Energi 2017'!AJ$39+' Plan Energi 2017'!AJ$43+' Plan Energi 2017'!AJ$52+' Plan Energi 2017'!AJ$55+' Plan Energi 2017'!AJ$62+' Plan Energi 2017'!AJ$71,1)</f>
        <v>0</v>
      </c>
      <c r="Q80" s="650"/>
      <c r="R80" s="650">
        <f>' Plan Energi 2019'!AJ$43/IF(' Plan Energi 2019'!AJ$39+' Plan Energi 2019'!AJ$43+' Plan Energi 2019'!AJ$52+' Plan Energi 2019'!AJ$55+' Plan Energi 2019'!AJ$62+' Plan Energi 2019'!AJ$71&gt;0,' Plan Energi 2019'!AJ$39+' Plan Energi 2019'!AJ$43+' Plan Energi 2019'!AJ$52+' Plan Energi 2019'!AJ$55+' Plan Energi 2019'!AJ$62+' Plan Energi 2019'!AJ$71,1)</f>
        <v>0</v>
      </c>
      <c r="S80" s="650"/>
      <c r="T80" s="727">
        <f>Fjernvarme!J8</f>
        <v>0</v>
      </c>
      <c r="U80" s="650"/>
      <c r="V80" s="727">
        <f>Fjernvarme!L8</f>
        <v>0</v>
      </c>
      <c r="W80" s="650"/>
      <c r="X80" s="604"/>
    </row>
    <row r="81" spans="1:24" x14ac:dyDescent="0.25">
      <c r="A81" s="604" t="s">
        <v>353</v>
      </c>
      <c r="B81" s="650">
        <f>' Plan Energi 2030-S'!AJ$52/IF(' Plan Energi 2030-S'!AJ$39+' Plan Energi 2030-S'!AJ$43+' Plan Energi 2030-S'!AJ$52+' Plan Energi 2030-S'!AJ$55+' Plan Energi 2030-S'!AJ$62+' Plan Energi 2030-S'!AJ$71&gt;0,' Plan Energi 2030-S'!AJ$39+' Plan Energi 2030-S'!AJ$43+' Plan Energi 2030-S'!AJ$52+' Plan Energi 2030-S'!AJ$55+' Plan Energi 2030-S'!AJ$62+' Plan Energi 2030-S'!AJ$71,1)</f>
        <v>0</v>
      </c>
      <c r="C81" s="650"/>
      <c r="D81" s="650">
        <f>' Plan Energi 2006'!AJ$52/IF(' Plan Energi 2006'!AJ$39+' Plan Energi 2006'!AJ$43+' Plan Energi 2006'!AJ$52+' Plan Energi 2006'!AJ$55+' Plan Energi 2006'!AJ$62+' Plan Energi 2006'!AJ$71&gt;0,' Plan Energi 2006'!AJ$39+' Plan Energi 2006'!AJ$43+' Plan Energi 2006'!AJ$52+' Plan Energi 2006'!AJ$55+' Plan Energi 2006'!AJ$62+' Plan Energi 2006'!AJ$71,1)</f>
        <v>0</v>
      </c>
      <c r="E81" s="650"/>
      <c r="F81" s="650">
        <f>' Plan Energi 2008'!AJ$52/IF(' Plan Energi 2008'!AJ$39+' Plan Energi 2008'!AJ$43+' Plan Energi 2008'!AJ$52+' Plan Energi 2008'!AJ$55+' Plan Energi 2008'!AJ$62+' Plan Energi 2008'!AJ$71&gt;0,' Plan Energi 2008'!AJ$39+' Plan Energi 2008'!AJ$43+' Plan Energi 2008'!AJ$52+' Plan Energi 2008'!AJ$55+' Plan Energi 2008'!AJ$62+' Plan Energi 2008'!AJ$71,1)</f>
        <v>0</v>
      </c>
      <c r="G81" s="650"/>
      <c r="H81" s="650">
        <f>' Plan Energi 2009'!AJ$52/IF(' Plan Energi 2009'!AJ$39+' Plan Energi 2009'!AJ$43+' Plan Energi 2009'!AJ$52+' Plan Energi 2009'!AJ$55+' Plan Energi 2009'!AJ$62+' Plan Energi 2009'!AJ$71&gt;0,' Plan Energi 2009'!AJ$39+' Plan Energi 2009'!AJ$43+' Plan Energi 2009'!AJ$52+' Plan Energi 2009'!AJ$55+' Plan Energi 2009'!AJ$62+' Plan Energi 2009'!AJ$71,1)</f>
        <v>0</v>
      </c>
      <c r="I81" s="650"/>
      <c r="J81" s="650">
        <f>' Plan Energi 2011'!AJ$52/IF(' Plan Energi 2011'!AJ$39+' Plan Energi 2011'!AJ$43+' Plan Energi 2011'!AJ$52+' Plan Energi 2011'!AJ$55+' Plan Energi 2011'!AJ$62+' Plan Energi 2011'!AJ$71&gt;0,' Plan Energi 2011'!AJ$39+' Plan Energi 2011'!AJ$43+' Plan Energi 2011'!AJ$52+' Plan Energi 2011'!AJ$55+' Plan Energi 2011'!AJ$62+' Plan Energi 2011'!AJ$71,1)</f>
        <v>0</v>
      </c>
      <c r="K81" s="650"/>
      <c r="L81" s="650">
        <f>' Plan Energi 2013'!AJ$52/IF(' Plan Energi 2013'!AJ$39+' Plan Energi 2013'!AJ$43+' Plan Energi 2013'!AJ$52+' Plan Energi 2013'!AJ$55+' Plan Energi 2013'!AJ$62+' Plan Energi 2013'!AJ$71&gt;0,' Plan Energi 2013'!AJ$39+' Plan Energi 2013'!AJ$43+' Plan Energi 2013'!AJ$52+' Plan Energi 2013'!AJ$55+' Plan Energi 2013'!AJ$62+' Plan Energi 2013'!AJ$71,1)</f>
        <v>0</v>
      </c>
      <c r="M81" s="650"/>
      <c r="N81" s="650">
        <f>' Plan Energi 2015'!AJ$52/IF(' Plan Energi 2015'!AJ$39+' Plan Energi 2015'!AJ$43+' Plan Energi 2015'!AJ$52+' Plan Energi 2015'!AJ$55+' Plan Energi 2015'!AJ$62+' Plan Energi 2015'!AJ$71&gt;0,' Plan Energi 2015'!AJ$39+' Plan Energi 2015'!AJ$43+' Plan Energi 2015'!AJ$52+' Plan Energi 2015'!AJ$55+' Plan Energi 2015'!AJ$62+' Plan Energi 2015'!AJ$71,1)</f>
        <v>0</v>
      </c>
      <c r="O81" s="650"/>
      <c r="P81" s="650">
        <f>' Plan Energi 2017'!AJ$52/IF(' Plan Energi 2017'!AJ$39+' Plan Energi 2017'!AJ$43+' Plan Energi 2017'!AJ$52+' Plan Energi 2017'!AJ$55+' Plan Energi 2017'!AJ$62+' Plan Energi 2017'!AJ$71&gt;0,' Plan Energi 2017'!AJ$39+' Plan Energi 2017'!AJ$43+' Plan Energi 2017'!AJ$52+' Plan Energi 2017'!AJ$55+' Plan Energi 2017'!AJ$62+' Plan Energi 2017'!AJ$71,1)</f>
        <v>0</v>
      </c>
      <c r="Q81" s="650"/>
      <c r="R81" s="650">
        <f>' Plan Energi 2019'!AJ$52/IF(' Plan Energi 2019'!AJ$39+' Plan Energi 2019'!AJ$43+' Plan Energi 2019'!AJ$52+' Plan Energi 2019'!AJ$55+' Plan Energi 2019'!AJ$62+' Plan Energi 2019'!AJ$71&gt;0,' Plan Energi 2019'!AJ$39+' Plan Energi 2019'!AJ$43+' Plan Energi 2019'!AJ$52+' Plan Energi 2019'!AJ$55+' Plan Energi 2019'!AJ$62+' Plan Energi 2019'!AJ$71,1)</f>
        <v>0</v>
      </c>
      <c r="S81" s="650"/>
      <c r="T81" s="727">
        <f>Fjernvarme!J9</f>
        <v>0</v>
      </c>
      <c r="U81" s="650"/>
      <c r="V81" s="727">
        <f>Fjernvarme!L9</f>
        <v>0</v>
      </c>
      <c r="W81" s="650"/>
      <c r="X81" s="604"/>
    </row>
    <row r="82" spans="1:24" x14ac:dyDescent="0.25">
      <c r="A82" s="604" t="s">
        <v>354</v>
      </c>
      <c r="B82" s="650">
        <f>' Plan Energi 2030-S'!AJ$55/IF(' Plan Energi 2030-S'!AJ$39+' Plan Energi 2030-S'!AJ$43+' Plan Energi 2030-S'!AJ$52+' Plan Energi 2030-S'!AJ$55+' Plan Energi 2030-S'!AJ$62+' Plan Energi 2030-S'!AJ$71&gt;0,' Plan Energi 2030-S'!AJ$39+' Plan Energi 2030-S'!AJ$43+' Plan Energi 2030-S'!AJ$52+' Plan Energi 2030-S'!AJ$55+' Plan Energi 2030-S'!AJ$62+' Plan Energi 2030-S'!AJ$71,1)</f>
        <v>0</v>
      </c>
      <c r="C82" s="650"/>
      <c r="D82" s="650">
        <f>' Plan Energi 2006'!AJ$55/IF(' Plan Energi 2006'!AJ$39+' Plan Energi 2006'!AJ$43+' Plan Energi 2006'!AJ$52+' Plan Energi 2006'!AJ$55+' Plan Energi 2006'!AJ$62+' Plan Energi 2006'!AJ$71&gt;0,' Plan Energi 2006'!AJ$39+' Plan Energi 2006'!AJ$43+' Plan Energi 2006'!AJ$52+' Plan Energi 2006'!AJ$55+' Plan Energi 2006'!AJ$62+' Plan Energi 2006'!AJ$71,1)</f>
        <v>0</v>
      </c>
      <c r="E82" s="650"/>
      <c r="F82" s="650">
        <f>' Plan Energi 2008'!AJ$55/IF(' Plan Energi 2008'!AJ$39+' Plan Energi 2008'!AJ$43+' Plan Energi 2008'!AJ$52+' Plan Energi 2008'!AJ$55+' Plan Energi 2008'!AJ$62+' Plan Energi 2008'!AJ$71&gt;0,' Plan Energi 2008'!AJ$39+' Plan Energi 2008'!AJ$43+' Plan Energi 2008'!AJ$52+' Plan Energi 2008'!AJ$55+' Plan Energi 2008'!AJ$62+' Plan Energi 2008'!AJ$71,1)</f>
        <v>0</v>
      </c>
      <c r="G82" s="650"/>
      <c r="H82" s="650">
        <f>' Plan Energi 2009'!AJ$55/IF(' Plan Energi 2009'!AJ$39+' Plan Energi 2009'!AJ$43+' Plan Energi 2009'!AJ$52+' Plan Energi 2009'!AJ$55+' Plan Energi 2009'!AJ$62+' Plan Energi 2009'!AJ$71&gt;0,' Plan Energi 2009'!AJ$39+' Plan Energi 2009'!AJ$43+' Plan Energi 2009'!AJ$52+' Plan Energi 2009'!AJ$55+' Plan Energi 2009'!AJ$62+' Plan Energi 2009'!AJ$71,1)</f>
        <v>0</v>
      </c>
      <c r="I82" s="650"/>
      <c r="J82" s="650">
        <f>' Plan Energi 2011'!AJ$55/IF(' Plan Energi 2011'!AJ$39+' Plan Energi 2011'!AJ$43+' Plan Energi 2011'!AJ$52+' Plan Energi 2011'!AJ$55+' Plan Energi 2011'!AJ$62+' Plan Energi 2011'!AJ$71&gt;0,' Plan Energi 2011'!AJ$39+' Plan Energi 2011'!AJ$43+' Plan Energi 2011'!AJ$52+' Plan Energi 2011'!AJ$55+' Plan Energi 2011'!AJ$62+' Plan Energi 2011'!AJ$71,1)</f>
        <v>0</v>
      </c>
      <c r="K82" s="650"/>
      <c r="L82" s="650">
        <f>' Plan Energi 2013'!AJ$55/IF(' Plan Energi 2013'!AJ$39+' Plan Energi 2013'!AJ$43+' Plan Energi 2013'!AJ$52+' Plan Energi 2013'!AJ$55+' Plan Energi 2013'!AJ$62+' Plan Energi 2013'!AJ$71&gt;0,' Plan Energi 2013'!AJ$39+' Plan Energi 2013'!AJ$43+' Plan Energi 2013'!AJ$52+' Plan Energi 2013'!AJ$55+' Plan Energi 2013'!AJ$62+' Plan Energi 2013'!AJ$71,1)</f>
        <v>0</v>
      </c>
      <c r="M82" s="650"/>
      <c r="N82" s="650">
        <f>' Plan Energi 2015'!AJ$55/IF(' Plan Energi 2015'!AJ$39+' Plan Energi 2015'!AJ$43+' Plan Energi 2015'!AJ$52+' Plan Energi 2015'!AJ$55+' Plan Energi 2015'!AJ$62+' Plan Energi 2015'!AJ$71&gt;0,' Plan Energi 2015'!AJ$39+' Plan Energi 2015'!AJ$43+' Plan Energi 2015'!AJ$52+' Plan Energi 2015'!AJ$55+' Plan Energi 2015'!AJ$62+' Plan Energi 2015'!AJ$71,1)</f>
        <v>0</v>
      </c>
      <c r="O82" s="650"/>
      <c r="P82" s="650">
        <f>' Plan Energi 2017'!AJ$55/IF(' Plan Energi 2017'!AJ$39+' Plan Energi 2017'!AJ$43+' Plan Energi 2017'!AJ$52+' Plan Energi 2017'!AJ$55+' Plan Energi 2017'!AJ$62+' Plan Energi 2017'!AJ$71&gt;0,' Plan Energi 2017'!AJ$39+' Plan Energi 2017'!AJ$43+' Plan Energi 2017'!AJ$52+' Plan Energi 2017'!AJ$55+' Plan Energi 2017'!AJ$62+' Plan Energi 2017'!AJ$71,1)</f>
        <v>0</v>
      </c>
      <c r="Q82" s="650"/>
      <c r="R82" s="650">
        <f>' Plan Energi 2019'!AJ$55/IF(' Plan Energi 2019'!AJ$39+' Plan Energi 2019'!AJ$43+' Plan Energi 2019'!AJ$52+' Plan Energi 2019'!AJ$55+' Plan Energi 2019'!AJ$62+' Plan Energi 2019'!AJ$71&gt;0,' Plan Energi 2019'!AJ$39+' Plan Energi 2019'!AJ$43+' Plan Energi 2019'!AJ$52+' Plan Energi 2019'!AJ$55+' Plan Energi 2019'!AJ$62+' Plan Energi 2019'!AJ$71,1)</f>
        <v>0</v>
      </c>
      <c r="S82" s="650"/>
      <c r="T82" s="727">
        <f>Fjernvarme!J10</f>
        <v>0</v>
      </c>
      <c r="U82" s="650"/>
      <c r="V82" s="727">
        <f>Fjernvarme!L10</f>
        <v>0</v>
      </c>
      <c r="W82" s="650"/>
      <c r="X82" s="604"/>
    </row>
    <row r="83" spans="1:24" x14ac:dyDescent="0.25">
      <c r="A83" s="604" t="s">
        <v>199</v>
      </c>
      <c r="B83" s="650">
        <f>' Plan Energi 2030-S'!AJ$62/IF(' Plan Energi 2030-S'!AJ$39+' Plan Energi 2030-S'!AJ$43+' Plan Energi 2030-S'!AJ$52+' Plan Energi 2030-S'!AJ$55+' Plan Energi 2030-S'!AJ$62+' Plan Energi 2030-S'!AJ$71&gt;0,' Plan Energi 2030-S'!AJ$39+' Plan Energi 2030-S'!AJ$43+' Plan Energi 2030-S'!AJ$52+' Plan Energi 2030-S'!AJ$55+' Plan Energi 2030-S'!AJ$62+' Plan Energi 2030-S'!AJ$71,1)</f>
        <v>0.81422293248102273</v>
      </c>
      <c r="C83" s="650"/>
      <c r="D83" s="650">
        <f>' Plan Energi 2006'!AJ$62/IF(' Plan Energi 2006'!AJ$39+' Plan Energi 2006'!AJ$43+' Plan Energi 2006'!AJ$52+' Plan Energi 2006'!AJ$55+' Plan Energi 2006'!AJ$62+' Plan Energi 2006'!AJ$71&gt;0,' Plan Energi 2006'!AJ$39+' Plan Energi 2006'!AJ$43+' Plan Energi 2006'!AJ$52+' Plan Energi 2006'!AJ$55+' Plan Energi 2006'!AJ$62+' Plan Energi 2006'!AJ$71,1)</f>
        <v>0.80201498808706606</v>
      </c>
      <c r="E83" s="650"/>
      <c r="F83" s="650">
        <f>' Plan Energi 2008'!AJ$62/IF(' Plan Energi 2008'!AJ$39+' Plan Energi 2008'!AJ$43+' Plan Energi 2008'!AJ$52+' Plan Energi 2008'!AJ$55+' Plan Energi 2008'!AJ$62+' Plan Energi 2008'!AJ$71&gt;0,' Plan Energi 2008'!AJ$39+' Plan Energi 2008'!AJ$43+' Plan Energi 2008'!AJ$52+' Plan Energi 2008'!AJ$55+' Plan Energi 2008'!AJ$62+' Plan Energi 2008'!AJ$71,1)</f>
        <v>0.82968314293276579</v>
      </c>
      <c r="G83" s="650"/>
      <c r="H83" s="650">
        <f>' Plan Energi 2009'!AJ$62/IF(' Plan Energi 2009'!AJ$39+' Plan Energi 2009'!AJ$43+' Plan Energi 2009'!AJ$52+' Plan Energi 2009'!AJ$55+' Plan Energi 2009'!AJ$62+' Plan Energi 2009'!AJ$71&gt;0,' Plan Energi 2009'!AJ$39+' Plan Energi 2009'!AJ$43+' Plan Energi 2009'!AJ$52+' Plan Energi 2009'!AJ$55+' Plan Energi 2009'!AJ$62+' Plan Energi 2009'!AJ$71,1)</f>
        <v>0.84029857568292798</v>
      </c>
      <c r="I83" s="650"/>
      <c r="J83" s="650">
        <f>' Plan Energi 2011'!AJ$62/IF(' Plan Energi 2011'!AJ$39+' Plan Energi 2011'!AJ$43+' Plan Energi 2011'!AJ$52+' Plan Energi 2011'!AJ$55+' Plan Energi 2011'!AJ$62+' Plan Energi 2011'!AJ$71&gt;0,' Plan Energi 2011'!AJ$39+' Plan Energi 2011'!AJ$43+' Plan Energi 2011'!AJ$52+' Plan Energi 2011'!AJ$55+' Plan Energi 2011'!AJ$62+' Plan Energi 2011'!AJ$71,1)</f>
        <v>0.84428002689279003</v>
      </c>
      <c r="K83" s="650"/>
      <c r="L83" s="650">
        <f>' Plan Energi 2013'!AJ$62/IF(' Plan Energi 2013'!AJ$39+' Plan Energi 2013'!AJ$43+' Plan Energi 2013'!AJ$52+' Plan Energi 2013'!AJ$55+' Plan Energi 2013'!AJ$62+' Plan Energi 2013'!AJ$71&gt;0,' Plan Energi 2013'!AJ$39+' Plan Energi 2013'!AJ$43+' Plan Energi 2013'!AJ$52+' Plan Energi 2013'!AJ$55+' Plan Energi 2013'!AJ$62+' Plan Energi 2013'!AJ$71,1)</f>
        <v>0.84952884213808344</v>
      </c>
      <c r="M83" s="650"/>
      <c r="N83" s="650">
        <f>' Plan Energi 2015'!AJ$62/IF(' Plan Energi 2015'!AJ$39+' Plan Energi 2015'!AJ$43+' Plan Energi 2015'!AJ$52+' Plan Energi 2015'!AJ$55+' Plan Energi 2015'!AJ$62+' Plan Energi 2015'!AJ$71&gt;0,' Plan Energi 2015'!AJ$39+' Plan Energi 2015'!AJ$43+' Plan Energi 2015'!AJ$52+' Plan Energi 2015'!AJ$55+' Plan Energi 2015'!AJ$62+' Plan Energi 2015'!AJ$71,1)</f>
        <v>0.80918601530058076</v>
      </c>
      <c r="O83" s="650"/>
      <c r="P83" s="650">
        <f>' Plan Energi 2017'!AJ$62/IF(' Plan Energi 2017'!AJ$39+' Plan Energi 2017'!AJ$43+' Plan Energi 2017'!AJ$52+' Plan Energi 2017'!AJ$55+' Plan Energi 2017'!AJ$62+' Plan Energi 2017'!AJ$71&gt;0,' Plan Energi 2017'!AJ$39+' Plan Energi 2017'!AJ$43+' Plan Energi 2017'!AJ$52+' Plan Energi 2017'!AJ$55+' Plan Energi 2017'!AJ$62+' Plan Energi 2017'!AJ$71,1)</f>
        <v>0.81418118308542342</v>
      </c>
      <c r="Q83" s="650"/>
      <c r="R83" s="650">
        <f>' Plan Energi 2019'!AJ$62/IF(' Plan Energi 2019'!AJ$39+' Plan Energi 2019'!AJ$43+' Plan Energi 2019'!AJ$52+' Plan Energi 2019'!AJ$55+' Plan Energi 2019'!AJ$62+' Plan Energi 2019'!AJ$71&gt;0,' Plan Energi 2019'!AJ$39+' Plan Energi 2019'!AJ$43+' Plan Energi 2019'!AJ$52+' Plan Energi 2019'!AJ$55+' Plan Energi 2019'!AJ$62+' Plan Energi 2019'!AJ$71,1)</f>
        <v>0.81418118308542342</v>
      </c>
      <c r="S83" s="650"/>
      <c r="T83" s="727">
        <f>Fjernvarme!J11</f>
        <v>0.81422293248102273</v>
      </c>
      <c r="U83" s="650"/>
      <c r="V83" s="727">
        <f>Fjernvarme!L11</f>
        <v>0.81422293248102273</v>
      </c>
      <c r="W83" s="650"/>
      <c r="X83" s="604"/>
    </row>
    <row r="84" spans="1:24" x14ac:dyDescent="0.25">
      <c r="A84" s="604" t="s">
        <v>493</v>
      </c>
      <c r="B84" s="650">
        <f>' Plan Energi 2030-S'!AJ$71/IF(' Plan Energi 2030-S'!AJ$39+' Plan Energi 2030-S'!AJ$43+' Plan Energi 2030-S'!AJ$52+' Plan Energi 2030-S'!AJ$55+' Plan Energi 2030-S'!AJ$62+' Plan Energi 2030-S'!AJ$71&gt;0,' Plan Energi 2030-S'!AJ$39+' Plan Energi 2030-S'!AJ$43+' Plan Energi 2030-S'!AJ$52+' Plan Energi 2030-S'!AJ$55+' Plan Energi 2030-S'!AJ$62+' Plan Energi 2030-S'!AJ$71,1)</f>
        <v>0.18577706751897727</v>
      </c>
      <c r="C84" s="650"/>
      <c r="D84" s="650">
        <f>' Plan Energi 2006'!AJ$71/IF(' Plan Energi 2006'!AJ$39+' Plan Energi 2006'!AJ$43+' Plan Energi 2006'!AJ$52+' Plan Energi 2006'!AJ$55+' Plan Energi 2006'!AJ$62+' Plan Energi 2006'!AJ$71&gt;0,' Plan Energi 2006'!AJ$39+' Plan Energi 2006'!AJ$43+' Plan Energi 2006'!AJ$52+' Plan Energi 2006'!AJ$55+' Plan Energi 2006'!AJ$62+' Plan Energi 2006'!AJ$71,1)</f>
        <v>0.19798501191293397</v>
      </c>
      <c r="E84" s="650"/>
      <c r="F84" s="650">
        <f>' Plan Energi 2008'!AJ$71/IF(' Plan Energi 2008'!AJ$39+' Plan Energi 2008'!AJ$43+' Plan Energi 2008'!AJ$52+' Plan Energi 2008'!AJ$55+' Plan Energi 2008'!AJ$62+' Plan Energi 2008'!AJ$71&gt;0,' Plan Energi 2008'!AJ$39+' Plan Energi 2008'!AJ$43+' Plan Energi 2008'!AJ$52+' Plan Energi 2008'!AJ$55+' Plan Energi 2008'!AJ$62+' Plan Energi 2008'!AJ$71,1)</f>
        <v>0.17031685706723423</v>
      </c>
      <c r="G84" s="650"/>
      <c r="H84" s="650">
        <f>' Plan Energi 2009'!AJ$71/IF(' Plan Energi 2009'!AJ$39+' Plan Energi 2009'!AJ$43+' Plan Energi 2009'!AJ$52+' Plan Energi 2009'!AJ$55+' Plan Energi 2009'!AJ$62+' Plan Energi 2009'!AJ$71&gt;0,' Plan Energi 2009'!AJ$39+' Plan Energi 2009'!AJ$43+' Plan Energi 2009'!AJ$52+' Plan Energi 2009'!AJ$55+' Plan Energi 2009'!AJ$62+' Plan Energi 2009'!AJ$71,1)</f>
        <v>0.15970142431707213</v>
      </c>
      <c r="I84" s="650"/>
      <c r="J84" s="650">
        <f>' Plan Energi 2011'!AJ$71/IF(' Plan Energi 2011'!AJ$39+' Plan Energi 2011'!AJ$43+' Plan Energi 2011'!AJ$52+' Plan Energi 2011'!AJ$55+' Plan Energi 2011'!AJ$62+' Plan Energi 2011'!AJ$71&gt;0,' Plan Energi 2011'!AJ$39+' Plan Energi 2011'!AJ$43+' Plan Energi 2011'!AJ$52+' Plan Energi 2011'!AJ$55+' Plan Energi 2011'!AJ$62+' Plan Energi 2011'!AJ$71,1)</f>
        <v>0.15571997310721006</v>
      </c>
      <c r="K84" s="650"/>
      <c r="L84" s="650">
        <f>' Plan Energi 2013'!AJ$71/IF(' Plan Energi 2013'!AJ$39+' Plan Energi 2013'!AJ$43+' Plan Energi 2013'!AJ$52+' Plan Energi 2013'!AJ$55+' Plan Energi 2013'!AJ$62+' Plan Energi 2013'!AJ$71&gt;0,' Plan Energi 2013'!AJ$39+' Plan Energi 2013'!AJ$43+' Plan Energi 2013'!AJ$52+' Plan Energi 2013'!AJ$55+' Plan Energi 2013'!AJ$62+' Plan Energi 2013'!AJ$71,1)</f>
        <v>0.15047115786191659</v>
      </c>
      <c r="M84" s="650"/>
      <c r="N84" s="650">
        <f>' Plan Energi 2015'!AJ$71/IF(' Plan Energi 2015'!AJ$39+' Plan Energi 2015'!AJ$43+' Plan Energi 2015'!AJ$52+' Plan Energi 2015'!AJ$55+' Plan Energi 2015'!AJ$62+' Plan Energi 2015'!AJ$71&gt;0,' Plan Energi 2015'!AJ$39+' Plan Energi 2015'!AJ$43+' Plan Energi 2015'!AJ$52+' Plan Energi 2015'!AJ$55+' Plan Energi 2015'!AJ$62+' Plan Energi 2015'!AJ$71,1)</f>
        <v>0.19081398469941935</v>
      </c>
      <c r="O84" s="650"/>
      <c r="P84" s="650">
        <f>' Plan Energi 2017'!AJ$71/IF(' Plan Energi 2017'!AJ$39+' Plan Energi 2017'!AJ$43+' Plan Energi 2017'!AJ$52+' Plan Energi 2017'!AJ$55+' Plan Energi 2017'!AJ$62+' Plan Energi 2017'!AJ$71&gt;0,' Plan Energi 2017'!AJ$39+' Plan Energi 2017'!AJ$43+' Plan Energi 2017'!AJ$52+' Plan Energi 2017'!AJ$55+' Plan Energi 2017'!AJ$62+' Plan Energi 2017'!AJ$71,1)</f>
        <v>0.18581881691457661</v>
      </c>
      <c r="Q84" s="650"/>
      <c r="R84" s="650">
        <f>' Plan Energi 2019'!AJ$71/IF(' Plan Energi 2019'!AJ$39+' Plan Energi 2019'!AJ$43+' Plan Energi 2019'!AJ$52+' Plan Energi 2019'!AJ$55+' Plan Energi 2019'!AJ$62+' Plan Energi 2019'!AJ$71&gt;0,' Plan Energi 2019'!AJ$39+' Plan Energi 2019'!AJ$43+' Plan Energi 2019'!AJ$52+' Plan Energi 2019'!AJ$55+' Plan Energi 2019'!AJ$62+' Plan Energi 2019'!AJ$71,1)</f>
        <v>0.18581881691457661</v>
      </c>
      <c r="S84" s="650"/>
      <c r="T84" s="727">
        <f>Fjernvarme!J12</f>
        <v>0.18577706751897727</v>
      </c>
      <c r="U84" s="650"/>
      <c r="V84" s="727">
        <f>Fjernvarme!L12</f>
        <v>0.18577706751897727</v>
      </c>
      <c r="W84" s="650"/>
      <c r="X84" s="604"/>
    </row>
    <row r="85" spans="1:24" x14ac:dyDescent="0.25">
      <c r="A85" s="629" t="s">
        <v>262</v>
      </c>
      <c r="B85" s="649">
        <f>B86+B90+B93</f>
        <v>272.81692245616006</v>
      </c>
      <c r="C85" s="650"/>
      <c r="D85" s="649">
        <f>D86+D90+D93</f>
        <v>284.47571743922822</v>
      </c>
      <c r="E85" s="650"/>
      <c r="F85" s="649">
        <f>F86+F90+F93</f>
        <v>333.74663464677315</v>
      </c>
      <c r="G85" s="650">
        <f t="shared" ref="G85:Q93" si="47">(F85-D85)/IF(D85&gt;0,D85,1)/(F$1-D$1)</f>
        <v>8.659951304643522E-2</v>
      </c>
      <c r="H85" s="649">
        <f>H86+H90+H93</f>
        <v>366.70798061546401</v>
      </c>
      <c r="I85" s="650">
        <f t="shared" si="47"/>
        <v>9.8761583030121364E-2</v>
      </c>
      <c r="J85" s="649">
        <f>J86+J90+J93</f>
        <v>343.04077340854303</v>
      </c>
      <c r="K85" s="650">
        <f t="shared" si="47"/>
        <v>-3.2269828389334669E-2</v>
      </c>
      <c r="L85" s="649">
        <f>L86+L90+L93</f>
        <v>319.65211444826008</v>
      </c>
      <c r="M85" s="650">
        <f t="shared" si="47"/>
        <v>-3.4090202642512592E-2</v>
      </c>
      <c r="N85" s="649">
        <f>N86+N90+N93</f>
        <v>287.04009934068404</v>
      </c>
      <c r="O85" s="650">
        <f t="shared" si="47"/>
        <v>-5.1011730618247993E-2</v>
      </c>
      <c r="P85" s="649">
        <f>P86+P90+P93</f>
        <v>272.76933185884002</v>
      </c>
      <c r="Q85" s="650">
        <f t="shared" si="47"/>
        <v>-2.4858491051639158E-2</v>
      </c>
      <c r="R85" s="649">
        <f>R86+R90+R93</f>
        <v>272.76933185884002</v>
      </c>
      <c r="S85" s="650">
        <f t="shared" ref="S85:S93" si="48">(R85-P85)/IF(P85&gt;0,P85,1)/IF(R$1-P$1&gt;0,R$1-P$1,1)</f>
        <v>0</v>
      </c>
      <c r="T85" s="649">
        <f>T86+T90+T93</f>
        <v>272.76933185884002</v>
      </c>
      <c r="U85" s="650">
        <f>(T85-Nøgletal!P85)/IF(Nøgletal!P85&gt;0,Nøgletal!P85,1)/(T$1-Nøgletal!P$1)</f>
        <v>0</v>
      </c>
      <c r="V85" s="649">
        <f>V86+V90+V93</f>
        <v>304.01307715584653</v>
      </c>
      <c r="W85" s="650">
        <f>(V85-Nøgletal!P85)/IF(T85&gt;0,T85,1)/(V$1-Nøgletal!P$1)</f>
        <v>8.8109796158844303E-3</v>
      </c>
      <c r="X85" s="604"/>
    </row>
    <row r="86" spans="1:24" x14ac:dyDescent="0.25">
      <c r="A86" s="631" t="s">
        <v>485</v>
      </c>
      <c r="B86" s="649">
        <f>SUM(B87:B89)</f>
        <v>61</v>
      </c>
      <c r="C86" s="650"/>
      <c r="D86" s="649">
        <f>SUM(D87:D89)</f>
        <v>91.800847132200005</v>
      </c>
      <c r="E86" s="650"/>
      <c r="F86" s="649">
        <f>SUM(F87:F89)</f>
        <v>100.236297906</v>
      </c>
      <c r="G86" s="650">
        <f t="shared" si="47"/>
        <v>4.594429701532235E-2</v>
      </c>
      <c r="H86" s="649">
        <f>SUM(H87:H89)</f>
        <v>107.16999594660001</v>
      </c>
      <c r="I86" s="650">
        <f t="shared" si="47"/>
        <v>6.9173524815354992E-2</v>
      </c>
      <c r="J86" s="649">
        <f>SUM(J87:J89)</f>
        <v>109.299761930583</v>
      </c>
      <c r="K86" s="650">
        <f t="shared" si="47"/>
        <v>9.9363910820907293E-3</v>
      </c>
      <c r="L86" s="649">
        <f>SUM(L87:L89)</f>
        <v>106.34713210969201</v>
      </c>
      <c r="M86" s="650">
        <f t="shared" si="47"/>
        <v>-1.3507027685779523E-2</v>
      </c>
      <c r="N86" s="649">
        <f>SUM(N87:N89)</f>
        <v>80.8</v>
      </c>
      <c r="O86" s="650">
        <f t="shared" si="47"/>
        <v>-0.12011199363298938</v>
      </c>
      <c r="P86" s="649">
        <f>SUM(P87:P89)</f>
        <v>61</v>
      </c>
      <c r="Q86" s="650">
        <f t="shared" si="47"/>
        <v>-0.12252475247524751</v>
      </c>
      <c r="R86" s="649">
        <f>SUM(R87:R89)</f>
        <v>61</v>
      </c>
      <c r="S86" s="650">
        <f t="shared" si="48"/>
        <v>0</v>
      </c>
      <c r="T86" s="649">
        <f>'Bolig, Service, Handel, Byg'!L45</f>
        <v>61</v>
      </c>
      <c r="U86" s="724">
        <f>'Bolig, Service, Handel, Byg'!M45</f>
        <v>0</v>
      </c>
      <c r="V86" s="649">
        <f>'Bolig, Service, Handel, Byg'!N45</f>
        <v>77.982135143341793</v>
      </c>
      <c r="W86" s="725">
        <f>'Bolig, Service, Handel, Byg'!O45</f>
        <v>1.9072358978824866E-2</v>
      </c>
      <c r="X86" s="604"/>
    </row>
    <row r="87" spans="1:24" ht="15" customHeight="1" x14ac:dyDescent="0.25">
      <c r="A87" s="604" t="s">
        <v>305</v>
      </c>
      <c r="B87" s="649">
        <f>' Plan Energi 2030-S'!AK11</f>
        <v>8.1</v>
      </c>
      <c r="C87" s="650"/>
      <c r="D87" s="649">
        <f>' Plan Energi 2006'!AK11</f>
        <v>12.14939745</v>
      </c>
      <c r="E87" s="650"/>
      <c r="F87" s="649">
        <f>' Plan Energi 2008'!AK11</f>
        <v>13.265788500000001</v>
      </c>
      <c r="G87" s="650">
        <f t="shared" si="47"/>
        <v>4.5944297015322377E-2</v>
      </c>
      <c r="H87" s="649">
        <f>' Plan Energi 2009'!AK11</f>
        <v>14.183429850000001</v>
      </c>
      <c r="I87" s="650">
        <f t="shared" si="47"/>
        <v>6.9173524815354936E-2</v>
      </c>
      <c r="J87" s="649">
        <f>' Plan Energi 2011'!AK11</f>
        <v>14.465294061750001</v>
      </c>
      <c r="K87" s="650">
        <f t="shared" si="47"/>
        <v>9.9363910820907467E-3</v>
      </c>
      <c r="L87" s="649">
        <f>' Plan Energi 2013'!AK11</f>
        <v>14.074527807000001</v>
      </c>
      <c r="M87" s="650">
        <f t="shared" si="47"/>
        <v>-1.3507027685779563E-2</v>
      </c>
      <c r="N87" s="649">
        <f>' Plan Energi 2015'!AK11</f>
        <v>10.7</v>
      </c>
      <c r="O87" s="650">
        <f t="shared" si="47"/>
        <v>-0.11988067568851837</v>
      </c>
      <c r="P87" s="649">
        <f>' Plan Energi 2017'!AK11</f>
        <v>8.1</v>
      </c>
      <c r="Q87" s="650">
        <f t="shared" si="47"/>
        <v>-0.12149532710280372</v>
      </c>
      <c r="R87" s="649">
        <f>' Plan Energi 2019'!AK11</f>
        <v>8.1</v>
      </c>
      <c r="S87" s="650">
        <f t="shared" si="48"/>
        <v>0</v>
      </c>
      <c r="T87" s="649">
        <f>'Bolig, Service, Handel, Byg'!L46</f>
        <v>8.1</v>
      </c>
      <c r="U87" s="724">
        <f>'Bolig, Service, Handel, Byg'!M46</f>
        <v>0</v>
      </c>
      <c r="V87" s="649">
        <f>'Bolig, Service, Handel, Byg'!N46</f>
        <v>10.355004830509319</v>
      </c>
      <c r="W87" s="725">
        <f>'Bolig, Service, Handel, Byg'!O46</f>
        <v>1.9072358978824866E-2</v>
      </c>
      <c r="X87" s="604"/>
    </row>
    <row r="88" spans="1:24" ht="15" customHeight="1" x14ac:dyDescent="0.25">
      <c r="A88" s="604" t="s">
        <v>309</v>
      </c>
      <c r="B88" s="649">
        <f>' Plan Energi 2030-S'!AK12</f>
        <v>27.1</v>
      </c>
      <c r="C88" s="650"/>
      <c r="D88" s="649">
        <f>' Plan Energi 2006'!AK12</f>
        <v>40.821975432000009</v>
      </c>
      <c r="E88" s="650"/>
      <c r="F88" s="649">
        <f>' Plan Energi 2008'!AK12</f>
        <v>44.573049360000006</v>
      </c>
      <c r="G88" s="650">
        <f t="shared" si="47"/>
        <v>4.5944297015322301E-2</v>
      </c>
      <c r="H88" s="649">
        <f>' Plan Energi 2009'!AK12</f>
        <v>47.656324296000001</v>
      </c>
      <c r="I88" s="650">
        <f t="shared" si="47"/>
        <v>6.9173524815354812E-2</v>
      </c>
      <c r="J88" s="649">
        <f>' Plan Energi 2011'!AK12</f>
        <v>48.603388047480003</v>
      </c>
      <c r="K88" s="650">
        <f t="shared" si="47"/>
        <v>9.9363910820907866E-3</v>
      </c>
      <c r="L88" s="649">
        <f>' Plan Energi 2013'!AK12</f>
        <v>47.290413431520008</v>
      </c>
      <c r="M88" s="650">
        <f t="shared" si="47"/>
        <v>-1.3507027685779511E-2</v>
      </c>
      <c r="N88" s="649">
        <f>' Plan Energi 2015'!AK12</f>
        <v>35.9</v>
      </c>
      <c r="O88" s="650">
        <f t="shared" si="47"/>
        <v>-0.12043046999381983</v>
      </c>
      <c r="P88" s="649">
        <f>' Plan Energi 2017'!AK12</f>
        <v>27.1</v>
      </c>
      <c r="Q88" s="650">
        <f t="shared" si="47"/>
        <v>-0.12256267409470749</v>
      </c>
      <c r="R88" s="649">
        <f>' Plan Energi 2019'!AK12</f>
        <v>27.1</v>
      </c>
      <c r="S88" s="650">
        <f t="shared" si="48"/>
        <v>0</v>
      </c>
      <c r="T88" s="649">
        <f>'Bolig, Service, Handel, Byg'!L47</f>
        <v>27.1</v>
      </c>
      <c r="U88" s="724">
        <f>'Bolig, Service, Handel, Byg'!M47</f>
        <v>0</v>
      </c>
      <c r="V88" s="649">
        <f>'Bolig, Service, Handel, Byg'!N47</f>
        <v>34.644522334173161</v>
      </c>
      <c r="W88" s="725">
        <f>'Bolig, Service, Handel, Byg'!O47</f>
        <v>1.9072358978824866E-2</v>
      </c>
      <c r="X88" s="604"/>
    </row>
    <row r="89" spans="1:24" ht="15" customHeight="1" x14ac:dyDescent="0.25">
      <c r="A89" s="604" t="s">
        <v>290</v>
      </c>
      <c r="B89" s="649">
        <f>' Plan Energi 2030-S'!AK13</f>
        <v>25.8</v>
      </c>
      <c r="C89" s="650"/>
      <c r="D89" s="649">
        <f>' Plan Energi 2006'!AK13</f>
        <v>38.829474250200001</v>
      </c>
      <c r="E89" s="650"/>
      <c r="F89" s="649">
        <f>' Plan Energi 2008'!AK13</f>
        <v>42.397460045999999</v>
      </c>
      <c r="G89" s="650">
        <f t="shared" si="47"/>
        <v>4.5944297015322336E-2</v>
      </c>
      <c r="H89" s="649">
        <f>' Plan Energi 2009'!AK13</f>
        <v>45.3302418006</v>
      </c>
      <c r="I89" s="650">
        <f t="shared" si="47"/>
        <v>6.9173524815354936E-2</v>
      </c>
      <c r="J89" s="649">
        <f>' Plan Energi 2011'!AK13</f>
        <v>46.231079821352999</v>
      </c>
      <c r="K89" s="650">
        <f t="shared" si="47"/>
        <v>9.936391082090764E-3</v>
      </c>
      <c r="L89" s="649">
        <f>' Plan Energi 2013'!AK13</f>
        <v>44.982190871172001</v>
      </c>
      <c r="M89" s="650">
        <f t="shared" si="47"/>
        <v>-1.3507027685779544E-2</v>
      </c>
      <c r="N89" s="649">
        <f>' Plan Energi 2015'!AK13</f>
        <v>34.200000000000003</v>
      </c>
      <c r="O89" s="650">
        <f t="shared" si="47"/>
        <v>-0.11984955226004837</v>
      </c>
      <c r="P89" s="649">
        <f>' Plan Energi 2017'!AK13</f>
        <v>25.8</v>
      </c>
      <c r="Q89" s="650">
        <f t="shared" si="47"/>
        <v>-0.12280701754385967</v>
      </c>
      <c r="R89" s="649">
        <f>' Plan Energi 2019'!AK13</f>
        <v>25.8</v>
      </c>
      <c r="S89" s="650">
        <f t="shared" si="48"/>
        <v>0</v>
      </c>
      <c r="T89" s="649">
        <f>'Bolig, Service, Handel, Byg'!L48</f>
        <v>25.8</v>
      </c>
      <c r="U89" s="724">
        <f>'Bolig, Service, Handel, Byg'!M48</f>
        <v>0</v>
      </c>
      <c r="V89" s="649">
        <f>'Bolig, Service, Handel, Byg'!N48</f>
        <v>32.982607978659317</v>
      </c>
      <c r="W89" s="725">
        <f>'Bolig, Service, Handel, Byg'!O48</f>
        <v>1.9072358978824866E-2</v>
      </c>
      <c r="X89" s="604"/>
    </row>
    <row r="90" spans="1:24" x14ac:dyDescent="0.25">
      <c r="A90" s="631" t="s">
        <v>345</v>
      </c>
      <c r="B90" s="649">
        <f>' Plan Energi 2030-S'!AK16</f>
        <v>0</v>
      </c>
      <c r="C90" s="650"/>
      <c r="D90" s="649">
        <f>' Plan Energi 2006'!AK16</f>
        <v>0</v>
      </c>
      <c r="E90" s="650"/>
      <c r="F90" s="649">
        <f>' Plan Energi 2008'!AK16</f>
        <v>0</v>
      </c>
      <c r="G90" s="650">
        <f t="shared" si="47"/>
        <v>0</v>
      </c>
      <c r="H90" s="649">
        <f>' Plan Energi 2009'!AK16</f>
        <v>0</v>
      </c>
      <c r="I90" s="650">
        <f t="shared" si="47"/>
        <v>0</v>
      </c>
      <c r="J90" s="649">
        <f>' Plan Energi 2011'!AK16</f>
        <v>0</v>
      </c>
      <c r="K90" s="650">
        <f t="shared" si="47"/>
        <v>0</v>
      </c>
      <c r="L90" s="649">
        <f>' Plan Energi 2013'!AK16</f>
        <v>0</v>
      </c>
      <c r="M90" s="650">
        <f t="shared" si="47"/>
        <v>0</v>
      </c>
      <c r="N90" s="649">
        <f>' Plan Energi 2015'!AK16</f>
        <v>0</v>
      </c>
      <c r="O90" s="650">
        <f t="shared" si="47"/>
        <v>0</v>
      </c>
      <c r="P90" s="649">
        <f>' Plan Energi 2017'!AK16</f>
        <v>0</v>
      </c>
      <c r="Q90" s="650">
        <f t="shared" si="47"/>
        <v>0</v>
      </c>
      <c r="R90" s="649">
        <f>' Plan Energi 2019'!AK16</f>
        <v>0</v>
      </c>
      <c r="S90" s="650">
        <f t="shared" si="48"/>
        <v>0</v>
      </c>
      <c r="T90" s="649">
        <f>'Bolig, Service, Handel, Byg'!L49</f>
        <v>0</v>
      </c>
      <c r="U90" s="724">
        <f>'Bolig, Service, Handel, Byg'!M49</f>
        <v>0</v>
      </c>
      <c r="V90" s="649">
        <f>'Bolig, Service, Handel, Byg'!N49</f>
        <v>0</v>
      </c>
      <c r="W90" s="725">
        <f>'Bolig, Service, Handel, Byg'!O49</f>
        <v>-2.4418179377386218E-2</v>
      </c>
      <c r="X90" s="604"/>
    </row>
    <row r="91" spans="1:24" x14ac:dyDescent="0.25">
      <c r="A91" s="631" t="s">
        <v>526</v>
      </c>
      <c r="B91" s="649">
        <f>' Plan Energi 2030-S'!AK$14+SUM(' Plan Energi 2030-S'!AK$17:AK$22)+' Plan Energi 2030-S'!AK$10+' Plan Energi 2030-S'!AK$9</f>
        <v>0</v>
      </c>
      <c r="C91" s="650"/>
      <c r="D91" s="649">
        <f>' Plan Energi 2006'!AK$14+SUM(' Plan Energi 2006'!AK$17:AK$22)+' Plan Energi 2006'!AK$10+' Plan Energi 2006'!AK$9</f>
        <v>0</v>
      </c>
      <c r="E91" s="650"/>
      <c r="F91" s="649">
        <f>' Plan Energi 2008'!AK$14+SUM(' Plan Energi 2008'!AK$17:AK$22)+' Plan Energi 2008'!AK$10+' Plan Energi 2008'!AK$9</f>
        <v>0</v>
      </c>
      <c r="G91" s="650">
        <f t="shared" si="47"/>
        <v>0</v>
      </c>
      <c r="H91" s="649">
        <f>' Plan Energi 2009'!AK$14+SUM(' Plan Energi 2009'!AK$17:AK$22)+' Plan Energi 2009'!AK$10+' Plan Energi 2009'!AK$9</f>
        <v>0</v>
      </c>
      <c r="I91" s="650">
        <f t="shared" si="47"/>
        <v>0</v>
      </c>
      <c r="J91" s="649">
        <f>' Plan Energi 2011'!AK$14+SUM(' Plan Energi 2011'!AK$17:AK$22)+' Plan Energi 2011'!AK$10+' Plan Energi 2011'!AK$9</f>
        <v>0</v>
      </c>
      <c r="K91" s="650">
        <f t="shared" si="47"/>
        <v>0</v>
      </c>
      <c r="L91" s="649">
        <f>' Plan Energi 2013'!AK$14+SUM(' Plan Energi 2013'!AK$17:AK$22)+' Plan Energi 2013'!AK$10+' Plan Energi 2013'!AK$9</f>
        <v>0</v>
      </c>
      <c r="M91" s="650">
        <f t="shared" si="47"/>
        <v>0</v>
      </c>
      <c r="N91" s="649">
        <f>' Plan Energi 2015'!AK$14+SUM(' Plan Energi 2015'!AK$17:AK$22)+' Plan Energi 2015'!AK$10+' Plan Energi 2015'!AK$9</f>
        <v>0</v>
      </c>
      <c r="O91" s="650">
        <f t="shared" si="47"/>
        <v>0</v>
      </c>
      <c r="P91" s="649">
        <f>' Plan Energi 2017'!AK$14+SUM(' Plan Energi 2017'!AK$17:AK$22)+' Plan Energi 2017'!AK$10+' Plan Energi 2017'!AK$9</f>
        <v>0</v>
      </c>
      <c r="Q91" s="650">
        <f t="shared" si="47"/>
        <v>0</v>
      </c>
      <c r="R91" s="649">
        <f>' Plan Energi 2019'!AK$14+SUM(' Plan Energi 2019'!AK$17:AK$22)+' Plan Energi 2019'!AK$10+' Plan Energi 2019'!AK$9</f>
        <v>0</v>
      </c>
      <c r="S91" s="650">
        <f t="shared" si="48"/>
        <v>0</v>
      </c>
      <c r="T91" s="649">
        <f>'Bolig, Service, Handel, Byg'!L50</f>
        <v>0</v>
      </c>
      <c r="U91" s="724">
        <f>'Bolig, Service, Handel, Byg'!M50</f>
        <v>0</v>
      </c>
      <c r="V91" s="649">
        <f>'Bolig, Service, Handel, Byg'!N50</f>
        <v>0</v>
      </c>
      <c r="W91" s="725">
        <f>'Bolig, Service, Handel, Byg'!O50</f>
        <v>2.8566976600855387E-2</v>
      </c>
      <c r="X91" s="604"/>
    </row>
    <row r="92" spans="1:24" x14ac:dyDescent="0.25">
      <c r="A92" s="631" t="s">
        <v>28</v>
      </c>
      <c r="B92" s="649">
        <f>' Plan Energi 2030-S'!AK$39+' Plan Energi 2030-S'!AK$43+' Plan Energi 2030-S'!$AK$52+' Plan Energi 2030-S'!AK$55+' Plan Energi 2030-S'!AK$62+' Plan Energi 2030-S'!AK$71</f>
        <v>211.81692245616006</v>
      </c>
      <c r="C92" s="650"/>
      <c r="D92" s="649">
        <f>' Plan Energi 2006'!AK$39+' Plan Energi 2006'!AK$43+' Plan Energi 2006'!$AK$52+' Plan Energi 2006'!AK$55+' Plan Energi 2006'!AK$62+' Plan Energi 2006'!AK$71</f>
        <v>192.67487030702824</v>
      </c>
      <c r="E92" s="650"/>
      <c r="F92" s="649">
        <f>' Plan Energi 2008'!AK$39+' Plan Energi 2008'!AK$43+' Plan Energi 2008'!$AK$52+' Plan Energi 2008'!AK$55+' Plan Energi 2008'!AK$62+' Plan Energi 2008'!AK$71</f>
        <v>233.51033674077314</v>
      </c>
      <c r="G92" s="650">
        <f t="shared" si="47"/>
        <v>0.10596988172010549</v>
      </c>
      <c r="H92" s="649">
        <f>' Plan Energi 2009'!AK$39+' Plan Energi 2009'!AK$43+' Plan Energi 2009'!$AK$52+' Plan Energi 2009'!AK$55+' Plan Energi 2009'!AK$62+' Plan Energi 2009'!AK$71</f>
        <v>259.537984668864</v>
      </c>
      <c r="I92" s="650">
        <f t="shared" si="47"/>
        <v>0.11146250864682249</v>
      </c>
      <c r="J92" s="649">
        <f>' Plan Energi 2011'!AK$39+' Plan Energi 2011'!AK$43+' Plan Energi 2011'!$AK$52+' Plan Energi 2011'!AK$55+' Plan Energi 2011'!AK$62+' Plan Energi 2011'!AK$71</f>
        <v>233.74101147796</v>
      </c>
      <c r="K92" s="650">
        <f t="shared" si="47"/>
        <v>-4.9697876061990519E-2</v>
      </c>
      <c r="L92" s="649">
        <f>' Plan Energi 2013'!AK$39+' Plan Energi 2013'!AK$43+' Plan Energi 2013'!$AK$52+' Plan Energi 2013'!AK$55+' Plan Energi 2013'!AK$62+' Plan Energi 2013'!AK$71</f>
        <v>213.30498233856807</v>
      </c>
      <c r="M92" s="650">
        <f t="shared" si="47"/>
        <v>-4.3715112316348677E-2</v>
      </c>
      <c r="N92" s="649">
        <f>' Plan Energi 2015'!AK$39+' Plan Energi 2015'!AK$43+' Plan Energi 2015'!$AK$52+' Plan Energi 2015'!AK$55+' Plan Energi 2015'!AK$62+' Plan Energi 2015'!AK$71</f>
        <v>206.24009934068403</v>
      </c>
      <c r="O92" s="650">
        <f t="shared" si="47"/>
        <v>-1.6560520341410298E-2</v>
      </c>
      <c r="P92" s="649">
        <f>' Plan Energi 2017'!AK$39+' Plan Energi 2017'!AK$43+' Plan Energi 2017'!$AK$52+' Plan Energi 2017'!AK$55+' Plan Energi 2017'!AK$62+' Plan Energi 2017'!AK$71</f>
        <v>211.76933185884002</v>
      </c>
      <c r="Q92" s="650">
        <f t="shared" si="47"/>
        <v>1.34048435193545E-2</v>
      </c>
      <c r="R92" s="649">
        <f>' Plan Energi 2019'!AK$39+' Plan Energi 2019'!AK$43+' Plan Energi 2019'!$AK$52+' Plan Energi 2019'!AK$55+' Plan Energi 2019'!AK$62+' Plan Energi 2019'!AK$71</f>
        <v>211.76933185884002</v>
      </c>
      <c r="S92" s="650">
        <f t="shared" si="48"/>
        <v>0</v>
      </c>
      <c r="T92" s="649">
        <f>Fjernvarmeprognose!R10</f>
        <v>211.76933185884002</v>
      </c>
      <c r="U92" s="724">
        <f>Fjernvarmeprognose!S10</f>
        <v>0</v>
      </c>
      <c r="V92" s="649">
        <f>Fjernvarmeprognose!T10</f>
        <v>226.03094201250474</v>
      </c>
      <c r="W92" s="725">
        <f>Fjernvarmeprognose!U10</f>
        <v>5.025994025584124E-3</v>
      </c>
      <c r="X92" s="604"/>
    </row>
    <row r="93" spans="1:24" x14ac:dyDescent="0.25">
      <c r="A93" s="631" t="s">
        <v>486</v>
      </c>
      <c r="B93" s="649">
        <f>B91+B92</f>
        <v>211.81692245616006</v>
      </c>
      <c r="C93" s="650"/>
      <c r="D93" s="649">
        <f>D91+D92</f>
        <v>192.67487030702824</v>
      </c>
      <c r="E93" s="650"/>
      <c r="F93" s="649">
        <f>F91+F92</f>
        <v>233.51033674077314</v>
      </c>
      <c r="G93" s="650">
        <f t="shared" si="47"/>
        <v>0.10596988172010549</v>
      </c>
      <c r="H93" s="649">
        <f>H91+H92</f>
        <v>259.537984668864</v>
      </c>
      <c r="I93" s="650">
        <f t="shared" si="47"/>
        <v>0.11146250864682249</v>
      </c>
      <c r="J93" s="649">
        <f>J91+J92</f>
        <v>233.74101147796</v>
      </c>
      <c r="K93" s="650">
        <f t="shared" si="47"/>
        <v>-4.9697876061990519E-2</v>
      </c>
      <c r="L93" s="649">
        <f>L91+L92</f>
        <v>213.30498233856807</v>
      </c>
      <c r="M93" s="650">
        <f t="shared" si="47"/>
        <v>-4.3715112316348677E-2</v>
      </c>
      <c r="N93" s="649">
        <f>N91+N92</f>
        <v>206.24009934068403</v>
      </c>
      <c r="O93" s="650">
        <f t="shared" si="47"/>
        <v>-1.6560520341410298E-2</v>
      </c>
      <c r="P93" s="649">
        <f>P91+P92</f>
        <v>211.76933185884002</v>
      </c>
      <c r="Q93" s="650">
        <f t="shared" si="47"/>
        <v>1.34048435193545E-2</v>
      </c>
      <c r="R93" s="649">
        <f>R91+R92</f>
        <v>211.76933185884002</v>
      </c>
      <c r="S93" s="650">
        <f t="shared" si="48"/>
        <v>0</v>
      </c>
      <c r="T93" s="649">
        <f>T91+T92</f>
        <v>211.76933185884002</v>
      </c>
      <c r="U93" s="650">
        <f>(T93-Nøgletal!P93)/IF(Nøgletal!P93&gt;0,Nøgletal!P93,1)/(T$1-Nøgletal!P$1)</f>
        <v>0</v>
      </c>
      <c r="V93" s="649">
        <f>V91+V92</f>
        <v>226.03094201250474</v>
      </c>
      <c r="W93" s="650">
        <f>(V93-T93)/IF(T93&gt;0,T93,1)/(V$1-T$1)</f>
        <v>1.34690042495588E-2</v>
      </c>
      <c r="X93" s="604"/>
    </row>
    <row r="94" spans="1:24" x14ac:dyDescent="0.25">
      <c r="A94" s="633" t="s">
        <v>487</v>
      </c>
      <c r="B94" s="650">
        <f>B91/IF(B93&gt;0,B93,1)</f>
        <v>0</v>
      </c>
      <c r="C94" s="650"/>
      <c r="D94" s="650">
        <f>D91/IF(D93&gt;0,D93,1)</f>
        <v>0</v>
      </c>
      <c r="E94" s="650"/>
      <c r="F94" s="650">
        <f>F91/IF(F93&gt;0,F93,1)</f>
        <v>0</v>
      </c>
      <c r="G94" s="650"/>
      <c r="H94" s="650">
        <f>H91/IF(H93&gt;0,H93,1)</f>
        <v>0</v>
      </c>
      <c r="I94" s="650"/>
      <c r="J94" s="650">
        <f>J91/IF(J93&gt;0,J93,1)</f>
        <v>0</v>
      </c>
      <c r="K94" s="650"/>
      <c r="L94" s="650">
        <f>L91/IF(L93&gt;0,L93,1)</f>
        <v>0</v>
      </c>
      <c r="M94" s="650"/>
      <c r="N94" s="650">
        <f>N91/IF(N93&gt;0,N93,1)</f>
        <v>0</v>
      </c>
      <c r="O94" s="650"/>
      <c r="P94" s="650">
        <f>P91/IF(P93&gt;0,P93,1)</f>
        <v>0</v>
      </c>
      <c r="Q94" s="650"/>
      <c r="R94" s="650">
        <f>R91/IF(R93&gt;0,R93,1)</f>
        <v>0</v>
      </c>
      <c r="S94" s="650"/>
      <c r="T94" s="650">
        <f>T91/IF(T93&gt;0,T93,1)</f>
        <v>0</v>
      </c>
      <c r="U94" s="650"/>
      <c r="V94" s="650">
        <f>V91/IF(V93&gt;0,V93,1)</f>
        <v>0</v>
      </c>
      <c r="W94" s="650"/>
      <c r="X94" s="604"/>
    </row>
    <row r="95" spans="1:24" x14ac:dyDescent="0.25">
      <c r="A95" s="633" t="s">
        <v>488</v>
      </c>
      <c r="B95" s="650">
        <f>B92/IF(B93&gt;0,B93,1)</f>
        <v>1</v>
      </c>
      <c r="C95" s="650"/>
      <c r="D95" s="650">
        <f>D92/IF(D93&gt;0,D93,1)</f>
        <v>1</v>
      </c>
      <c r="E95" s="650"/>
      <c r="F95" s="650">
        <f>F92/IF(F93&gt;0,F93,1)</f>
        <v>1</v>
      </c>
      <c r="G95" s="650"/>
      <c r="H95" s="650">
        <f>H92/IF(H93&gt;0,H93,1)</f>
        <v>1</v>
      </c>
      <c r="I95" s="650"/>
      <c r="J95" s="650">
        <f>J92/IF(J93&gt;0,J93,1)</f>
        <v>1</v>
      </c>
      <c r="K95" s="650"/>
      <c r="L95" s="650">
        <f>L92/IF(L93&gt;0,L93,1)</f>
        <v>1</v>
      </c>
      <c r="M95" s="650"/>
      <c r="N95" s="650">
        <f>N92/IF(N93&gt;0,N93,1)</f>
        <v>1</v>
      </c>
      <c r="O95" s="650"/>
      <c r="P95" s="650">
        <f>P92/IF(P93&gt;0,P93,1)</f>
        <v>1</v>
      </c>
      <c r="Q95" s="650"/>
      <c r="R95" s="650">
        <f>R92/IF(R93&gt;0,R93,1)</f>
        <v>1</v>
      </c>
      <c r="S95" s="650"/>
      <c r="T95" s="650">
        <f>T92/IF(T93&gt;0,T93,1)</f>
        <v>1</v>
      </c>
      <c r="U95" s="650"/>
      <c r="V95" s="650">
        <f>V92/IF(V93&gt;0,V93,1)</f>
        <v>1</v>
      </c>
      <c r="W95" s="650"/>
      <c r="X95" s="604"/>
    </row>
    <row r="96" spans="1:24" ht="15" customHeight="1" x14ac:dyDescent="0.25">
      <c r="A96" s="633" t="s">
        <v>490</v>
      </c>
      <c r="B96" s="650"/>
      <c r="C96" s="650"/>
      <c r="D96" s="650"/>
      <c r="E96" s="650"/>
      <c r="F96" s="650"/>
      <c r="G96" s="650"/>
      <c r="H96" s="650"/>
      <c r="I96" s="650"/>
      <c r="J96" s="650"/>
      <c r="K96" s="650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04"/>
    </row>
    <row r="97" spans="1:24" ht="15" customHeight="1" x14ac:dyDescent="0.25">
      <c r="A97" s="604" t="s">
        <v>344</v>
      </c>
      <c r="B97" s="650">
        <f>' Plan Energi 2030-S'!AK$14/IF(' Plan Energi 2030-S'!AK$14+SUM(' Plan Energi 2030-S'!AK$17:AK$22)&gt;0,' Plan Energi 2030-S'!AK$14+SUM(' Plan Energi 2030-S'!AK$17:AK$22)+' Plan Energi 2030-S'!AK$9+' Plan Energi 2030-S'!AK$10,1)</f>
        <v>0</v>
      </c>
      <c r="C97" s="650"/>
      <c r="D97" s="650">
        <f>' Plan Energi 2006'!AK$14/IF(' Plan Energi 2006'!AK$14+SUM(' Plan Energi 2006'!AK$17:AK$22)&gt;0,' Plan Energi 2006'!AK$14+SUM(' Plan Energi 2006'!AK$17:AK$22)+' Plan Energi 2006'!AK$9+' Plan Energi 2006'!AK$10,1)</f>
        <v>0</v>
      </c>
      <c r="E97" s="650"/>
      <c r="F97" s="650">
        <f>' Plan Energi 2008'!AK$14/IF(' Plan Energi 2008'!AK$14+SUM(' Plan Energi 2008'!AK$17:AK$22)&gt;0,' Plan Energi 2008'!AK$14+SUM(' Plan Energi 2008'!AK$17:AK$22)+' Plan Energi 2008'!AK$9+' Plan Energi 2008'!AK$10,1)</f>
        <v>0</v>
      </c>
      <c r="G97" s="650"/>
      <c r="H97" s="650">
        <f>' Plan Energi 2009'!AK$14/IF(' Plan Energi 2009'!AK$14+SUM(' Plan Energi 2009'!AK$17:AK$22)&gt;0,' Plan Energi 2009'!AK$14+SUM(' Plan Energi 2009'!AK$17:AK$22)+' Plan Energi 2009'!AK$9+' Plan Energi 2009'!AK$10,1)</f>
        <v>0</v>
      </c>
      <c r="I97" s="650"/>
      <c r="J97" s="650">
        <f>' Plan Energi 2011'!AK$14/IF(' Plan Energi 2011'!AK$14+SUM(' Plan Energi 2011'!AK$17:AK$22)&gt;0,' Plan Energi 2011'!AK$14+SUM(' Plan Energi 2011'!AK$17:AK$22)+' Plan Energi 2011'!AK$9+' Plan Energi 2011'!AK$10,1)</f>
        <v>0</v>
      </c>
      <c r="K97" s="650"/>
      <c r="L97" s="650">
        <f>' Plan Energi 2013'!AK$14/IF(' Plan Energi 2013'!AK$14+SUM(' Plan Energi 2013'!AK$17:AK$22)&gt;0,' Plan Energi 2013'!AK$14+SUM(' Plan Energi 2013'!AK$17:AK$22)+' Plan Energi 2013'!AK$9+' Plan Energi 2013'!AK$10,1)</f>
        <v>0</v>
      </c>
      <c r="M97" s="650"/>
      <c r="N97" s="650">
        <f>' Plan Energi 2015'!AK$14/IF(' Plan Energi 2015'!AK$14+SUM(' Plan Energi 2015'!AK$17:AK$22)&gt;0,' Plan Energi 2015'!AK$14+SUM(' Plan Energi 2015'!AK$17:AK$22)+' Plan Energi 2015'!AK$9+' Plan Energi 2015'!AK$10,1)</f>
        <v>0</v>
      </c>
      <c r="O97" s="650"/>
      <c r="P97" s="650">
        <f>' Plan Energi 2017'!AK$14/IF(' Plan Energi 2017'!AK$14+SUM(' Plan Energi 2017'!AK$17:AK$22)&gt;0,' Plan Energi 2017'!AK$14+SUM(' Plan Energi 2017'!AK$17:AK$22)+' Plan Energi 2017'!AK$9+' Plan Energi 2017'!AK$10,1)</f>
        <v>0</v>
      </c>
      <c r="Q97" s="650"/>
      <c r="R97" s="650">
        <f>' Plan Energi 2019'!AK$14/IF(' Plan Energi 2019'!AK$14+SUM(' Plan Energi 2019'!AK$17:AK$22)&gt;0,' Plan Energi 2019'!AK$14+SUM(' Plan Energi 2019'!AK$17:AK$22)+' Plan Energi 2019'!AK$9+' Plan Energi 2019'!AK$10,1)</f>
        <v>0</v>
      </c>
      <c r="S97" s="650"/>
      <c r="T97" s="726">
        <f>'Bolig, Service, Handel, Byg'!L53</f>
        <v>0</v>
      </c>
      <c r="U97" s="650"/>
      <c r="V97" s="726">
        <f>'Bolig, Service, Handel, Byg'!N53</f>
        <v>0</v>
      </c>
      <c r="W97" s="650"/>
      <c r="X97" s="604"/>
    </row>
    <row r="98" spans="1:24" ht="15" customHeight="1" x14ac:dyDescent="0.25">
      <c r="A98" s="604" t="s">
        <v>346</v>
      </c>
      <c r="B98" s="650">
        <f>' Plan Energi 2030-S'!AK$17/IF(' Plan Energi 2030-S'!AK$14+SUM(' Plan Energi 2030-S'!AK$17:AK$22)&gt;0,' Plan Energi 2030-S'!AK$14+SUM(' Plan Energi 2030-S'!AK$17:AK$22)+' Plan Energi 2030-S'!AK$9+' Plan Energi 2030-S'!AK$10,1)</f>
        <v>0</v>
      </c>
      <c r="C98" s="650"/>
      <c r="D98" s="650">
        <f>' Plan Energi 2006'!AK$17/IF(' Plan Energi 2006'!AK$14+SUM(' Plan Energi 2006'!AK$17:AK$22)&gt;0,' Plan Energi 2006'!AK$14+SUM(' Plan Energi 2006'!AK$17:AK$22)+' Plan Energi 2006'!AK$9+' Plan Energi 2006'!AK$10,1)</f>
        <v>0</v>
      </c>
      <c r="E98" s="650"/>
      <c r="F98" s="650">
        <f>' Plan Energi 2008'!AK$17/IF(' Plan Energi 2008'!AK$14+SUM(' Plan Energi 2008'!AK$17:AK$22)&gt;0,' Plan Energi 2008'!AK$14+SUM(' Plan Energi 2008'!AK$17:AK$22)+' Plan Energi 2008'!AK$9+' Plan Energi 2008'!AK$10,1)</f>
        <v>0</v>
      </c>
      <c r="G98" s="650"/>
      <c r="H98" s="650">
        <f>' Plan Energi 2009'!AK$17/IF(' Plan Energi 2009'!AK$14+SUM(' Plan Energi 2009'!AK$17:AK$22)&gt;0,' Plan Energi 2009'!AK$14+SUM(' Plan Energi 2009'!AK$17:AK$22)+' Plan Energi 2009'!AK$9+' Plan Energi 2009'!AK$10,1)</f>
        <v>0</v>
      </c>
      <c r="I98" s="650"/>
      <c r="J98" s="650">
        <f>' Plan Energi 2011'!AK$17/IF(' Plan Energi 2011'!AK$14+SUM(' Plan Energi 2011'!AK$17:AK$22)&gt;0,' Plan Energi 2011'!AK$14+SUM(' Plan Energi 2011'!AK$17:AK$22)+' Plan Energi 2011'!AK$9+' Plan Energi 2011'!AK$10,1)</f>
        <v>0</v>
      </c>
      <c r="K98" s="650"/>
      <c r="L98" s="650">
        <f>' Plan Energi 2013'!AK$17/IF(' Plan Energi 2013'!AK$14+SUM(' Plan Energi 2013'!AK$17:AK$22)&gt;0,' Plan Energi 2013'!AK$14+SUM(' Plan Energi 2013'!AK$17:AK$22)+' Plan Energi 2013'!AK$9+' Plan Energi 2013'!AK$10,1)</f>
        <v>0</v>
      </c>
      <c r="M98" s="650"/>
      <c r="N98" s="650">
        <f>' Plan Energi 2015'!AK$17/IF(' Plan Energi 2015'!AK$14+SUM(' Plan Energi 2015'!AK$17:AK$22)&gt;0,' Plan Energi 2015'!AK$14+SUM(' Plan Energi 2015'!AK$17:AK$22)+' Plan Energi 2015'!AK$9+' Plan Energi 2015'!AK$10,1)</f>
        <v>0</v>
      </c>
      <c r="O98" s="650"/>
      <c r="P98" s="650">
        <f>' Plan Energi 2017'!AK$17/IF(' Plan Energi 2017'!AK$14+SUM(' Plan Energi 2017'!AK$17:AK$22)&gt;0,' Plan Energi 2017'!AK$14+SUM(' Plan Energi 2017'!AK$17:AK$22)+' Plan Energi 2017'!AK$9+' Plan Energi 2017'!AK$10,1)</f>
        <v>0</v>
      </c>
      <c r="Q98" s="650"/>
      <c r="R98" s="650">
        <f>' Plan Energi 2019'!AK$17/IF(' Plan Energi 2019'!AK$14+SUM(' Plan Energi 2019'!AK$17:AK$22)&gt;0,' Plan Energi 2019'!AK$14+SUM(' Plan Energi 2019'!AK$17:AK$22)+' Plan Energi 2019'!AK$9+' Plan Energi 2019'!AK$10,1)</f>
        <v>0</v>
      </c>
      <c r="S98" s="650"/>
      <c r="T98" s="726">
        <f>'Bolig, Service, Handel, Byg'!L54</f>
        <v>0</v>
      </c>
      <c r="U98" s="650"/>
      <c r="V98" s="726">
        <f>'Bolig, Service, Handel, Byg'!N54</f>
        <v>7.35551663747811E-2</v>
      </c>
      <c r="W98" s="650"/>
      <c r="X98" s="604"/>
    </row>
    <row r="99" spans="1:24" ht="15" customHeight="1" x14ac:dyDescent="0.25">
      <c r="A99" s="604" t="s">
        <v>347</v>
      </c>
      <c r="B99" s="650">
        <f>' Plan Energi 2030-S'!AK$18/IF(' Plan Energi 2030-S'!AK$14+SUM(' Plan Energi 2030-S'!AK$17:AK$22)&gt;0,' Plan Energi 2030-S'!AK$14+SUM(' Plan Energi 2030-S'!AK$17:AK$22)+' Plan Energi 2030-S'!AK$9+' Plan Energi 2030-S'!AK$10,1)</f>
        <v>0</v>
      </c>
      <c r="C99" s="650"/>
      <c r="D99" s="650">
        <f>' Plan Energi 2006'!AK$18/IF(' Plan Energi 2006'!AK$14+SUM(' Plan Energi 2006'!AK$17:AK$22)&gt;0,' Plan Energi 2006'!AK$14+SUM(' Plan Energi 2006'!AK$17:AK$22)+' Plan Energi 2006'!AK$9+' Plan Energi 2006'!AK$10,1)</f>
        <v>0</v>
      </c>
      <c r="E99" s="650"/>
      <c r="F99" s="650">
        <f>' Plan Energi 2008'!AK$18/IF(' Plan Energi 2008'!AK$14+SUM(' Plan Energi 2008'!AK$17:AK$22)&gt;0,' Plan Energi 2008'!AK$14+SUM(' Plan Energi 2008'!AK$17:AK$22)+' Plan Energi 2008'!AK$9+' Plan Energi 2008'!AK$10,1)</f>
        <v>0</v>
      </c>
      <c r="G99" s="650"/>
      <c r="H99" s="650">
        <f>' Plan Energi 2009'!AK$18/IF(' Plan Energi 2009'!AK$14+SUM(' Plan Energi 2009'!AK$17:AK$22)&gt;0,' Plan Energi 2009'!AK$14+SUM(' Plan Energi 2009'!AK$17:AK$22)+' Plan Energi 2009'!AK$9+' Plan Energi 2009'!AK$10,1)</f>
        <v>0</v>
      </c>
      <c r="I99" s="650"/>
      <c r="J99" s="650">
        <f>' Plan Energi 2011'!AK$18/IF(' Plan Energi 2011'!AK$14+SUM(' Plan Energi 2011'!AK$17:AK$22)&gt;0,' Plan Energi 2011'!AK$14+SUM(' Plan Energi 2011'!AK$17:AK$22)+' Plan Energi 2011'!AK$9+' Plan Energi 2011'!AK$10,1)</f>
        <v>0</v>
      </c>
      <c r="K99" s="650"/>
      <c r="L99" s="650">
        <f>' Plan Energi 2013'!AK$18/IF(' Plan Energi 2013'!AK$14+SUM(' Plan Energi 2013'!AK$17:AK$22)&gt;0,' Plan Energi 2013'!AK$14+SUM(' Plan Energi 2013'!AK$17:AK$22)+' Plan Energi 2013'!AK$9+' Plan Energi 2013'!AK$10,1)</f>
        <v>0</v>
      </c>
      <c r="M99" s="650"/>
      <c r="N99" s="650">
        <f>' Plan Energi 2015'!AK$18/IF(' Plan Energi 2015'!AK$14+SUM(' Plan Energi 2015'!AK$17:AK$22)&gt;0,' Plan Energi 2015'!AK$14+SUM(' Plan Energi 2015'!AK$17:AK$22)+' Plan Energi 2015'!AK$9+' Plan Energi 2015'!AK$10,1)</f>
        <v>0</v>
      </c>
      <c r="O99" s="650"/>
      <c r="P99" s="650">
        <f>' Plan Energi 2017'!AK$18/IF(' Plan Energi 2017'!AK$14+SUM(' Plan Energi 2017'!AK$17:AK$22)&gt;0,' Plan Energi 2017'!AK$14+SUM(' Plan Energi 2017'!AK$17:AK$22)+' Plan Energi 2017'!AK$9+' Plan Energi 2017'!AK$10,1)</f>
        <v>0</v>
      </c>
      <c r="Q99" s="650"/>
      <c r="R99" s="650">
        <f>' Plan Energi 2019'!AK$18/IF(' Plan Energi 2019'!AK$14+SUM(' Plan Energi 2019'!AK$17:AK$22)&gt;0,' Plan Energi 2019'!AK$14+SUM(' Plan Energi 2019'!AK$17:AK$22)+' Plan Energi 2019'!AK$9+' Plan Energi 2019'!AK$10,1)</f>
        <v>0</v>
      </c>
      <c r="S99" s="650"/>
      <c r="T99" s="726">
        <f>'Bolig, Service, Handel, Byg'!L55</f>
        <v>0</v>
      </c>
      <c r="U99" s="650"/>
      <c r="V99" s="726">
        <f>'Bolig, Service, Handel, Byg'!N55</f>
        <v>0.41243432574430827</v>
      </c>
      <c r="W99" s="650"/>
      <c r="X99" s="604"/>
    </row>
    <row r="100" spans="1:24" ht="15" customHeight="1" x14ac:dyDescent="0.25">
      <c r="A100" s="604" t="s">
        <v>348</v>
      </c>
      <c r="B100" s="650">
        <f>' Plan Energi 2030-S'!AK$19/IF(' Plan Energi 2030-S'!AK$14+SUM(' Plan Energi 2030-S'!AK$17:AK$22)&gt;0,' Plan Energi 2030-S'!AK$14+SUM(' Plan Energi 2030-S'!AK$17:AK$22)+' Plan Energi 2030-S'!AK$9+' Plan Energi 2030-S'!AK$10,1)</f>
        <v>0</v>
      </c>
      <c r="C100" s="650"/>
      <c r="D100" s="650">
        <f>' Plan Energi 2006'!AK$19/IF(' Plan Energi 2006'!AK$14+SUM(' Plan Energi 2006'!AK$17:AK$22)&gt;0,' Plan Energi 2006'!AK$14+SUM(' Plan Energi 2006'!AK$17:AK$22)+' Plan Energi 2006'!AK$9+' Plan Energi 2006'!AK$10,1)</f>
        <v>0</v>
      </c>
      <c r="E100" s="650"/>
      <c r="F100" s="650">
        <f>' Plan Energi 2008'!AK$19/IF(' Plan Energi 2008'!AK$14+SUM(' Plan Energi 2008'!AK$17:AK$22)&gt;0,' Plan Energi 2008'!AK$14+SUM(' Plan Energi 2008'!AK$17:AK$22)+' Plan Energi 2008'!AK$9+' Plan Energi 2008'!AK$10,1)</f>
        <v>0</v>
      </c>
      <c r="G100" s="650"/>
      <c r="H100" s="650">
        <f>' Plan Energi 2009'!AK$19/IF(' Plan Energi 2009'!AK$14+SUM(' Plan Energi 2009'!AK$17:AK$22)&gt;0,' Plan Energi 2009'!AK$14+SUM(' Plan Energi 2009'!AK$17:AK$22)+' Plan Energi 2009'!AK$9+' Plan Energi 2009'!AK$10,1)</f>
        <v>0</v>
      </c>
      <c r="I100" s="650"/>
      <c r="J100" s="650">
        <f>' Plan Energi 2011'!AK$19/IF(' Plan Energi 2011'!AK$14+SUM(' Plan Energi 2011'!AK$17:AK$22)&gt;0,' Plan Energi 2011'!AK$14+SUM(' Plan Energi 2011'!AK$17:AK$22)+' Plan Energi 2011'!AK$9+' Plan Energi 2011'!AK$10,1)</f>
        <v>0</v>
      </c>
      <c r="K100" s="650"/>
      <c r="L100" s="650">
        <f>' Plan Energi 2013'!AK$19/IF(' Plan Energi 2013'!AK$14+SUM(' Plan Energi 2013'!AK$17:AK$22)&gt;0,' Plan Energi 2013'!AK$14+SUM(' Plan Energi 2013'!AK$17:AK$22)+' Plan Energi 2013'!AK$9+' Plan Energi 2013'!AK$10,1)</f>
        <v>0</v>
      </c>
      <c r="M100" s="650"/>
      <c r="N100" s="650">
        <f>' Plan Energi 2015'!AK$19/IF(' Plan Energi 2015'!AK$14+SUM(' Plan Energi 2015'!AK$17:AK$22)&gt;0,' Plan Energi 2015'!AK$14+SUM(' Plan Energi 2015'!AK$17:AK$22)+' Plan Energi 2015'!AK$9+' Plan Energi 2015'!AK$10,1)</f>
        <v>0</v>
      </c>
      <c r="O100" s="650"/>
      <c r="P100" s="650">
        <f>' Plan Energi 2017'!AK$19/IF(' Plan Energi 2017'!AK$14+SUM(' Plan Energi 2017'!AK$17:AK$22)&gt;0,' Plan Energi 2017'!AK$14+SUM(' Plan Energi 2017'!AK$17:AK$22)+' Plan Energi 2017'!AK$9+' Plan Energi 2017'!AK$10,1)</f>
        <v>0</v>
      </c>
      <c r="Q100" s="650"/>
      <c r="R100" s="650">
        <f>' Plan Energi 2019'!AK$19/IF(' Plan Energi 2019'!AK$14+SUM(' Plan Energi 2019'!AK$17:AK$22)&gt;0,' Plan Energi 2019'!AK$14+SUM(' Plan Energi 2019'!AK$17:AK$22)+' Plan Energi 2019'!AK$9+' Plan Energi 2019'!AK$10,1)</f>
        <v>0</v>
      </c>
      <c r="S100" s="650"/>
      <c r="T100" s="726">
        <f>'Bolig, Service, Handel, Byg'!L56</f>
        <v>0</v>
      </c>
      <c r="U100" s="650"/>
      <c r="V100" s="726">
        <f>'Bolig, Service, Handel, Byg'!N56</f>
        <v>0.21803852889667255</v>
      </c>
      <c r="W100" s="650"/>
      <c r="X100" s="604"/>
    </row>
    <row r="101" spans="1:24" ht="15" customHeight="1" x14ac:dyDescent="0.25">
      <c r="A101" s="604" t="s">
        <v>349</v>
      </c>
      <c r="B101" s="650">
        <f>' Plan Energi 2030-S'!AK$20/IF(' Plan Energi 2030-S'!AK$14+SUM(' Plan Energi 2030-S'!AK$17:AK$22)&gt;0,' Plan Energi 2030-S'!AK$14+SUM(' Plan Energi 2030-S'!AK$17:AK$22)+' Plan Energi 2030-S'!AK$9+' Plan Energi 2030-S'!AK$10,1)</f>
        <v>0</v>
      </c>
      <c r="C101" s="650"/>
      <c r="D101" s="650">
        <f>' Plan Energi 2006'!AK$20/IF(' Plan Energi 2006'!AK$14+SUM(' Plan Energi 2006'!AK$17:AK$22)&gt;0,' Plan Energi 2006'!AK$14+SUM(' Plan Energi 2006'!AK$17:AK$22)+' Plan Energi 2006'!AK$9+' Plan Energi 2006'!AK$10,1)</f>
        <v>0</v>
      </c>
      <c r="E101" s="650"/>
      <c r="F101" s="650">
        <f>' Plan Energi 2008'!AK$20/IF(' Plan Energi 2008'!AK$14+SUM(' Plan Energi 2008'!AK$17:AK$22)&gt;0,' Plan Energi 2008'!AK$14+SUM(' Plan Energi 2008'!AK$17:AK$22)+' Plan Energi 2008'!AK$9+' Plan Energi 2008'!AK$10,1)</f>
        <v>0</v>
      </c>
      <c r="G101" s="650"/>
      <c r="H101" s="650">
        <f>' Plan Energi 2009'!AK$20/IF(' Plan Energi 2009'!AK$14+SUM(' Plan Energi 2009'!AK$17:AK$22)&gt;0,' Plan Energi 2009'!AK$14+SUM(' Plan Energi 2009'!AK$17:AK$22)+' Plan Energi 2009'!AK$9+' Plan Energi 2009'!AK$10,1)</f>
        <v>0</v>
      </c>
      <c r="I101" s="650"/>
      <c r="J101" s="650">
        <f>' Plan Energi 2011'!AK$20/IF(' Plan Energi 2011'!AK$14+SUM(' Plan Energi 2011'!AK$17:AK$22)&gt;0,' Plan Energi 2011'!AK$14+SUM(' Plan Energi 2011'!AK$17:AK$22)+' Plan Energi 2011'!AK$9+' Plan Energi 2011'!AK$10,1)</f>
        <v>0</v>
      </c>
      <c r="K101" s="650"/>
      <c r="L101" s="650">
        <f>' Plan Energi 2013'!AK$20/IF(' Plan Energi 2013'!AK$14+SUM(' Plan Energi 2013'!AK$17:AK$22)&gt;0,' Plan Energi 2013'!AK$14+SUM(' Plan Energi 2013'!AK$17:AK$22)+' Plan Energi 2013'!AK$9+' Plan Energi 2013'!AK$10,1)</f>
        <v>0</v>
      </c>
      <c r="M101" s="650"/>
      <c r="N101" s="650">
        <f>' Plan Energi 2015'!AK$20/IF(' Plan Energi 2015'!AK$14+SUM(' Plan Energi 2015'!AK$17:AK$22)&gt;0,' Plan Energi 2015'!AK$14+SUM(' Plan Energi 2015'!AK$17:AK$22)+' Plan Energi 2015'!AK$9+' Plan Energi 2015'!AK$10,1)</f>
        <v>0</v>
      </c>
      <c r="O101" s="650"/>
      <c r="P101" s="650">
        <f>' Plan Energi 2017'!AK$20/IF(' Plan Energi 2017'!AK$14+SUM(' Plan Energi 2017'!AK$17:AK$22)&gt;0,' Plan Energi 2017'!AK$14+SUM(' Plan Energi 2017'!AK$17:AK$22)+' Plan Energi 2017'!AK$9+' Plan Energi 2017'!AK$10,1)</f>
        <v>0</v>
      </c>
      <c r="Q101" s="650"/>
      <c r="R101" s="650">
        <f>' Plan Energi 2019'!AK$20/IF(' Plan Energi 2019'!AK$14+SUM(' Plan Energi 2019'!AK$17:AK$22)&gt;0,' Plan Energi 2019'!AK$14+SUM(' Plan Energi 2019'!AK$17:AK$22)+' Plan Energi 2019'!AK$9+' Plan Energi 2019'!AK$10,1)</f>
        <v>0</v>
      </c>
      <c r="S101" s="650"/>
      <c r="T101" s="726">
        <f>'Bolig, Service, Handel, Byg'!L57</f>
        <v>0</v>
      </c>
      <c r="U101" s="650"/>
      <c r="V101" s="726">
        <f>'Bolig, Service, Handel, Byg'!N57</f>
        <v>0</v>
      </c>
      <c r="W101" s="650"/>
      <c r="X101" s="604"/>
    </row>
    <row r="102" spans="1:24" ht="15" customHeight="1" x14ac:dyDescent="0.25">
      <c r="A102" s="604" t="s">
        <v>350</v>
      </c>
      <c r="B102" s="650">
        <f>' Plan Energi 2030-S'!AK$21/IF(' Plan Energi 2030-S'!AK$14+SUM(' Plan Energi 2030-S'!AK$17:AK$22)&gt;0,' Plan Energi 2030-S'!AK$14+SUM(' Plan Energi 2030-S'!AK$17:AK$22)+' Plan Energi 2030-S'!AK$9+' Plan Energi 2030-S'!AK$10,1)</f>
        <v>0</v>
      </c>
      <c r="C102" s="650"/>
      <c r="D102" s="650">
        <f>' Plan Energi 2006'!AK$21/IF(' Plan Energi 2006'!AK$14+SUM(' Plan Energi 2006'!AK$17:AK$22)&gt;0,' Plan Energi 2006'!AK$14+SUM(' Plan Energi 2006'!AK$17:AK$22)+' Plan Energi 2006'!AK$9+' Plan Energi 2006'!AK$10,1)</f>
        <v>0</v>
      </c>
      <c r="E102" s="650"/>
      <c r="F102" s="650">
        <f>' Plan Energi 2008'!AK$21/IF(' Plan Energi 2008'!AK$14+SUM(' Plan Energi 2008'!AK$17:AK$22)&gt;0,' Plan Energi 2008'!AK$14+SUM(' Plan Energi 2008'!AK$17:AK$22)+' Plan Energi 2008'!AK$9+' Plan Energi 2008'!AK$10,1)</f>
        <v>0</v>
      </c>
      <c r="G102" s="650"/>
      <c r="H102" s="650">
        <f>' Plan Energi 2009'!AK$21/IF(' Plan Energi 2009'!AK$14+SUM(' Plan Energi 2009'!AK$17:AK$22)&gt;0,' Plan Energi 2009'!AK$14+SUM(' Plan Energi 2009'!AK$17:AK$22)+' Plan Energi 2009'!AK$9+' Plan Energi 2009'!AK$10,1)</f>
        <v>0</v>
      </c>
      <c r="I102" s="650"/>
      <c r="J102" s="650">
        <f>' Plan Energi 2011'!AK$21/IF(' Plan Energi 2011'!AK$14+SUM(' Plan Energi 2011'!AK$17:AK$22)&gt;0,' Plan Energi 2011'!AK$14+SUM(' Plan Energi 2011'!AK$17:AK$22)+' Plan Energi 2011'!AK$9+' Plan Energi 2011'!AK$10,1)</f>
        <v>0</v>
      </c>
      <c r="K102" s="650"/>
      <c r="L102" s="650">
        <f>' Plan Energi 2013'!AK$21/IF(' Plan Energi 2013'!AK$14+SUM(' Plan Energi 2013'!AK$17:AK$22)&gt;0,' Plan Energi 2013'!AK$14+SUM(' Plan Energi 2013'!AK$17:AK$22)+' Plan Energi 2013'!AK$9+' Plan Energi 2013'!AK$10,1)</f>
        <v>0</v>
      </c>
      <c r="M102" s="650"/>
      <c r="N102" s="650">
        <f>' Plan Energi 2015'!AK$21/IF(' Plan Energi 2015'!AK$14+SUM(' Plan Energi 2015'!AK$17:AK$22)&gt;0,' Plan Energi 2015'!AK$14+SUM(' Plan Energi 2015'!AK$17:AK$22)+' Plan Energi 2015'!AK$9+' Plan Energi 2015'!AK$10,1)</f>
        <v>0</v>
      </c>
      <c r="O102" s="650"/>
      <c r="P102" s="650">
        <f>' Plan Energi 2017'!AK$21/IF(' Plan Energi 2017'!AK$14+SUM(' Plan Energi 2017'!AK$17:AK$22)&gt;0,' Plan Energi 2017'!AK$14+SUM(' Plan Energi 2017'!AK$17:AK$22)+' Plan Energi 2017'!AK$9+' Plan Energi 2017'!AK$10,1)</f>
        <v>0</v>
      </c>
      <c r="Q102" s="650"/>
      <c r="R102" s="650">
        <f>' Plan Energi 2019'!AK$21/IF(' Plan Energi 2019'!AK$14+SUM(' Plan Energi 2019'!AK$17:AK$22)&gt;0,' Plan Energi 2019'!AK$14+SUM(' Plan Energi 2019'!AK$17:AK$22)+' Plan Energi 2019'!AK$9+' Plan Energi 2019'!AK$10,1)</f>
        <v>0</v>
      </c>
      <c r="S102" s="650"/>
      <c r="T102" s="726">
        <f>'Bolig, Service, Handel, Byg'!L58</f>
        <v>0</v>
      </c>
      <c r="U102" s="650"/>
      <c r="V102" s="726">
        <f>'Bolig, Service, Handel, Byg'!N58</f>
        <v>0</v>
      </c>
      <c r="W102" s="650"/>
      <c r="X102" s="604"/>
    </row>
    <row r="103" spans="1:24" ht="15" customHeight="1" x14ac:dyDescent="0.25">
      <c r="A103" s="604" t="s">
        <v>331</v>
      </c>
      <c r="B103" s="650">
        <f>' Plan Energi 2030-S'!AK$22/IF(' Plan Energi 2030-S'!AK$14+SUM(' Plan Energi 2030-S'!AK$17:AK$22)&gt;0,' Plan Energi 2030-S'!AK$14+SUM(' Plan Energi 2030-S'!AK$17:AK$22)+' Plan Energi 2030-S'!AK$9+' Plan Energi 2030-S'!AK$10,1)</f>
        <v>0</v>
      </c>
      <c r="C103" s="650"/>
      <c r="D103" s="650">
        <f>' Plan Energi 2006'!AK$22/IF(' Plan Energi 2006'!AK$14+SUM(' Plan Energi 2006'!AK$17:AK$22)&gt;0,' Plan Energi 2006'!AK$14+SUM(' Plan Energi 2006'!AK$17:AK$22)+' Plan Energi 2006'!AK$9+' Plan Energi 2006'!AK$10,1)</f>
        <v>0</v>
      </c>
      <c r="E103" s="650"/>
      <c r="F103" s="650">
        <f>' Plan Energi 2008'!AK$22/IF(' Plan Energi 2008'!AK$14+SUM(' Plan Energi 2008'!AK$17:AK$22)&gt;0,' Plan Energi 2008'!AK$14+SUM(' Plan Energi 2008'!AK$17:AK$22)+' Plan Energi 2008'!AK$9+' Plan Energi 2008'!AK$10,1)</f>
        <v>0</v>
      </c>
      <c r="G103" s="650"/>
      <c r="H103" s="650">
        <f>' Plan Energi 2009'!AK$22/IF(' Plan Energi 2009'!AK$14+SUM(' Plan Energi 2009'!AK$17:AK$22)&gt;0,' Plan Energi 2009'!AK$14+SUM(' Plan Energi 2009'!AK$17:AK$22)+' Plan Energi 2009'!AK$9+' Plan Energi 2009'!AK$10,1)</f>
        <v>0</v>
      </c>
      <c r="I103" s="650"/>
      <c r="J103" s="650">
        <f>' Plan Energi 2011'!AK$22/IF(' Plan Energi 2011'!AK$14+SUM(' Plan Energi 2011'!AK$17:AK$22)&gt;0,' Plan Energi 2011'!AK$14+SUM(' Plan Energi 2011'!AK$17:AK$22)+' Plan Energi 2011'!AK$9+' Plan Energi 2011'!AK$10,1)</f>
        <v>0</v>
      </c>
      <c r="K103" s="650"/>
      <c r="L103" s="650">
        <f>' Plan Energi 2013'!AK$22/IF(' Plan Energi 2013'!AK$14+SUM(' Plan Energi 2013'!AK$17:AK$22)&gt;0,' Plan Energi 2013'!AK$14+SUM(' Plan Energi 2013'!AK$17:AK$22)+' Plan Energi 2013'!AK$9+' Plan Energi 2013'!AK$10,1)</f>
        <v>0</v>
      </c>
      <c r="M103" s="650"/>
      <c r="N103" s="650">
        <f>' Plan Energi 2015'!AK$22/IF(' Plan Energi 2015'!AK$14+SUM(' Plan Energi 2015'!AK$17:AK$22)&gt;0,' Plan Energi 2015'!AK$14+SUM(' Plan Energi 2015'!AK$17:AK$22)+' Plan Energi 2015'!AK$9+' Plan Energi 2015'!AK$10,1)</f>
        <v>0</v>
      </c>
      <c r="O103" s="650"/>
      <c r="P103" s="650">
        <f>' Plan Energi 2017'!AK$22/IF(' Plan Energi 2017'!AK$14+SUM(' Plan Energi 2017'!AK$17:AK$22)&gt;0,' Plan Energi 2017'!AK$14+SUM(' Plan Energi 2017'!AK$17:AK$22)+' Plan Energi 2017'!AK$9+' Plan Energi 2017'!AK$10,1)</f>
        <v>0</v>
      </c>
      <c r="Q103" s="650"/>
      <c r="R103" s="650">
        <f>' Plan Energi 2019'!AK$22/IF(' Plan Energi 2019'!AK$14+SUM(' Plan Energi 2019'!AK$17:AK$22)&gt;0,' Plan Energi 2019'!AK$14+SUM(' Plan Energi 2019'!AK$17:AK$22)+' Plan Energi 2019'!AK$9+' Plan Energi 2019'!AK$10,1)</f>
        <v>0</v>
      </c>
      <c r="S103" s="650"/>
      <c r="T103" s="726">
        <f>'Bolig, Service, Handel, Byg'!L59</f>
        <v>0</v>
      </c>
      <c r="U103" s="650"/>
      <c r="V103" s="726">
        <f>'Bolig, Service, Handel, Byg'!N59</f>
        <v>0</v>
      </c>
      <c r="W103" s="650"/>
      <c r="X103" s="604"/>
    </row>
    <row r="104" spans="1:24" ht="15" customHeight="1" x14ac:dyDescent="0.25">
      <c r="A104" s="604" t="s">
        <v>501</v>
      </c>
      <c r="B104" s="650">
        <f>' Plan Energi 2030-S'!AK$10/IF(' Plan Energi 2030-S'!AK$14+SUM(' Plan Energi 2030-S'!AK$17:AK$22)&gt;0,' Plan Energi 2030-S'!AK$14+SUM(' Plan Energi 2030-S'!AK$17:AK$22)+' Plan Energi 2030-S'!AK$9+' Plan Energi 2030-S'!AK$10,1)</f>
        <v>0</v>
      </c>
      <c r="C104" s="650"/>
      <c r="D104" s="650">
        <f>' Plan Energi 2006'!AK$10/IF(' Plan Energi 2006'!AK$14+SUM(' Plan Energi 2006'!AK$17:AK$22)&gt;0,' Plan Energi 2006'!AK$14+SUM(' Plan Energi 2006'!AK$17:AK$22)+' Plan Energi 2006'!AK$9+' Plan Energi 2006'!AK$10,1)</f>
        <v>0</v>
      </c>
      <c r="E104" s="650"/>
      <c r="F104" s="650">
        <f>' Plan Energi 2008'!AK$10/IF(' Plan Energi 2008'!AK$14+SUM(' Plan Energi 2008'!AK$17:AK$22)&gt;0,' Plan Energi 2008'!AK$14+SUM(' Plan Energi 2008'!AK$17:AK$22)+' Plan Energi 2008'!AK$9+' Plan Energi 2008'!AK$10,1)</f>
        <v>0</v>
      </c>
      <c r="G104" s="650"/>
      <c r="H104" s="650">
        <f>' Plan Energi 2009'!AK$10/IF(' Plan Energi 2009'!AK$14+SUM(' Plan Energi 2009'!AK$17:AK$22)&gt;0,' Plan Energi 2009'!AK$14+SUM(' Plan Energi 2009'!AK$17:AK$22)+' Plan Energi 2009'!AK$9+' Plan Energi 2009'!AK$10,1)</f>
        <v>0</v>
      </c>
      <c r="I104" s="650"/>
      <c r="J104" s="650">
        <f>' Plan Energi 2011'!AK$10/IF(' Plan Energi 2011'!AK$14+SUM(' Plan Energi 2011'!AK$17:AK$22)&gt;0,' Plan Energi 2011'!AK$14+SUM(' Plan Energi 2011'!AK$17:AK$22)+' Plan Energi 2011'!AK$9+' Plan Energi 2011'!AK$10,1)</f>
        <v>0</v>
      </c>
      <c r="K104" s="650"/>
      <c r="L104" s="650">
        <f>' Plan Energi 2013'!AK$10/IF(' Plan Energi 2013'!AK$14+SUM(' Plan Energi 2013'!AK$17:AK$22)&gt;0,' Plan Energi 2013'!AK$14+SUM(' Plan Energi 2013'!AK$17:AK$22)+' Plan Energi 2013'!AK$9+' Plan Energi 2013'!AK$10,1)</f>
        <v>0</v>
      </c>
      <c r="M104" s="650"/>
      <c r="N104" s="650">
        <f>' Plan Energi 2015'!AK$10/IF(' Plan Energi 2015'!AK$14+SUM(' Plan Energi 2015'!AK$17:AK$22)&gt;0,' Plan Energi 2015'!AK$14+SUM(' Plan Energi 2015'!AK$17:AK$22)+' Plan Energi 2015'!AK$9+' Plan Energi 2015'!AK$10,1)</f>
        <v>0</v>
      </c>
      <c r="O104" s="650"/>
      <c r="P104" s="650">
        <f>' Plan Energi 2017'!AK$10/IF(' Plan Energi 2017'!AK$14+SUM(' Plan Energi 2017'!AK$17:AK$22)&gt;0,' Plan Energi 2017'!AK$14+SUM(' Plan Energi 2017'!AK$17:AK$22)+' Plan Energi 2017'!AK$9+' Plan Energi 2017'!AK$10,1)</f>
        <v>0</v>
      </c>
      <c r="Q104" s="650"/>
      <c r="R104" s="650">
        <f>' Plan Energi 2019'!AK$10/IF(' Plan Energi 2019'!AK$14+SUM(' Plan Energi 2019'!AK$17:AK$22)&gt;0,' Plan Energi 2019'!AK$14+SUM(' Plan Energi 2019'!AK$17:AK$22)+' Plan Energi 2019'!AK$9+' Plan Energi 2019'!AK$10,1)</f>
        <v>0</v>
      </c>
      <c r="S104" s="650"/>
      <c r="T104" s="726">
        <f>'Bolig, Service, Handel, Byg'!L60</f>
        <v>0</v>
      </c>
      <c r="U104" s="650"/>
      <c r="V104" s="726">
        <f>'Bolig, Service, Handel, Byg'!N60</f>
        <v>0</v>
      </c>
      <c r="W104" s="650"/>
      <c r="X104" s="604"/>
    </row>
    <row r="105" spans="1:24" ht="15" customHeight="1" x14ac:dyDescent="0.25">
      <c r="A105" s="604" t="s">
        <v>314</v>
      </c>
      <c r="B105" s="650">
        <f>' Plan Energi 2030-S'!AK$9/IF(' Plan Energi 2030-S'!AK$14+SUM(' Plan Energi 2030-S'!AK$17:AK$22)&gt;0,' Plan Energi 2030-S'!AK$14+SUM(' Plan Energi 2030-S'!AK$17:AK$22)+' Plan Energi 2030-S'!AK$9+' Plan Energi 2030-S'!AK$10,1)</f>
        <v>0</v>
      </c>
      <c r="C105" s="650"/>
      <c r="D105" s="650">
        <f>' Plan Energi 2006'!AK$9/IF(' Plan Energi 2006'!AK$14+SUM(' Plan Energi 2006'!AK$17:AK$22)&gt;0,' Plan Energi 2006'!AK$14+SUM(' Plan Energi 2006'!AK$17:AK$22)+' Plan Energi 2006'!AK$9+' Plan Energi 2006'!AK$10,1)</f>
        <v>0</v>
      </c>
      <c r="E105" s="650"/>
      <c r="F105" s="650">
        <f>' Plan Energi 2008'!AK$9/IF(' Plan Energi 2008'!AK$14+SUM(' Plan Energi 2008'!AK$17:AK$22)&gt;0,' Plan Energi 2008'!AK$14+SUM(' Plan Energi 2008'!AK$17:AK$22)+' Plan Energi 2008'!AK$9+' Plan Energi 2008'!AK$10,1)</f>
        <v>0</v>
      </c>
      <c r="G105" s="650"/>
      <c r="H105" s="650">
        <f>' Plan Energi 2009'!AK$9/IF(' Plan Energi 2009'!AK$14+SUM(' Plan Energi 2009'!AK$17:AK$22)&gt;0,' Plan Energi 2009'!AK$14+SUM(' Plan Energi 2009'!AK$17:AK$22)+' Plan Energi 2009'!AK$9+' Plan Energi 2009'!AK$10,1)</f>
        <v>0</v>
      </c>
      <c r="I105" s="650"/>
      <c r="J105" s="650">
        <f>' Plan Energi 2011'!AK$9/IF(' Plan Energi 2011'!AK$14+SUM(' Plan Energi 2011'!AK$17:AK$22)&gt;0,' Plan Energi 2011'!AK$14+SUM(' Plan Energi 2011'!AK$17:AK$22)+' Plan Energi 2011'!AK$9+' Plan Energi 2011'!AK$10,1)</f>
        <v>0</v>
      </c>
      <c r="K105" s="650"/>
      <c r="L105" s="650">
        <f>' Plan Energi 2013'!AK$9/IF(' Plan Energi 2013'!AK$14+SUM(' Plan Energi 2013'!AK$17:AK$22)&gt;0,' Plan Energi 2013'!AK$14+SUM(' Plan Energi 2013'!AK$17:AK$22)+' Plan Energi 2013'!AK$9+' Plan Energi 2013'!AK$10,1)</f>
        <v>0</v>
      </c>
      <c r="M105" s="650"/>
      <c r="N105" s="650">
        <f>' Plan Energi 2015'!AK$9/IF(' Plan Energi 2015'!AK$14+SUM(' Plan Energi 2015'!AK$17:AK$22)&gt;0,' Plan Energi 2015'!AK$14+SUM(' Plan Energi 2015'!AK$17:AK$22)+' Plan Energi 2015'!AK$9+' Plan Energi 2015'!AK$10,1)</f>
        <v>0</v>
      </c>
      <c r="O105" s="650"/>
      <c r="P105" s="650">
        <f>' Plan Energi 2017'!AK$9/IF(' Plan Energi 2017'!AK$14+SUM(' Plan Energi 2017'!AK$17:AK$22)&gt;0,' Plan Energi 2017'!AK$14+SUM(' Plan Energi 2017'!AK$17:AK$22)+' Plan Energi 2017'!AK$9+' Plan Energi 2017'!AK$10,1)</f>
        <v>0</v>
      </c>
      <c r="Q105" s="650"/>
      <c r="R105" s="650">
        <f>' Plan Energi 2019'!AK$9/IF(' Plan Energi 2019'!AK$14+SUM(' Plan Energi 2019'!AK$17:AK$22)&gt;0,' Plan Energi 2019'!AK$14+SUM(' Plan Energi 2019'!AK$17:AK$22)+' Plan Energi 2019'!AK$9+' Plan Energi 2019'!AK$10,1)</f>
        <v>0</v>
      </c>
      <c r="S105" s="650"/>
      <c r="T105" s="726">
        <f>'Bolig, Service, Handel, Byg'!L61</f>
        <v>0</v>
      </c>
      <c r="U105" s="650"/>
      <c r="V105" s="726">
        <f>'Bolig, Service, Handel, Byg'!N61</f>
        <v>0</v>
      </c>
      <c r="W105" s="650"/>
      <c r="X105" s="604"/>
    </row>
    <row r="106" spans="1:24" x14ac:dyDescent="0.25">
      <c r="A106" s="633" t="s">
        <v>489</v>
      </c>
      <c r="B106" s="650"/>
      <c r="C106" s="650"/>
      <c r="D106" s="650"/>
      <c r="E106" s="650"/>
      <c r="F106" s="650"/>
      <c r="G106" s="650"/>
      <c r="H106" s="650"/>
      <c r="I106" s="650"/>
      <c r="J106" s="650"/>
      <c r="K106" s="650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04"/>
    </row>
    <row r="107" spans="1:24" x14ac:dyDescent="0.25">
      <c r="A107" s="604" t="s">
        <v>351</v>
      </c>
      <c r="B107" s="650">
        <f>' Plan Energi 2030-S'!AK$39/IF(' Plan Energi 2030-S'!AK$39+' Plan Energi 2030-S'!AK$43+' Plan Energi 2030-S'!AK$52+' Plan Energi 2030-S'!AK$55+' Plan Energi 2030-S'!AK$62+' Plan Energi 2030-S'!AK$71&gt;0,' Plan Energi 2030-S'!AK$39+' Plan Energi 2030-S'!AK$43+' Plan Energi 2030-S'!AK$52+' Plan Energi 2030-S'!AK$55+' Plan Energi 2030-S'!AK$62+' Plan Energi 2030-S'!AK$71,1)</f>
        <v>0</v>
      </c>
      <c r="C107" s="650"/>
      <c r="D107" s="650">
        <f>' Plan Energi 2006'!AK$39/IF(' Plan Energi 2006'!AK$39+' Plan Energi 2006'!AK$43+' Plan Energi 2006'!AK$52+' Plan Energi 2006'!AK$55+' Plan Energi 2006'!AK$62+' Plan Energi 2006'!AK$71&gt;0,' Plan Energi 2006'!AK$39+' Plan Energi 2006'!AK$43+' Plan Energi 2006'!AK$52+' Plan Energi 2006'!AK$55+' Plan Energi 2006'!AK$62+' Plan Energi 2006'!AK$71,1)</f>
        <v>0</v>
      </c>
      <c r="E107" s="650"/>
      <c r="F107" s="650">
        <f>' Plan Energi 2008'!AK$39/IF(' Plan Energi 2008'!AK$39+' Plan Energi 2008'!AK$43+' Plan Energi 2008'!AK$52+' Plan Energi 2008'!AK$55+' Plan Energi 2008'!AK$62+' Plan Energi 2008'!AK$71&gt;0,' Plan Energi 2008'!AK$39+' Plan Energi 2008'!AK$43+' Plan Energi 2008'!AK$52+' Plan Energi 2008'!AK$55+' Plan Energi 2008'!AK$62+' Plan Energi 2008'!AK$71,1)</f>
        <v>0</v>
      </c>
      <c r="G107" s="650"/>
      <c r="H107" s="650">
        <f>' Plan Energi 2009'!AK$39/IF(' Plan Energi 2009'!AK$39+' Plan Energi 2009'!AK$43+' Plan Energi 2009'!AK$52+' Plan Energi 2009'!AK$55+' Plan Energi 2009'!AK$62+' Plan Energi 2009'!AK$71&gt;0,' Plan Energi 2009'!AK$39+' Plan Energi 2009'!AK$43+' Plan Energi 2009'!AK$52+' Plan Energi 2009'!AK$55+' Plan Energi 2009'!AK$62+' Plan Energi 2009'!AK$71,1)</f>
        <v>0</v>
      </c>
      <c r="I107" s="650"/>
      <c r="J107" s="650">
        <f>' Plan Energi 2011'!AK$39/IF(' Plan Energi 2011'!AK$39+' Plan Energi 2011'!AK$43+' Plan Energi 2011'!AK$52+' Plan Energi 2011'!AK$55+' Plan Energi 2011'!AK$62+' Plan Energi 2011'!AK$71&gt;0,' Plan Energi 2011'!AK$39+' Plan Energi 2011'!AK$43+' Plan Energi 2011'!AK$52+' Plan Energi 2011'!AK$55+' Plan Energi 2011'!AK$62+' Plan Energi 2011'!AK$71,1)</f>
        <v>0</v>
      </c>
      <c r="K107" s="650"/>
      <c r="L107" s="650">
        <f>' Plan Energi 2013'!AK$39/IF(' Plan Energi 2013'!AK$39+' Plan Energi 2013'!AK$43+' Plan Energi 2013'!AK$52+' Plan Energi 2013'!AK$55+' Plan Energi 2013'!AK$62+' Plan Energi 2013'!AK$71&gt;0,' Plan Energi 2013'!AK$39+' Plan Energi 2013'!AK$43+' Plan Energi 2013'!AK$52+' Plan Energi 2013'!AK$55+' Plan Energi 2013'!AK$62+' Plan Energi 2013'!AK$71,1)</f>
        <v>0</v>
      </c>
      <c r="M107" s="650"/>
      <c r="N107" s="650">
        <f>' Plan Energi 2015'!AK$39/IF(' Plan Energi 2015'!AK$39+' Plan Energi 2015'!AK$43+' Plan Energi 2015'!AK$52+' Plan Energi 2015'!AK$55+' Plan Energi 2015'!AK$62+' Plan Energi 2015'!AK$71&gt;0,' Plan Energi 2015'!AK$39+' Plan Energi 2015'!AK$43+' Plan Energi 2015'!AK$52+' Plan Energi 2015'!AK$55+' Plan Energi 2015'!AK$62+' Plan Energi 2015'!AK$71,1)</f>
        <v>0</v>
      </c>
      <c r="O107" s="650"/>
      <c r="P107" s="650">
        <f>' Plan Energi 2017'!AK$39/IF(' Plan Energi 2017'!AK$39+' Plan Energi 2017'!AK$43+' Plan Energi 2017'!AK$52+' Plan Energi 2017'!AK$55+' Plan Energi 2017'!AK$62+' Plan Energi 2017'!AK$71&gt;0,' Plan Energi 2017'!AK$39+' Plan Energi 2017'!AK$43+' Plan Energi 2017'!AK$52+' Plan Energi 2017'!AK$55+' Plan Energi 2017'!AK$62+' Plan Energi 2017'!AK$71,1)</f>
        <v>0</v>
      </c>
      <c r="Q107" s="650"/>
      <c r="R107" s="650">
        <f>' Plan Energi 2019'!AK$39/IF(' Plan Energi 2019'!AK$39+' Plan Energi 2019'!AK$43+' Plan Energi 2019'!AK$52+' Plan Energi 2019'!AK$55+' Plan Energi 2019'!AK$62+' Plan Energi 2019'!AK$71&gt;0,' Plan Energi 2019'!AK$39+' Plan Energi 2019'!AK$43+' Plan Energi 2019'!AK$52+' Plan Energi 2019'!AK$55+' Plan Energi 2019'!AK$62+' Plan Energi 2019'!AK$71,1)</f>
        <v>0</v>
      </c>
      <c r="S107" s="650"/>
      <c r="T107" s="727">
        <f>Fjernvarme!J7</f>
        <v>0</v>
      </c>
      <c r="U107" s="650"/>
      <c r="V107" s="727">
        <f>Fjernvarme!L7</f>
        <v>0</v>
      </c>
      <c r="W107" s="650"/>
      <c r="X107" s="604"/>
    </row>
    <row r="108" spans="1:24" x14ac:dyDescent="0.25">
      <c r="A108" s="604" t="s">
        <v>352</v>
      </c>
      <c r="B108" s="650">
        <f>' Plan Energi 2030-S'!AK$43/IF(' Plan Energi 2030-S'!AK$39+' Plan Energi 2030-S'!AK$43+' Plan Energi 2030-S'!AK$52+' Plan Energi 2030-S'!AK$55+' Plan Energi 2030-S'!AK$62+' Plan Energi 2030-S'!AK$71&gt;0,' Plan Energi 2030-S'!AK$39+' Plan Energi 2030-S'!AK$43+' Plan Energi 2030-S'!AK$52+' Plan Energi 2030-S'!AK$55+' Plan Energi 2030-S'!AK$62+' Plan Energi 2030-S'!AK$71,1)</f>
        <v>0</v>
      </c>
      <c r="C108" s="650"/>
      <c r="D108" s="650">
        <f>' Plan Energi 2006'!AK$43/IF(' Plan Energi 2006'!AK$39+' Plan Energi 2006'!AK$43+' Plan Energi 2006'!AK$52+' Plan Energi 2006'!AK$55+' Plan Energi 2006'!AK$62+' Plan Energi 2006'!AK$71&gt;0,' Plan Energi 2006'!AK$39+' Plan Energi 2006'!AK$43+' Plan Energi 2006'!AK$52+' Plan Energi 2006'!AK$55+' Plan Energi 2006'!AK$62+' Plan Energi 2006'!AK$71,1)</f>
        <v>0</v>
      </c>
      <c r="E108" s="650"/>
      <c r="F108" s="650">
        <f>' Plan Energi 2008'!AK$43/IF(' Plan Energi 2008'!AK$39+' Plan Energi 2008'!AK$43+' Plan Energi 2008'!AK$52+' Plan Energi 2008'!AK$55+' Plan Energi 2008'!AK$62+' Plan Energi 2008'!AK$71&gt;0,' Plan Energi 2008'!AK$39+' Plan Energi 2008'!AK$43+' Plan Energi 2008'!AK$52+' Plan Energi 2008'!AK$55+' Plan Energi 2008'!AK$62+' Plan Energi 2008'!AK$71,1)</f>
        <v>0</v>
      </c>
      <c r="G108" s="650"/>
      <c r="H108" s="650">
        <f>' Plan Energi 2009'!AK$43/IF(' Plan Energi 2009'!AK$39+' Plan Energi 2009'!AK$43+' Plan Energi 2009'!AK$52+' Plan Energi 2009'!AK$55+' Plan Energi 2009'!AK$62+' Plan Energi 2009'!AK$71&gt;0,' Plan Energi 2009'!AK$39+' Plan Energi 2009'!AK$43+' Plan Energi 2009'!AK$52+' Plan Energi 2009'!AK$55+' Plan Energi 2009'!AK$62+' Plan Energi 2009'!AK$71,1)</f>
        <v>0</v>
      </c>
      <c r="I108" s="650"/>
      <c r="J108" s="650">
        <f>' Plan Energi 2011'!AK$43/IF(' Plan Energi 2011'!AK$39+' Plan Energi 2011'!AK$43+' Plan Energi 2011'!AK$52+' Plan Energi 2011'!AK$55+' Plan Energi 2011'!AK$62+' Plan Energi 2011'!AK$71&gt;0,' Plan Energi 2011'!AK$39+' Plan Energi 2011'!AK$43+' Plan Energi 2011'!AK$52+' Plan Energi 2011'!AK$55+' Plan Energi 2011'!AK$62+' Plan Energi 2011'!AK$71,1)</f>
        <v>0</v>
      </c>
      <c r="K108" s="650"/>
      <c r="L108" s="650">
        <f>' Plan Energi 2013'!AK$43/IF(' Plan Energi 2013'!AK$39+' Plan Energi 2013'!AK$43+' Plan Energi 2013'!AK$52+' Plan Energi 2013'!AK$55+' Plan Energi 2013'!AK$62+' Plan Energi 2013'!AK$71&gt;0,' Plan Energi 2013'!AK$39+' Plan Energi 2013'!AK$43+' Plan Energi 2013'!AK$52+' Plan Energi 2013'!AK$55+' Plan Energi 2013'!AK$62+' Plan Energi 2013'!AK$71,1)</f>
        <v>0</v>
      </c>
      <c r="M108" s="650"/>
      <c r="N108" s="650">
        <f>' Plan Energi 2015'!AK$43/IF(' Plan Energi 2015'!AK$39+' Plan Energi 2015'!AK$43+' Plan Energi 2015'!AK$52+' Plan Energi 2015'!AK$55+' Plan Energi 2015'!AK$62+' Plan Energi 2015'!AK$71&gt;0,' Plan Energi 2015'!AK$39+' Plan Energi 2015'!AK$43+' Plan Energi 2015'!AK$52+' Plan Energi 2015'!AK$55+' Plan Energi 2015'!AK$62+' Plan Energi 2015'!AK$71,1)</f>
        <v>0</v>
      </c>
      <c r="O108" s="650"/>
      <c r="P108" s="650">
        <f>' Plan Energi 2017'!AK$43/IF(' Plan Energi 2017'!AK$39+' Plan Energi 2017'!AK$43+' Plan Energi 2017'!AK$52+' Plan Energi 2017'!AK$55+' Plan Energi 2017'!AK$62+' Plan Energi 2017'!AK$71&gt;0,' Plan Energi 2017'!AK$39+' Plan Energi 2017'!AK$43+' Plan Energi 2017'!AK$52+' Plan Energi 2017'!AK$55+' Plan Energi 2017'!AK$62+' Plan Energi 2017'!AK$71,1)</f>
        <v>0</v>
      </c>
      <c r="Q108" s="650"/>
      <c r="R108" s="650">
        <f>' Plan Energi 2019'!AK$43/IF(' Plan Energi 2019'!AK$39+' Plan Energi 2019'!AK$43+' Plan Energi 2019'!AK$52+' Plan Energi 2019'!AK$55+' Plan Energi 2019'!AK$62+' Plan Energi 2019'!AK$71&gt;0,' Plan Energi 2019'!AK$39+' Plan Energi 2019'!AK$43+' Plan Energi 2019'!AK$52+' Plan Energi 2019'!AK$55+' Plan Energi 2019'!AK$62+' Plan Energi 2019'!AK$71,1)</f>
        <v>0</v>
      </c>
      <c r="S108" s="650"/>
      <c r="T108" s="727">
        <f>Fjernvarme!J8</f>
        <v>0</v>
      </c>
      <c r="U108" s="650"/>
      <c r="V108" s="727">
        <f>Fjernvarme!L8</f>
        <v>0</v>
      </c>
      <c r="W108" s="650"/>
      <c r="X108" s="604"/>
    </row>
    <row r="109" spans="1:24" x14ac:dyDescent="0.25">
      <c r="A109" s="604" t="s">
        <v>353</v>
      </c>
      <c r="B109" s="650">
        <f>' Plan Energi 2030-S'!AK$52/IF(' Plan Energi 2030-S'!AK$39+' Plan Energi 2030-S'!AK$43+' Plan Energi 2030-S'!AK$52+' Plan Energi 2030-S'!AK$55+' Plan Energi 2030-S'!AK$62+' Plan Energi 2030-S'!AK$71&gt;0,' Plan Energi 2030-S'!AK$39+' Plan Energi 2030-S'!AK$43+' Plan Energi 2030-S'!AK$52+' Plan Energi 2030-S'!AK$55+' Plan Energi 2030-S'!AK$62+' Plan Energi 2030-S'!AK$71,1)</f>
        <v>0</v>
      </c>
      <c r="C109" s="650"/>
      <c r="D109" s="650">
        <f>' Plan Energi 2006'!AK$52/IF(' Plan Energi 2006'!AK$39+' Plan Energi 2006'!AK$43+' Plan Energi 2006'!AK$52+' Plan Energi 2006'!AK$55+' Plan Energi 2006'!AK$62+' Plan Energi 2006'!AK$71&gt;0,' Plan Energi 2006'!AK$39+' Plan Energi 2006'!AK$43+' Plan Energi 2006'!AK$52+' Plan Energi 2006'!AK$55+' Plan Energi 2006'!AK$62+' Plan Energi 2006'!AK$71,1)</f>
        <v>0</v>
      </c>
      <c r="E109" s="650"/>
      <c r="F109" s="650">
        <f>' Plan Energi 2008'!AK$52/IF(' Plan Energi 2008'!AK$39+' Plan Energi 2008'!AK$43+' Plan Energi 2008'!AK$52+' Plan Energi 2008'!AK$55+' Plan Energi 2008'!AK$62+' Plan Energi 2008'!AK$71&gt;0,' Plan Energi 2008'!AK$39+' Plan Energi 2008'!AK$43+' Plan Energi 2008'!AK$52+' Plan Energi 2008'!AK$55+' Plan Energi 2008'!AK$62+' Plan Energi 2008'!AK$71,1)</f>
        <v>0</v>
      </c>
      <c r="G109" s="650"/>
      <c r="H109" s="650">
        <f>' Plan Energi 2009'!AK$52/IF(' Plan Energi 2009'!AK$39+' Plan Energi 2009'!AK$43+' Plan Energi 2009'!AK$52+' Plan Energi 2009'!AK$55+' Plan Energi 2009'!AK$62+' Plan Energi 2009'!AK$71&gt;0,' Plan Energi 2009'!AK$39+' Plan Energi 2009'!AK$43+' Plan Energi 2009'!AK$52+' Plan Energi 2009'!AK$55+' Plan Energi 2009'!AK$62+' Plan Energi 2009'!AK$71,1)</f>
        <v>0</v>
      </c>
      <c r="I109" s="650"/>
      <c r="J109" s="650">
        <f>' Plan Energi 2011'!AK$52/IF(' Plan Energi 2011'!AK$39+' Plan Energi 2011'!AK$43+' Plan Energi 2011'!AK$52+' Plan Energi 2011'!AK$55+' Plan Energi 2011'!AK$62+' Plan Energi 2011'!AK$71&gt;0,' Plan Energi 2011'!AK$39+' Plan Energi 2011'!AK$43+' Plan Energi 2011'!AK$52+' Plan Energi 2011'!AK$55+' Plan Energi 2011'!AK$62+' Plan Energi 2011'!AK$71,1)</f>
        <v>0</v>
      </c>
      <c r="K109" s="650"/>
      <c r="L109" s="650">
        <f>' Plan Energi 2013'!AK$52/IF(' Plan Energi 2013'!AK$39+' Plan Energi 2013'!AK$43+' Plan Energi 2013'!AK$52+' Plan Energi 2013'!AK$55+' Plan Energi 2013'!AK$62+' Plan Energi 2013'!AK$71&gt;0,' Plan Energi 2013'!AK$39+' Plan Energi 2013'!AK$43+' Plan Energi 2013'!AK$52+' Plan Energi 2013'!AK$55+' Plan Energi 2013'!AK$62+' Plan Energi 2013'!AK$71,1)</f>
        <v>0</v>
      </c>
      <c r="M109" s="650"/>
      <c r="N109" s="650">
        <f>' Plan Energi 2015'!AK$52/IF(' Plan Energi 2015'!AK$39+' Plan Energi 2015'!AK$43+' Plan Energi 2015'!AK$52+' Plan Energi 2015'!AK$55+' Plan Energi 2015'!AK$62+' Plan Energi 2015'!AK$71&gt;0,' Plan Energi 2015'!AK$39+' Plan Energi 2015'!AK$43+' Plan Energi 2015'!AK$52+' Plan Energi 2015'!AK$55+' Plan Energi 2015'!AK$62+' Plan Energi 2015'!AK$71,1)</f>
        <v>0</v>
      </c>
      <c r="O109" s="650"/>
      <c r="P109" s="650">
        <f>' Plan Energi 2017'!AK$52/IF(' Plan Energi 2017'!AK$39+' Plan Energi 2017'!AK$43+' Plan Energi 2017'!AK$52+' Plan Energi 2017'!AK$55+' Plan Energi 2017'!AK$62+' Plan Energi 2017'!AK$71&gt;0,' Plan Energi 2017'!AK$39+' Plan Energi 2017'!AK$43+' Plan Energi 2017'!AK$52+' Plan Energi 2017'!AK$55+' Plan Energi 2017'!AK$62+' Plan Energi 2017'!AK$71,1)</f>
        <v>0</v>
      </c>
      <c r="Q109" s="650"/>
      <c r="R109" s="650">
        <f>' Plan Energi 2019'!AK$52/IF(' Plan Energi 2019'!AK$39+' Plan Energi 2019'!AK$43+' Plan Energi 2019'!AK$52+' Plan Energi 2019'!AK$55+' Plan Energi 2019'!AK$62+' Plan Energi 2019'!AK$71&gt;0,' Plan Energi 2019'!AK$39+' Plan Energi 2019'!AK$43+' Plan Energi 2019'!AK$52+' Plan Energi 2019'!AK$55+' Plan Energi 2019'!AK$62+' Plan Energi 2019'!AK$71,1)</f>
        <v>0</v>
      </c>
      <c r="S109" s="650"/>
      <c r="T109" s="727">
        <f>Fjernvarme!J9</f>
        <v>0</v>
      </c>
      <c r="U109" s="650"/>
      <c r="V109" s="727">
        <f>Fjernvarme!L9</f>
        <v>0</v>
      </c>
      <c r="W109" s="650"/>
      <c r="X109" s="604"/>
    </row>
    <row r="110" spans="1:24" x14ac:dyDescent="0.25">
      <c r="A110" s="604" t="s">
        <v>354</v>
      </c>
      <c r="B110" s="650">
        <f>' Plan Energi 2030-S'!AK$55/IF(' Plan Energi 2030-S'!AK$39+' Plan Energi 2030-S'!AK$43+' Plan Energi 2030-S'!AK$52+' Plan Energi 2030-S'!AK$55+' Plan Energi 2030-S'!AK$62+' Plan Energi 2030-S'!AK$71&gt;0,' Plan Energi 2030-S'!AK$39+' Plan Energi 2030-S'!AK$43+' Plan Energi 2030-S'!AK$52+' Plan Energi 2030-S'!AK$55+' Plan Energi 2030-S'!AK$62+' Plan Energi 2030-S'!AK$71,1)</f>
        <v>0</v>
      </c>
      <c r="C110" s="650"/>
      <c r="D110" s="650">
        <f>' Plan Energi 2006'!AK$55/IF(' Plan Energi 2006'!AK$39+' Plan Energi 2006'!AK$43+' Plan Energi 2006'!AK$52+' Plan Energi 2006'!AK$55+' Plan Energi 2006'!AK$62+' Plan Energi 2006'!AK$71&gt;0,' Plan Energi 2006'!AK$39+' Plan Energi 2006'!AK$43+' Plan Energi 2006'!AK$52+' Plan Energi 2006'!AK$55+' Plan Energi 2006'!AK$62+' Plan Energi 2006'!AK$71,1)</f>
        <v>0</v>
      </c>
      <c r="E110" s="650"/>
      <c r="F110" s="650">
        <f>' Plan Energi 2008'!AK$55/IF(' Plan Energi 2008'!AK$39+' Plan Energi 2008'!AK$43+' Plan Energi 2008'!AK$52+' Plan Energi 2008'!AK$55+' Plan Energi 2008'!AK$62+' Plan Energi 2008'!AK$71&gt;0,' Plan Energi 2008'!AK$39+' Plan Energi 2008'!AK$43+' Plan Energi 2008'!AK$52+' Plan Energi 2008'!AK$55+' Plan Energi 2008'!AK$62+' Plan Energi 2008'!AK$71,1)</f>
        <v>0</v>
      </c>
      <c r="G110" s="650"/>
      <c r="H110" s="650">
        <f>' Plan Energi 2009'!AK$55/IF(' Plan Energi 2009'!AK$39+' Plan Energi 2009'!AK$43+' Plan Energi 2009'!AK$52+' Plan Energi 2009'!AK$55+' Plan Energi 2009'!AK$62+' Plan Energi 2009'!AK$71&gt;0,' Plan Energi 2009'!AK$39+' Plan Energi 2009'!AK$43+' Plan Energi 2009'!AK$52+' Plan Energi 2009'!AK$55+' Plan Energi 2009'!AK$62+' Plan Energi 2009'!AK$71,1)</f>
        <v>0</v>
      </c>
      <c r="I110" s="650"/>
      <c r="J110" s="650">
        <f>' Plan Energi 2011'!AK$55/IF(' Plan Energi 2011'!AK$39+' Plan Energi 2011'!AK$43+' Plan Energi 2011'!AK$52+' Plan Energi 2011'!AK$55+' Plan Energi 2011'!AK$62+' Plan Energi 2011'!AK$71&gt;0,' Plan Energi 2011'!AK$39+' Plan Energi 2011'!AK$43+' Plan Energi 2011'!AK$52+' Plan Energi 2011'!AK$55+' Plan Energi 2011'!AK$62+' Plan Energi 2011'!AK$71,1)</f>
        <v>0</v>
      </c>
      <c r="K110" s="650"/>
      <c r="L110" s="650">
        <f>' Plan Energi 2013'!AK$55/IF(' Plan Energi 2013'!AK$39+' Plan Energi 2013'!AK$43+' Plan Energi 2013'!AK$52+' Plan Energi 2013'!AK$55+' Plan Energi 2013'!AK$62+' Plan Energi 2013'!AK$71&gt;0,' Plan Energi 2013'!AK$39+' Plan Energi 2013'!AK$43+' Plan Energi 2013'!AK$52+' Plan Energi 2013'!AK$55+' Plan Energi 2013'!AK$62+' Plan Energi 2013'!AK$71,1)</f>
        <v>0</v>
      </c>
      <c r="M110" s="650"/>
      <c r="N110" s="650">
        <f>' Plan Energi 2015'!AK$55/IF(' Plan Energi 2015'!AK$39+' Plan Energi 2015'!AK$43+' Plan Energi 2015'!AK$52+' Plan Energi 2015'!AK$55+' Plan Energi 2015'!AK$62+' Plan Energi 2015'!AK$71&gt;0,' Plan Energi 2015'!AK$39+' Plan Energi 2015'!AK$43+' Plan Energi 2015'!AK$52+' Plan Energi 2015'!AK$55+' Plan Energi 2015'!AK$62+' Plan Energi 2015'!AK$71,1)</f>
        <v>0</v>
      </c>
      <c r="O110" s="650"/>
      <c r="P110" s="650">
        <f>' Plan Energi 2017'!AK$55/IF(' Plan Energi 2017'!AK$39+' Plan Energi 2017'!AK$43+' Plan Energi 2017'!AK$52+' Plan Energi 2017'!AK$55+' Plan Energi 2017'!AK$62+' Plan Energi 2017'!AK$71&gt;0,' Plan Energi 2017'!AK$39+' Plan Energi 2017'!AK$43+' Plan Energi 2017'!AK$52+' Plan Energi 2017'!AK$55+' Plan Energi 2017'!AK$62+' Plan Energi 2017'!AK$71,1)</f>
        <v>0</v>
      </c>
      <c r="Q110" s="650"/>
      <c r="R110" s="650">
        <f>' Plan Energi 2019'!AK$55/IF(' Plan Energi 2019'!AK$39+' Plan Energi 2019'!AK$43+' Plan Energi 2019'!AK$52+' Plan Energi 2019'!AK$55+' Plan Energi 2019'!AK$62+' Plan Energi 2019'!AK$71&gt;0,' Plan Energi 2019'!AK$39+' Plan Energi 2019'!AK$43+' Plan Energi 2019'!AK$52+' Plan Energi 2019'!AK$55+' Plan Energi 2019'!AK$62+' Plan Energi 2019'!AK$71,1)</f>
        <v>0</v>
      </c>
      <c r="S110" s="650"/>
      <c r="T110" s="727">
        <f>Fjernvarme!J10</f>
        <v>0</v>
      </c>
      <c r="U110" s="650"/>
      <c r="V110" s="727">
        <f>Fjernvarme!L10</f>
        <v>0</v>
      </c>
      <c r="W110" s="650"/>
      <c r="X110" s="604"/>
    </row>
    <row r="111" spans="1:24" x14ac:dyDescent="0.25">
      <c r="A111" s="604" t="s">
        <v>199</v>
      </c>
      <c r="B111" s="650">
        <f>' Plan Energi 2030-S'!AK$62/IF(' Plan Energi 2030-S'!AK$39+' Plan Energi 2030-S'!AK$43+' Plan Energi 2030-S'!AK$52+' Plan Energi 2030-S'!AK$55+' Plan Energi 2030-S'!AK$62+' Plan Energi 2030-S'!AK$71&gt;0,' Plan Energi 2030-S'!AK$39+' Plan Energi 2030-S'!AK$43+' Plan Energi 2030-S'!AK$52+' Plan Energi 2030-S'!AK$55+' Plan Energi 2030-S'!AK$62+' Plan Energi 2030-S'!AK$71,1)</f>
        <v>0.81422293248102273</v>
      </c>
      <c r="C111" s="650"/>
      <c r="D111" s="650">
        <f>' Plan Energi 2006'!AK$62/IF(' Plan Energi 2006'!AK$39+' Plan Energi 2006'!AK$43+' Plan Energi 2006'!AK$52+' Plan Energi 2006'!AK$55+' Plan Energi 2006'!AK$62+' Plan Energi 2006'!AK$71&gt;0,' Plan Energi 2006'!AK$39+' Plan Energi 2006'!AK$43+' Plan Energi 2006'!AK$52+' Plan Energi 2006'!AK$55+' Plan Energi 2006'!AK$62+' Plan Energi 2006'!AK$71,1)</f>
        <v>0.80201498808706606</v>
      </c>
      <c r="E111" s="650"/>
      <c r="F111" s="650">
        <f>' Plan Energi 2008'!AK$62/IF(' Plan Energi 2008'!AK$39+' Plan Energi 2008'!AK$43+' Plan Energi 2008'!AK$52+' Plan Energi 2008'!AK$55+' Plan Energi 2008'!AK$62+' Plan Energi 2008'!AK$71&gt;0,' Plan Energi 2008'!AK$39+' Plan Energi 2008'!AK$43+' Plan Energi 2008'!AK$52+' Plan Energi 2008'!AK$55+' Plan Energi 2008'!AK$62+' Plan Energi 2008'!AK$71,1)</f>
        <v>0.82968314293276579</v>
      </c>
      <c r="G111" s="650"/>
      <c r="H111" s="650">
        <f>' Plan Energi 2009'!AK$62/IF(' Plan Energi 2009'!AK$39+' Plan Energi 2009'!AK$43+' Plan Energi 2009'!AK$52+' Plan Energi 2009'!AK$55+' Plan Energi 2009'!AK$62+' Plan Energi 2009'!AK$71&gt;0,' Plan Energi 2009'!AK$39+' Plan Energi 2009'!AK$43+' Plan Energi 2009'!AK$52+' Plan Energi 2009'!AK$55+' Plan Energi 2009'!AK$62+' Plan Energi 2009'!AK$71,1)</f>
        <v>0.84029857568292798</v>
      </c>
      <c r="I111" s="650"/>
      <c r="J111" s="650">
        <f>' Plan Energi 2011'!AK$62/IF(' Plan Energi 2011'!AK$39+' Plan Energi 2011'!AK$43+' Plan Energi 2011'!AK$52+' Plan Energi 2011'!AK$55+' Plan Energi 2011'!AK$62+' Plan Energi 2011'!AK$71&gt;0,' Plan Energi 2011'!AK$39+' Plan Energi 2011'!AK$43+' Plan Energi 2011'!AK$52+' Plan Energi 2011'!AK$55+' Plan Energi 2011'!AK$62+' Plan Energi 2011'!AK$71,1)</f>
        <v>0.84428002689278991</v>
      </c>
      <c r="K111" s="650"/>
      <c r="L111" s="650">
        <f>' Plan Energi 2013'!AK$62/IF(' Plan Energi 2013'!AK$39+' Plan Energi 2013'!AK$43+' Plan Energi 2013'!AK$52+' Plan Energi 2013'!AK$55+' Plan Energi 2013'!AK$62+' Plan Energi 2013'!AK$71&gt;0,' Plan Energi 2013'!AK$39+' Plan Energi 2013'!AK$43+' Plan Energi 2013'!AK$52+' Plan Energi 2013'!AK$55+' Plan Energi 2013'!AK$62+' Plan Energi 2013'!AK$71,1)</f>
        <v>0.84952884213808344</v>
      </c>
      <c r="M111" s="650"/>
      <c r="N111" s="650">
        <f>' Plan Energi 2015'!AK$62/IF(' Plan Energi 2015'!AK$39+' Plan Energi 2015'!AK$43+' Plan Energi 2015'!AK$52+' Plan Energi 2015'!AK$55+' Plan Energi 2015'!AK$62+' Plan Energi 2015'!AK$71&gt;0,' Plan Energi 2015'!AK$39+' Plan Energi 2015'!AK$43+' Plan Energi 2015'!AK$52+' Plan Energi 2015'!AK$55+' Plan Energi 2015'!AK$62+' Plan Energi 2015'!AK$71,1)</f>
        <v>0.80918601530058076</v>
      </c>
      <c r="O111" s="650"/>
      <c r="P111" s="650">
        <f>' Plan Energi 2017'!AK$62/IF(' Plan Energi 2017'!AK$39+' Plan Energi 2017'!AK$43+' Plan Energi 2017'!AK$52+' Plan Energi 2017'!AK$55+' Plan Energi 2017'!AK$62+' Plan Energi 2017'!AK$71&gt;0,' Plan Energi 2017'!AK$39+' Plan Energi 2017'!AK$43+' Plan Energi 2017'!AK$52+' Plan Energi 2017'!AK$55+' Plan Energi 2017'!AK$62+' Plan Energi 2017'!AK$71,1)</f>
        <v>0.81418118308542342</v>
      </c>
      <c r="Q111" s="650"/>
      <c r="R111" s="650">
        <f>' Plan Energi 2019'!AK$62/IF(' Plan Energi 2019'!AK$39+' Plan Energi 2019'!AK$43+' Plan Energi 2019'!AK$52+' Plan Energi 2019'!AK$55+' Plan Energi 2019'!AK$62+' Plan Energi 2019'!AK$71&gt;0,' Plan Energi 2019'!AK$39+' Plan Energi 2019'!AK$43+' Plan Energi 2019'!AK$52+' Plan Energi 2019'!AK$55+' Plan Energi 2019'!AK$62+' Plan Energi 2019'!AK$71,1)</f>
        <v>0.81418118308542342</v>
      </c>
      <c r="S111" s="650"/>
      <c r="T111" s="727">
        <f>Fjernvarme!J11</f>
        <v>0.81422293248102273</v>
      </c>
      <c r="U111" s="650"/>
      <c r="V111" s="727">
        <f>Fjernvarme!L11</f>
        <v>0.81422293248102273</v>
      </c>
      <c r="W111" s="650"/>
      <c r="X111" s="604"/>
    </row>
    <row r="112" spans="1:24" x14ac:dyDescent="0.25">
      <c r="A112" s="604" t="s">
        <v>493</v>
      </c>
      <c r="B112" s="650">
        <f>' Plan Energi 2030-S'!AK$71/IF(' Plan Energi 2030-S'!AK$39+' Plan Energi 2030-S'!AK$43+' Plan Energi 2030-S'!AK$52+' Plan Energi 2030-S'!AK$55+' Plan Energi 2030-S'!AK$62+' Plan Energi 2030-S'!AK$71&gt;0,' Plan Energi 2030-S'!AK$39+' Plan Energi 2030-S'!AK$43+' Plan Energi 2030-S'!AK$52+' Plan Energi 2030-S'!AK$55+' Plan Energi 2030-S'!AK$62+' Plan Energi 2030-S'!AK$71,1)</f>
        <v>0.18577706751897721</v>
      </c>
      <c r="C112" s="650"/>
      <c r="D112" s="650">
        <f>' Plan Energi 2006'!AK$71/IF(' Plan Energi 2006'!AK$39+' Plan Energi 2006'!AK$43+' Plan Energi 2006'!AK$52+' Plan Energi 2006'!AK$55+' Plan Energi 2006'!AK$62+' Plan Energi 2006'!AK$71&gt;0,' Plan Energi 2006'!AK$39+' Plan Energi 2006'!AK$43+' Plan Energi 2006'!AK$52+' Plan Energi 2006'!AK$55+' Plan Energi 2006'!AK$62+' Plan Energi 2006'!AK$71,1)</f>
        <v>0.19798501191293399</v>
      </c>
      <c r="E112" s="650"/>
      <c r="F112" s="650">
        <f>' Plan Energi 2008'!AK$71/IF(' Plan Energi 2008'!AK$39+' Plan Energi 2008'!AK$43+' Plan Energi 2008'!AK$52+' Plan Energi 2008'!AK$55+' Plan Energi 2008'!AK$62+' Plan Energi 2008'!AK$71&gt;0,' Plan Energi 2008'!AK$39+' Plan Energi 2008'!AK$43+' Plan Energi 2008'!AK$52+' Plan Energi 2008'!AK$55+' Plan Energi 2008'!AK$62+' Plan Energi 2008'!AK$71,1)</f>
        <v>0.17031685706723426</v>
      </c>
      <c r="G112" s="650"/>
      <c r="H112" s="650">
        <f>' Plan Energi 2009'!AK$71/IF(' Plan Energi 2009'!AK$39+' Plan Energi 2009'!AK$43+' Plan Energi 2009'!AK$52+' Plan Energi 2009'!AK$55+' Plan Energi 2009'!AK$62+' Plan Energi 2009'!AK$71&gt;0,' Plan Energi 2009'!AK$39+' Plan Energi 2009'!AK$43+' Plan Energi 2009'!AK$52+' Plan Energi 2009'!AK$55+' Plan Energi 2009'!AK$62+' Plan Energi 2009'!AK$71,1)</f>
        <v>0.15970142431707213</v>
      </c>
      <c r="I112" s="650"/>
      <c r="J112" s="650">
        <f>' Plan Energi 2011'!AK$71/IF(' Plan Energi 2011'!AK$39+' Plan Energi 2011'!AK$43+' Plan Energi 2011'!AK$52+' Plan Energi 2011'!AK$55+' Plan Energi 2011'!AK$62+' Plan Energi 2011'!AK$71&gt;0,' Plan Energi 2011'!AK$39+' Plan Energi 2011'!AK$43+' Plan Energi 2011'!AK$52+' Plan Energi 2011'!AK$55+' Plan Energi 2011'!AK$62+' Plan Energi 2011'!AK$71,1)</f>
        <v>0.15571997310721003</v>
      </c>
      <c r="K112" s="650"/>
      <c r="L112" s="650">
        <f>' Plan Energi 2013'!AK$71/IF(' Plan Energi 2013'!AK$39+' Plan Energi 2013'!AK$43+' Plan Energi 2013'!AK$52+' Plan Energi 2013'!AK$55+' Plan Energi 2013'!AK$62+' Plan Energi 2013'!AK$71&gt;0,' Plan Energi 2013'!AK$39+' Plan Energi 2013'!AK$43+' Plan Energi 2013'!AK$52+' Plan Energi 2013'!AK$55+' Plan Energi 2013'!AK$62+' Plan Energi 2013'!AK$71,1)</f>
        <v>0.15047115786191656</v>
      </c>
      <c r="M112" s="650"/>
      <c r="N112" s="650">
        <f>' Plan Energi 2015'!AK$71/IF(' Plan Energi 2015'!AK$39+' Plan Energi 2015'!AK$43+' Plan Energi 2015'!AK$52+' Plan Energi 2015'!AK$55+' Plan Energi 2015'!AK$62+' Plan Energi 2015'!AK$71&gt;0,' Plan Energi 2015'!AK$39+' Plan Energi 2015'!AK$43+' Plan Energi 2015'!AK$52+' Plan Energi 2015'!AK$55+' Plan Energi 2015'!AK$62+' Plan Energi 2015'!AK$71,1)</f>
        <v>0.19081398469941932</v>
      </c>
      <c r="O112" s="650"/>
      <c r="P112" s="650">
        <f>' Plan Energi 2017'!AK$71/IF(' Plan Energi 2017'!AK$39+' Plan Energi 2017'!AK$43+' Plan Energi 2017'!AK$52+' Plan Energi 2017'!AK$55+' Plan Energi 2017'!AK$62+' Plan Energi 2017'!AK$71&gt;0,' Plan Energi 2017'!AK$39+' Plan Energi 2017'!AK$43+' Plan Energi 2017'!AK$52+' Plan Energi 2017'!AK$55+' Plan Energi 2017'!AK$62+' Plan Energi 2017'!AK$71,1)</f>
        <v>0.18581881691457661</v>
      </c>
      <c r="Q112" s="650"/>
      <c r="R112" s="650">
        <f>' Plan Energi 2019'!AK$71/IF(' Plan Energi 2019'!AK$39+' Plan Energi 2019'!AK$43+' Plan Energi 2019'!AK$52+' Plan Energi 2019'!AK$55+' Plan Energi 2019'!AK$62+' Plan Energi 2019'!AK$71&gt;0,' Plan Energi 2019'!AK$39+' Plan Energi 2019'!AK$43+' Plan Energi 2019'!AK$52+' Plan Energi 2019'!AK$55+' Plan Energi 2019'!AK$62+' Plan Energi 2019'!AK$71,1)</f>
        <v>0.18581881691457661</v>
      </c>
      <c r="S112" s="650"/>
      <c r="T112" s="727">
        <f>Fjernvarme!J12</f>
        <v>0.18577706751897727</v>
      </c>
      <c r="U112" s="650"/>
      <c r="V112" s="727">
        <f>Fjernvarme!L12</f>
        <v>0.18577706751897727</v>
      </c>
      <c r="W112" s="650"/>
      <c r="X112" s="604"/>
    </row>
    <row r="113" spans="1:24" x14ac:dyDescent="0.25">
      <c r="A113" s="629" t="s">
        <v>264</v>
      </c>
      <c r="B113" s="649">
        <f>B114+B121</f>
        <v>179.28259076640001</v>
      </c>
      <c r="C113" s="650"/>
      <c r="D113" s="649">
        <f>D114+D121</f>
        <v>213.70885434582021</v>
      </c>
      <c r="E113" s="650"/>
      <c r="F113" s="649">
        <f>F114+F121</f>
        <v>227.10767315348289</v>
      </c>
      <c r="G113" s="650">
        <f t="shared" ref="G113:Q121" si="49">(F113-D113)/IF(D113&gt;0,D113,1)/(F$1-D$1)</f>
        <v>3.1348300585573599E-2</v>
      </c>
      <c r="H113" s="649">
        <f>H114+H121</f>
        <v>237.52180196904004</v>
      </c>
      <c r="I113" s="650">
        <f t="shared" si="49"/>
        <v>4.5855468778102967E-2</v>
      </c>
      <c r="J113" s="649">
        <f>J114+J121</f>
        <v>220.15263681012738</v>
      </c>
      <c r="K113" s="650">
        <f t="shared" si="49"/>
        <v>-3.656330706260106E-2</v>
      </c>
      <c r="L113" s="649">
        <f>L114+L121</f>
        <v>205.48744721113204</v>
      </c>
      <c r="M113" s="650">
        <f t="shared" si="49"/>
        <v>-3.3306867933731506E-2</v>
      </c>
      <c r="N113" s="649">
        <f>N114+N121</f>
        <v>183.33028133211602</v>
      </c>
      <c r="O113" s="650">
        <f t="shared" si="49"/>
        <v>-5.3913672537501067E-2</v>
      </c>
      <c r="P113" s="649">
        <f>P114+P121</f>
        <v>179.25754308360001</v>
      </c>
      <c r="Q113" s="650">
        <f t="shared" si="49"/>
        <v>-1.1107652862698511E-2</v>
      </c>
      <c r="R113" s="649">
        <f>R114+R121</f>
        <v>179.25754308360001</v>
      </c>
      <c r="S113" s="650">
        <f t="shared" ref="S113:S121" si="50">(R113-P113)/IF(P113&gt;0,P113,1)/IF(R$1-P$1&gt;0,R$1-P$1,1)</f>
        <v>0</v>
      </c>
      <c r="T113" s="649">
        <f>T114+T121</f>
        <v>179.25754308360001</v>
      </c>
      <c r="U113" s="650">
        <f>(T113-Nøgletal!P113)/IF(Nøgletal!P113&gt;0,Nøgletal!P113,1)/(T$1-Nøgletal!P$1)</f>
        <v>0</v>
      </c>
      <c r="V113" s="649">
        <f>V114+V121</f>
        <v>205.63887930912927</v>
      </c>
      <c r="W113" s="650">
        <f>(V113-Nøgletal!P113)/IF(T113&gt;0,T113,1)/(V$1-Nøgletal!P$1)</f>
        <v>1.1320770779857927E-2</v>
      </c>
      <c r="X113" s="604"/>
    </row>
    <row r="114" spans="1:24" x14ac:dyDescent="0.25">
      <c r="A114" s="631" t="s">
        <v>485</v>
      </c>
      <c r="B114" s="649">
        <f>SUM(B115:B117)</f>
        <v>67.8</v>
      </c>
      <c r="C114" s="650"/>
      <c r="D114" s="649">
        <f>SUM(D115:D117)</f>
        <v>100.4547879576</v>
      </c>
      <c r="E114" s="650"/>
      <c r="F114" s="649">
        <f>SUM(F115:F117)</f>
        <v>98.586480063600007</v>
      </c>
      <c r="G114" s="650">
        <f t="shared" si="49"/>
        <v>-9.2992476117145038E-3</v>
      </c>
      <c r="H114" s="649">
        <f>SUM(H115:H117)</f>
        <v>99.888022220400018</v>
      </c>
      <c r="I114" s="650">
        <f t="shared" si="49"/>
        <v>1.3202034964229996E-2</v>
      </c>
      <c r="J114" s="649">
        <f>SUM(J115:J117)</f>
        <v>95.373600607607372</v>
      </c>
      <c r="K114" s="650">
        <f t="shared" si="49"/>
        <v>-2.2597412144329504E-2</v>
      </c>
      <c r="L114" s="649">
        <f>SUM(L115:L117)</f>
        <v>93.13596796409999</v>
      </c>
      <c r="M114" s="650">
        <f t="shared" si="49"/>
        <v>-1.1730880606645041E-2</v>
      </c>
      <c r="N114" s="649">
        <f>SUM(N115:N117)</f>
        <v>74.7</v>
      </c>
      <c r="O114" s="650">
        <f t="shared" si="49"/>
        <v>-9.8973406123863336E-2</v>
      </c>
      <c r="P114" s="649">
        <f>SUM(P115:P117)</f>
        <v>67.8</v>
      </c>
      <c r="Q114" s="650">
        <f t="shared" si="49"/>
        <v>-4.6184738955823326E-2</v>
      </c>
      <c r="R114" s="649">
        <f>SUM(R115:R117)</f>
        <v>67.8</v>
      </c>
      <c r="S114" s="650">
        <f t="shared" si="50"/>
        <v>0</v>
      </c>
      <c r="T114" s="649">
        <f>'Bolig, Service, Handel, Byg'!L63</f>
        <v>67.8</v>
      </c>
      <c r="U114" s="724">
        <f>'Bolig, Service, Handel, Byg'!M63</f>
        <v>0</v>
      </c>
      <c r="V114" s="649">
        <f>'Bolig, Service, Handel, Byg'!N63</f>
        <v>86.675225618337279</v>
      </c>
      <c r="W114" s="725">
        <f>'Bolig, Service, Handel, Byg'!O63</f>
        <v>1.9072358978824866E-2</v>
      </c>
      <c r="X114" s="604"/>
    </row>
    <row r="115" spans="1:24" ht="15" customHeight="1" x14ac:dyDescent="0.25">
      <c r="A115" s="604" t="s">
        <v>305</v>
      </c>
      <c r="B115" s="649">
        <f>' Plan Energi 2030-S'!AL11</f>
        <v>9</v>
      </c>
      <c r="C115" s="650"/>
      <c r="D115" s="649">
        <f>' Plan Energi 2006'!AL11</f>
        <v>13.294704599999999</v>
      </c>
      <c r="E115" s="650"/>
      <c r="F115" s="649">
        <f>' Plan Energi 2008'!AL11</f>
        <v>13.047443100000001</v>
      </c>
      <c r="G115" s="650">
        <f t="shared" si="49"/>
        <v>-9.2992476117144673E-3</v>
      </c>
      <c r="H115" s="649">
        <f>' Plan Energi 2009'!AL11</f>
        <v>13.219695900000001</v>
      </c>
      <c r="I115" s="650">
        <f t="shared" si="49"/>
        <v>1.3202034964229946E-2</v>
      </c>
      <c r="J115" s="649">
        <f>' Plan Energi 2011'!AL11</f>
        <v>12.622234066649996</v>
      </c>
      <c r="K115" s="650">
        <f t="shared" si="49"/>
        <v>-2.2597412144329469E-2</v>
      </c>
      <c r="L115" s="649">
        <f>' Plan Energi 2013'!AL11</f>
        <v>12.326094225</v>
      </c>
      <c r="M115" s="650">
        <f t="shared" si="49"/>
        <v>-1.173088060664498E-2</v>
      </c>
      <c r="N115" s="649">
        <f>' Plan Energi 2015'!AL11</f>
        <v>9.9</v>
      </c>
      <c r="O115" s="650">
        <f t="shared" si="49"/>
        <v>-9.8412935221578665E-2</v>
      </c>
      <c r="P115" s="649">
        <f>' Plan Energi 2017'!AL11</f>
        <v>9</v>
      </c>
      <c r="Q115" s="650">
        <f t="shared" si="49"/>
        <v>-4.545454545454547E-2</v>
      </c>
      <c r="R115" s="649">
        <f>' Plan Energi 2019'!AL11</f>
        <v>9</v>
      </c>
      <c r="S115" s="650">
        <f t="shared" si="50"/>
        <v>0</v>
      </c>
      <c r="T115" s="649">
        <f>'Bolig, Service, Handel, Byg'!L64</f>
        <v>9</v>
      </c>
      <c r="U115" s="724">
        <f>'Bolig, Service, Handel, Byg'!M64</f>
        <v>0</v>
      </c>
      <c r="V115" s="649">
        <f>'Bolig, Service, Handel, Byg'!N64</f>
        <v>11.505560922788133</v>
      </c>
      <c r="W115" s="725">
        <f>'Bolig, Service, Handel, Byg'!O64</f>
        <v>1.9072358978824866E-2</v>
      </c>
      <c r="X115" s="604"/>
    </row>
    <row r="116" spans="1:24" ht="15" customHeight="1" x14ac:dyDescent="0.25">
      <c r="A116" s="604" t="s">
        <v>309</v>
      </c>
      <c r="B116" s="649">
        <f>' Plan Energi 2030-S'!AL12</f>
        <v>30.1</v>
      </c>
      <c r="C116" s="650"/>
      <c r="D116" s="649">
        <f>' Plan Energi 2006'!AL12</f>
        <v>44.670207456</v>
      </c>
      <c r="E116" s="650"/>
      <c r="F116" s="649">
        <f>' Plan Energi 2008'!AL12</f>
        <v>43.839408816000009</v>
      </c>
      <c r="G116" s="650">
        <f t="shared" si="49"/>
        <v>-9.2992476117144101E-3</v>
      </c>
      <c r="H116" s="649">
        <f>' Plan Energi 2009'!AL12</f>
        <v>44.418178224000002</v>
      </c>
      <c r="I116" s="650">
        <f t="shared" si="49"/>
        <v>1.320203496422971E-2</v>
      </c>
      <c r="J116" s="649">
        <f>' Plan Energi 2011'!AL12</f>
        <v>42.410706463943988</v>
      </c>
      <c r="K116" s="650">
        <f t="shared" si="49"/>
        <v>-2.2597412144329431E-2</v>
      </c>
      <c r="L116" s="649">
        <f>' Plan Energi 2013'!AL12</f>
        <v>41.415676596000004</v>
      </c>
      <c r="M116" s="650">
        <f t="shared" si="49"/>
        <v>-1.1730880606644945E-2</v>
      </c>
      <c r="N116" s="649">
        <f>' Plan Energi 2015'!AL12</f>
        <v>33.200000000000003</v>
      </c>
      <c r="O116" s="650">
        <f t="shared" si="49"/>
        <v>-9.918558950686665E-2</v>
      </c>
      <c r="P116" s="649">
        <f>' Plan Energi 2017'!AL12</f>
        <v>30.1</v>
      </c>
      <c r="Q116" s="650">
        <f t="shared" si="49"/>
        <v>-4.6686746987951826E-2</v>
      </c>
      <c r="R116" s="649">
        <f>' Plan Energi 2019'!AL12</f>
        <v>30.1</v>
      </c>
      <c r="S116" s="650">
        <f t="shared" si="50"/>
        <v>0</v>
      </c>
      <c r="T116" s="649">
        <f>'Bolig, Service, Handel, Byg'!L65</f>
        <v>30.1</v>
      </c>
      <c r="U116" s="724">
        <f>'Bolig, Service, Handel, Byg'!M65</f>
        <v>0</v>
      </c>
      <c r="V116" s="649">
        <f>'Bolig, Service, Handel, Byg'!N65</f>
        <v>38.479709308435872</v>
      </c>
      <c r="W116" s="725">
        <f>'Bolig, Service, Handel, Byg'!O65</f>
        <v>1.9072358978824866E-2</v>
      </c>
      <c r="X116" s="604"/>
    </row>
    <row r="117" spans="1:24" ht="15" customHeight="1" x14ac:dyDescent="0.25">
      <c r="A117" s="604" t="s">
        <v>290</v>
      </c>
      <c r="B117" s="649">
        <f>' Plan Energi 2030-S'!AL13</f>
        <v>28.7</v>
      </c>
      <c r="C117" s="650"/>
      <c r="D117" s="649">
        <f>' Plan Energi 2006'!AL13</f>
        <v>42.489875901600001</v>
      </c>
      <c r="E117" s="650"/>
      <c r="F117" s="649">
        <f>' Plan Energi 2008'!AL13</f>
        <v>41.699628147599995</v>
      </c>
      <c r="G117" s="650">
        <f t="shared" si="49"/>
        <v>-9.2992476117145905E-3</v>
      </c>
      <c r="H117" s="649">
        <f>' Plan Energi 2009'!AL13</f>
        <v>42.250148096400004</v>
      </c>
      <c r="I117" s="650">
        <f t="shared" si="49"/>
        <v>1.32020349642301E-2</v>
      </c>
      <c r="J117" s="649">
        <f>' Plan Energi 2011'!AL13</f>
        <v>40.340660077013389</v>
      </c>
      <c r="K117" s="650">
        <f t="shared" si="49"/>
        <v>-2.2597412144329452E-2</v>
      </c>
      <c r="L117" s="649">
        <f>' Plan Energi 2013'!AL13</f>
        <v>39.394197143099994</v>
      </c>
      <c r="M117" s="650">
        <f t="shared" si="49"/>
        <v>-1.1730880606645072E-2</v>
      </c>
      <c r="N117" s="649">
        <f>' Plan Energi 2015'!AL13</f>
        <v>31.6</v>
      </c>
      <c r="O117" s="650">
        <f t="shared" si="49"/>
        <v>-9.8925701097390795E-2</v>
      </c>
      <c r="P117" s="649">
        <f>' Plan Energi 2017'!AL13</f>
        <v>28.7</v>
      </c>
      <c r="Q117" s="650">
        <f t="shared" si="49"/>
        <v>-4.5886075949367118E-2</v>
      </c>
      <c r="R117" s="649">
        <f>' Plan Energi 2019'!AL13</f>
        <v>28.7</v>
      </c>
      <c r="S117" s="650">
        <f t="shared" si="50"/>
        <v>0</v>
      </c>
      <c r="T117" s="649">
        <f>'Bolig, Service, Handel, Byg'!L66</f>
        <v>28.7</v>
      </c>
      <c r="U117" s="724">
        <f>'Bolig, Service, Handel, Byg'!M66</f>
        <v>0</v>
      </c>
      <c r="V117" s="649">
        <f>'Bolig, Service, Handel, Byg'!N66</f>
        <v>36.689955387113272</v>
      </c>
      <c r="W117" s="725">
        <f>'Bolig, Service, Handel, Byg'!O66</f>
        <v>1.9072358978824866E-2</v>
      </c>
      <c r="X117" s="604"/>
    </row>
    <row r="118" spans="1:24" x14ac:dyDescent="0.25">
      <c r="A118" s="631" t="s">
        <v>345</v>
      </c>
      <c r="B118" s="649">
        <f>' Plan Energi 2030-S'!AL16</f>
        <v>0</v>
      </c>
      <c r="C118" s="650"/>
      <c r="D118" s="649">
        <f>' Plan Energi 2006'!AL16</f>
        <v>0</v>
      </c>
      <c r="E118" s="650"/>
      <c r="F118" s="649">
        <f>' Plan Energi 2008'!AL16</f>
        <v>0</v>
      </c>
      <c r="G118" s="650">
        <f t="shared" si="49"/>
        <v>0</v>
      </c>
      <c r="H118" s="649">
        <f>' Plan Energi 2009'!AL16</f>
        <v>0</v>
      </c>
      <c r="I118" s="650">
        <f t="shared" si="49"/>
        <v>0</v>
      </c>
      <c r="J118" s="649">
        <f>' Plan Energi 2011'!AL16</f>
        <v>0</v>
      </c>
      <c r="K118" s="650">
        <f t="shared" si="49"/>
        <v>0</v>
      </c>
      <c r="L118" s="649">
        <f>' Plan Energi 2013'!AL16</f>
        <v>0</v>
      </c>
      <c r="M118" s="650">
        <f t="shared" si="49"/>
        <v>0</v>
      </c>
      <c r="N118" s="649">
        <f>' Plan Energi 2015'!AL16</f>
        <v>0</v>
      </c>
      <c r="O118" s="650">
        <f t="shared" si="49"/>
        <v>0</v>
      </c>
      <c r="P118" s="649">
        <f>' Plan Energi 2017'!AL16</f>
        <v>0</v>
      </c>
      <c r="Q118" s="650">
        <f t="shared" si="49"/>
        <v>0</v>
      </c>
      <c r="R118" s="649">
        <f>' Plan Energi 2019'!AL16</f>
        <v>0</v>
      </c>
      <c r="S118" s="650">
        <f t="shared" si="50"/>
        <v>0</v>
      </c>
      <c r="T118" s="649">
        <f>'Bolig, Service, Handel, Byg'!L67</f>
        <v>0</v>
      </c>
      <c r="U118" s="724">
        <f>'Bolig, Service, Handel, Byg'!M67</f>
        <v>0</v>
      </c>
      <c r="V118" s="649">
        <f>'Bolig, Service, Handel, Byg'!N67</f>
        <v>0</v>
      </c>
      <c r="W118" s="725">
        <f>'Bolig, Service, Handel, Byg'!O67</f>
        <v>-2.4418179377386218E-2</v>
      </c>
      <c r="X118" s="604"/>
    </row>
    <row r="119" spans="1:24" x14ac:dyDescent="0.25">
      <c r="A119" s="631" t="s">
        <v>526</v>
      </c>
      <c r="B119" s="649">
        <f>' Plan Energi 2030-S'!AL$14+SUM(' Plan Energi 2030-S'!AL$17:AL$22)+' Plan Energi 2030-S'!AL$10+' Plan Energi 2030-S'!AL$9</f>
        <v>0</v>
      </c>
      <c r="C119" s="650"/>
      <c r="D119" s="649">
        <f>' Plan Energi 2006'!AL$14+SUM(' Plan Energi 2006'!AL$17:AL$22)+' Plan Energi 2006'!AL$10+' Plan Energi 2006'!AL$9</f>
        <v>0</v>
      </c>
      <c r="E119" s="650"/>
      <c r="F119" s="649">
        <f>' Plan Energi 2008'!AL$14+SUM(' Plan Energi 2008'!AL$17:AL$22)+' Plan Energi 2008'!AL$10+' Plan Energi 2008'!AL$9</f>
        <v>0</v>
      </c>
      <c r="G119" s="650">
        <f t="shared" si="49"/>
        <v>0</v>
      </c>
      <c r="H119" s="649">
        <f>' Plan Energi 2009'!AL$14+SUM(' Plan Energi 2009'!AL$17:AL$22)+' Plan Energi 2009'!AL$10+' Plan Energi 2009'!AL$9</f>
        <v>0</v>
      </c>
      <c r="I119" s="650">
        <f t="shared" si="49"/>
        <v>0</v>
      </c>
      <c r="J119" s="649">
        <f>' Plan Energi 2011'!AL$14+SUM(' Plan Energi 2011'!AL$17:AL$22)+' Plan Energi 2011'!AL$10+' Plan Energi 2011'!AL$9</f>
        <v>0</v>
      </c>
      <c r="K119" s="650">
        <f t="shared" si="49"/>
        <v>0</v>
      </c>
      <c r="L119" s="649">
        <f>' Plan Energi 2013'!AL$14+SUM(' Plan Energi 2013'!AL$17:AL$22)+' Plan Energi 2013'!AL$10+' Plan Energi 2013'!AL$9</f>
        <v>0</v>
      </c>
      <c r="M119" s="650">
        <f t="shared" si="49"/>
        <v>0</v>
      </c>
      <c r="N119" s="649">
        <f>' Plan Energi 2015'!AL$14+SUM(' Plan Energi 2015'!AL$17:AL$22)+' Plan Energi 2015'!AL$10+' Plan Energi 2015'!AL$9</f>
        <v>0</v>
      </c>
      <c r="O119" s="650">
        <f t="shared" si="49"/>
        <v>0</v>
      </c>
      <c r="P119" s="649">
        <f>' Plan Energi 2017'!AL$14+SUM(' Plan Energi 2017'!AL$17:AL$22)+' Plan Energi 2017'!AL$10+' Plan Energi 2017'!AL$9</f>
        <v>0</v>
      </c>
      <c r="Q119" s="650">
        <f t="shared" si="49"/>
        <v>0</v>
      </c>
      <c r="R119" s="649">
        <f>' Plan Energi 2019'!AL$14+SUM(' Plan Energi 2019'!AL$17:AL$22)+' Plan Energi 2019'!AL$10+' Plan Energi 2019'!AL$9</f>
        <v>0</v>
      </c>
      <c r="S119" s="650">
        <f t="shared" si="50"/>
        <v>0</v>
      </c>
      <c r="T119" s="649">
        <f>'Bolig, Service, Handel, Byg'!L68</f>
        <v>0</v>
      </c>
      <c r="U119" s="724">
        <f>'Bolig, Service, Handel, Byg'!M68</f>
        <v>0</v>
      </c>
      <c r="V119" s="649">
        <f>'Bolig, Service, Handel, Byg'!N68</f>
        <v>0</v>
      </c>
      <c r="W119" s="725">
        <f>'Bolig, Service, Handel, Byg'!O68</f>
        <v>2.8566976600855387E-2</v>
      </c>
      <c r="X119" s="604"/>
    </row>
    <row r="120" spans="1:24" x14ac:dyDescent="0.25">
      <c r="A120" s="631" t="s">
        <v>28</v>
      </c>
      <c r="B120" s="649">
        <f>' Plan Energi 2030-S'!AL$39+' Plan Energi 2030-S'!AL$43+' Plan Energi 2030-S'!$AL$52+' Plan Energi 2030-S'!AL$55+' Plan Energi 2030-S'!AL$62+' Plan Energi 2030-S'!AL$71</f>
        <v>111.48259076640002</v>
      </c>
      <c r="C120" s="650"/>
      <c r="D120" s="649">
        <f>' Plan Energi 2006'!AL$39+' Plan Energi 2006'!AL$43+' Plan Energi 2006'!$AL$52+' Plan Energi 2006'!AL$55+' Plan Energi 2006'!AL$62+' Plan Energi 2006'!AL$71</f>
        <v>113.25406638822022</v>
      </c>
      <c r="E120" s="650"/>
      <c r="F120" s="649">
        <f>' Plan Energi 2008'!AL$39+' Plan Energi 2008'!AL$43+' Plan Energi 2008'!$AL$52+' Plan Energi 2008'!AL$55+' Plan Energi 2008'!AL$62+' Plan Energi 2008'!AL$71</f>
        <v>128.52119308988287</v>
      </c>
      <c r="G120" s="650">
        <f t="shared" si="49"/>
        <v>6.7402112738843833E-2</v>
      </c>
      <c r="H120" s="649">
        <f>' Plan Energi 2009'!AL$39+' Plan Energi 2009'!AL$43+' Plan Energi 2009'!$AL$52+' Plan Energi 2009'!AL$55+' Plan Energi 2009'!AL$62+' Plan Energi 2009'!AL$71</f>
        <v>137.63377974864002</v>
      </c>
      <c r="I120" s="650">
        <f t="shared" si="49"/>
        <v>7.0903377409390789E-2</v>
      </c>
      <c r="J120" s="649">
        <f>' Plan Energi 2011'!AL$39+' Plan Energi 2011'!AL$43+' Plan Energi 2011'!$AL$52+' Plan Energi 2011'!AL$55+' Plan Energi 2011'!AL$62+' Plan Energi 2011'!AL$71</f>
        <v>124.77903620251999</v>
      </c>
      <c r="K120" s="650">
        <f t="shared" si="49"/>
        <v>-4.6699086407408837E-2</v>
      </c>
      <c r="L120" s="649">
        <f>' Plan Energi 2013'!AL$39+' Plan Energi 2013'!AL$43+' Plan Energi 2013'!$AL$52+' Plan Energi 2013'!AL$55+' Plan Energi 2013'!AL$62+' Plan Energi 2013'!AL$71</f>
        <v>112.35147924703205</v>
      </c>
      <c r="M120" s="650">
        <f t="shared" si="49"/>
        <v>-4.9798256717248794E-2</v>
      </c>
      <c r="N120" s="649">
        <f>' Plan Energi 2015'!AL$39+' Plan Energi 2015'!AL$43+' Plan Energi 2015'!$AL$52+' Plan Energi 2015'!AL$55+' Plan Energi 2015'!AL$62+' Plan Energi 2015'!AL$71</f>
        <v>108.63028133211601</v>
      </c>
      <c r="O120" s="650">
        <f t="shared" si="49"/>
        <v>-1.6560520341410343E-2</v>
      </c>
      <c r="P120" s="649">
        <f>' Plan Energi 2017'!AL$39+' Plan Energi 2017'!AL$43+' Plan Energi 2017'!$AL$52+' Plan Energi 2017'!AL$55+' Plan Energi 2017'!AL$62+' Plan Energi 2017'!AL$71</f>
        <v>111.45754308360003</v>
      </c>
      <c r="Q120" s="650">
        <f t="shared" si="49"/>
        <v>1.3013230366403139E-2</v>
      </c>
      <c r="R120" s="649">
        <f>' Plan Energi 2019'!AL$39+' Plan Energi 2019'!AL$43+' Plan Energi 2019'!$AL$52+' Plan Energi 2019'!AL$55+' Plan Energi 2019'!AL$62+' Plan Energi 2019'!AL$71</f>
        <v>111.45754308360003</v>
      </c>
      <c r="S120" s="650">
        <f t="shared" si="50"/>
        <v>0</v>
      </c>
      <c r="T120" s="649">
        <f>Fjernvarmeprognose!R12</f>
        <v>111.45754308360003</v>
      </c>
      <c r="U120" s="724">
        <f>Fjernvarmeprognose!S12</f>
        <v>0</v>
      </c>
      <c r="V120" s="649">
        <f>Fjernvarmeprognose!T12</f>
        <v>118.96365369079199</v>
      </c>
      <c r="W120" s="725">
        <f>Fjernvarmeprognose!U12</f>
        <v>5.025994025584124E-3</v>
      </c>
      <c r="X120" s="604"/>
    </row>
    <row r="121" spans="1:24" x14ac:dyDescent="0.25">
      <c r="A121" s="631" t="s">
        <v>486</v>
      </c>
      <c r="B121" s="649">
        <f>B119+B120</f>
        <v>111.48259076640002</v>
      </c>
      <c r="C121" s="650"/>
      <c r="D121" s="649">
        <f>D119+D120</f>
        <v>113.25406638822022</v>
      </c>
      <c r="E121" s="650"/>
      <c r="F121" s="649">
        <f>F119+F120</f>
        <v>128.52119308988287</v>
      </c>
      <c r="G121" s="650">
        <f t="shared" si="49"/>
        <v>6.7402112738843833E-2</v>
      </c>
      <c r="H121" s="649">
        <f>H119+H120</f>
        <v>137.63377974864002</v>
      </c>
      <c r="I121" s="650">
        <f t="shared" si="49"/>
        <v>7.0903377409390789E-2</v>
      </c>
      <c r="J121" s="649">
        <f>J119+J120</f>
        <v>124.77903620251999</v>
      </c>
      <c r="K121" s="650">
        <f t="shared" si="49"/>
        <v>-4.6699086407408837E-2</v>
      </c>
      <c r="L121" s="649">
        <f>L119+L120</f>
        <v>112.35147924703205</v>
      </c>
      <c r="M121" s="650">
        <f t="shared" si="49"/>
        <v>-4.9798256717248794E-2</v>
      </c>
      <c r="N121" s="649">
        <f>N119+N120</f>
        <v>108.63028133211601</v>
      </c>
      <c r="O121" s="650">
        <f t="shared" si="49"/>
        <v>-1.6560520341410343E-2</v>
      </c>
      <c r="P121" s="649">
        <f>P119+P120</f>
        <v>111.45754308360003</v>
      </c>
      <c r="Q121" s="650">
        <f t="shared" si="49"/>
        <v>1.3013230366403139E-2</v>
      </c>
      <c r="R121" s="649">
        <f>R119+R120</f>
        <v>111.45754308360003</v>
      </c>
      <c r="S121" s="650">
        <f t="shared" si="50"/>
        <v>0</v>
      </c>
      <c r="T121" s="649">
        <f>T119+T120</f>
        <v>111.45754308360003</v>
      </c>
      <c r="U121" s="650">
        <f>(T121-Nøgletal!P121)/IF(Nøgletal!P121&gt;0,Nøgletal!P121,1)/(T$1-Nøgletal!P$1)</f>
        <v>0</v>
      </c>
      <c r="V121" s="649">
        <f>V119+V120</f>
        <v>118.96365369079199</v>
      </c>
      <c r="W121" s="650">
        <f>(V121-T121)/IF(T121&gt;0,T121,1)/(V$1-T$1)</f>
        <v>1.3469004249558797E-2</v>
      </c>
      <c r="X121" s="604"/>
    </row>
    <row r="122" spans="1:24" x14ac:dyDescent="0.25">
      <c r="A122" s="633" t="s">
        <v>487</v>
      </c>
      <c r="B122" s="650">
        <f>B119/IF(B121&gt;0,B121,1)</f>
        <v>0</v>
      </c>
      <c r="C122" s="650"/>
      <c r="D122" s="650">
        <f>D119/IF(D121&gt;0,D121,1)</f>
        <v>0</v>
      </c>
      <c r="E122" s="650"/>
      <c r="F122" s="650">
        <f>F119/IF(F121&gt;0,F121,1)</f>
        <v>0</v>
      </c>
      <c r="G122" s="650"/>
      <c r="H122" s="650">
        <f>H119/IF(H121&gt;0,H121,1)</f>
        <v>0</v>
      </c>
      <c r="I122" s="650"/>
      <c r="J122" s="650">
        <f>J119/IF(J121&gt;0,J121,1)</f>
        <v>0</v>
      </c>
      <c r="K122" s="650"/>
      <c r="L122" s="650">
        <f>L119/IF(L121&gt;0,L121,1)</f>
        <v>0</v>
      </c>
      <c r="M122" s="650"/>
      <c r="N122" s="650">
        <f>N119/IF(N121&gt;0,N121,1)</f>
        <v>0</v>
      </c>
      <c r="O122" s="650"/>
      <c r="P122" s="650">
        <f>P119/IF(P121&gt;0,P121,1)</f>
        <v>0</v>
      </c>
      <c r="Q122" s="650"/>
      <c r="R122" s="650">
        <f>R119/IF(R121&gt;0,R121,1)</f>
        <v>0</v>
      </c>
      <c r="S122" s="650"/>
      <c r="T122" s="650">
        <f>T119/IF(T121&gt;0,T121,1)</f>
        <v>0</v>
      </c>
      <c r="U122" s="650"/>
      <c r="V122" s="650">
        <f>V119/IF(V121&gt;0,V121,1)</f>
        <v>0</v>
      </c>
      <c r="W122" s="650"/>
      <c r="X122" s="604"/>
    </row>
    <row r="123" spans="1:24" x14ac:dyDescent="0.25">
      <c r="A123" s="633" t="s">
        <v>488</v>
      </c>
      <c r="B123" s="650">
        <f>B120/IF(B121&gt;0,B121,1)</f>
        <v>1</v>
      </c>
      <c r="C123" s="650"/>
      <c r="D123" s="650">
        <f>D120/IF(D121&gt;0,D121,1)</f>
        <v>1</v>
      </c>
      <c r="E123" s="650"/>
      <c r="F123" s="650">
        <f>F120/IF(F121&gt;0,F121,1)</f>
        <v>1</v>
      </c>
      <c r="G123" s="650"/>
      <c r="H123" s="650">
        <f>H120/IF(H121&gt;0,H121,1)</f>
        <v>1</v>
      </c>
      <c r="I123" s="650"/>
      <c r="J123" s="650">
        <f>J120/IF(J121&gt;0,J121,1)</f>
        <v>1</v>
      </c>
      <c r="K123" s="650"/>
      <c r="L123" s="650">
        <f>L120/IF(L121&gt;0,L121,1)</f>
        <v>1</v>
      </c>
      <c r="M123" s="650"/>
      <c r="N123" s="650">
        <f>N120/IF(N121&gt;0,N121,1)</f>
        <v>1</v>
      </c>
      <c r="O123" s="650"/>
      <c r="P123" s="650">
        <f>P120/IF(P121&gt;0,P121,1)</f>
        <v>1</v>
      </c>
      <c r="Q123" s="650"/>
      <c r="R123" s="650">
        <f>R120/IF(R121&gt;0,R121,1)</f>
        <v>1</v>
      </c>
      <c r="S123" s="650"/>
      <c r="T123" s="650">
        <f>T120/IF(T121&gt;0,T121,1)</f>
        <v>1</v>
      </c>
      <c r="U123" s="650"/>
      <c r="V123" s="650">
        <f>V120/IF(V121&gt;0,V121,1)</f>
        <v>1</v>
      </c>
      <c r="W123" s="650"/>
      <c r="X123" s="604"/>
    </row>
    <row r="124" spans="1:24" ht="15" customHeight="1" x14ac:dyDescent="0.25">
      <c r="A124" s="633" t="s">
        <v>490</v>
      </c>
      <c r="B124" s="650"/>
      <c r="C124" s="650"/>
      <c r="D124" s="650"/>
      <c r="E124" s="650"/>
      <c r="F124" s="650"/>
      <c r="G124" s="650"/>
      <c r="H124" s="650"/>
      <c r="I124" s="650"/>
      <c r="J124" s="650"/>
      <c r="K124" s="650"/>
      <c r="L124" s="650"/>
      <c r="M124" s="650"/>
      <c r="N124" s="650"/>
      <c r="O124" s="650"/>
      <c r="P124" s="650"/>
      <c r="Q124" s="650"/>
      <c r="R124" s="650"/>
      <c r="S124" s="650"/>
      <c r="T124" s="650"/>
      <c r="U124" s="650"/>
      <c r="V124" s="650"/>
      <c r="W124" s="650"/>
      <c r="X124" s="604"/>
    </row>
    <row r="125" spans="1:24" ht="15" customHeight="1" x14ac:dyDescent="0.25">
      <c r="A125" s="604" t="s">
        <v>344</v>
      </c>
      <c r="B125" s="650">
        <f>' Plan Energi 2030-S'!AL14/IF('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25" s="650"/>
      <c r="D125" s="650">
        <f>' Plan Energi 2006'!AL14/IF('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25" s="650"/>
      <c r="F125" s="650">
        <f>' Plan Energi 2008'!AL14/IF('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25" s="650"/>
      <c r="H125" s="650">
        <f>' Plan Energi 2009'!AL14/IF('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25" s="650"/>
      <c r="J125" s="650">
        <f>' Plan Energi 2011'!AL14/IF('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25" s="650"/>
      <c r="L125" s="650">
        <f>' Plan Energi 2013'!AL14/IF('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25" s="650"/>
      <c r="N125" s="650">
        <f>' Plan Energi 2015'!AL14/IF('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25" s="650"/>
      <c r="P125" s="650">
        <f>' Plan Energi 2017'!AL14/IF('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25" s="650"/>
      <c r="R125" s="650">
        <f>' Plan Energi 2019'!AL14/IF('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25" s="650"/>
      <c r="T125" s="726">
        <f>'Bolig, Service, Handel, Byg'!L71</f>
        <v>0</v>
      </c>
      <c r="U125" s="650"/>
      <c r="V125" s="726">
        <f>'Bolig, Service, Handel, Byg'!N71</f>
        <v>0</v>
      </c>
      <c r="W125" s="650"/>
      <c r="X125" s="604"/>
    </row>
    <row r="126" spans="1:24" ht="15" customHeight="1" x14ac:dyDescent="0.25">
      <c r="A126" s="604" t="s">
        <v>346</v>
      </c>
      <c r="B126" s="650">
        <f>' Plan Energi 2030-S'!AL17/IF('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26" s="650"/>
      <c r="D126" s="650">
        <f>' Plan Energi 2006'!AL17/IF('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26" s="650"/>
      <c r="F126" s="650">
        <f>' Plan Energi 2008'!AL17/IF('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26" s="650"/>
      <c r="H126" s="650">
        <f>' Plan Energi 2009'!AL17/IF('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26" s="650"/>
      <c r="J126" s="650">
        <f>' Plan Energi 2011'!AL17/IF('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26" s="650"/>
      <c r="L126" s="650">
        <f>' Plan Energi 2013'!AL17/IF('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26" s="650"/>
      <c r="N126" s="650">
        <f>' Plan Energi 2015'!AL17/IF('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26" s="650"/>
      <c r="P126" s="650">
        <f>' Plan Energi 2017'!AL17/IF('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26" s="650"/>
      <c r="R126" s="650">
        <f>' Plan Energi 2019'!AL17/IF('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26" s="650"/>
      <c r="T126" s="726">
        <f>'Bolig, Service, Handel, Byg'!L72</f>
        <v>0</v>
      </c>
      <c r="U126" s="650"/>
      <c r="V126" s="726">
        <f>'Bolig, Service, Handel, Byg'!N72</f>
        <v>7.35551663747811E-2</v>
      </c>
      <c r="W126" s="650"/>
      <c r="X126" s="604"/>
    </row>
    <row r="127" spans="1:24" ht="15" customHeight="1" x14ac:dyDescent="0.25">
      <c r="A127" s="604" t="s">
        <v>347</v>
      </c>
      <c r="B127" s="650">
        <f>' Plan Energi 2030-S'!AL18/IF('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27" s="650"/>
      <c r="D127" s="650">
        <f>' Plan Energi 2006'!AL18/IF('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27" s="650"/>
      <c r="F127" s="650">
        <f>' Plan Energi 2008'!AL18/IF('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27" s="650"/>
      <c r="H127" s="650">
        <f>' Plan Energi 2009'!AL18/IF('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27" s="650"/>
      <c r="J127" s="650">
        <f>' Plan Energi 2011'!AL18/IF('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27" s="650"/>
      <c r="L127" s="650">
        <f>' Plan Energi 2013'!AL18/IF('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27" s="650"/>
      <c r="N127" s="650">
        <f>' Plan Energi 2015'!AL18/IF('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27" s="650"/>
      <c r="P127" s="650">
        <f>' Plan Energi 2017'!AL18/IF('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27" s="650"/>
      <c r="R127" s="650">
        <f>' Plan Energi 2019'!AL18/IF('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27" s="650"/>
      <c r="T127" s="726">
        <f>'Bolig, Service, Handel, Byg'!L73</f>
        <v>0</v>
      </c>
      <c r="U127" s="650"/>
      <c r="V127" s="726">
        <f>'Bolig, Service, Handel, Byg'!N73</f>
        <v>0.41243432574430827</v>
      </c>
      <c r="W127" s="650"/>
      <c r="X127" s="604"/>
    </row>
    <row r="128" spans="1:24" ht="15" customHeight="1" x14ac:dyDescent="0.25">
      <c r="A128" s="604" t="s">
        <v>348</v>
      </c>
      <c r="B128" s="650">
        <f>' Plan Energi 2030-S'!AL19/IF('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28" s="650"/>
      <c r="D128" s="650">
        <f>' Plan Energi 2006'!AL19/IF('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28" s="650"/>
      <c r="F128" s="650">
        <f>' Plan Energi 2008'!AL19/IF('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28" s="650"/>
      <c r="H128" s="650">
        <f>' Plan Energi 2009'!AL19/IF('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28" s="650"/>
      <c r="J128" s="650">
        <f>' Plan Energi 2011'!AL19/IF('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28" s="650"/>
      <c r="L128" s="650">
        <f>' Plan Energi 2013'!AL19/IF('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28" s="650"/>
      <c r="N128" s="650">
        <f>' Plan Energi 2015'!AL19/IF('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28" s="650"/>
      <c r="P128" s="650">
        <f>' Plan Energi 2017'!AL19/IF('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28" s="650"/>
      <c r="R128" s="650">
        <f>' Plan Energi 2019'!AL19/IF('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28" s="650"/>
      <c r="T128" s="726">
        <f>'Bolig, Service, Handel, Byg'!L74</f>
        <v>0</v>
      </c>
      <c r="U128" s="650"/>
      <c r="V128" s="726">
        <f>'Bolig, Service, Handel, Byg'!N74</f>
        <v>0.21803852889667255</v>
      </c>
      <c r="W128" s="650"/>
      <c r="X128" s="604"/>
    </row>
    <row r="129" spans="1:24" ht="15" customHeight="1" x14ac:dyDescent="0.25">
      <c r="A129" s="604" t="s">
        <v>349</v>
      </c>
      <c r="B129" s="650">
        <f>' Plan Energi 2030-S'!AL20/IF('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29" s="650"/>
      <c r="D129" s="650">
        <f>' Plan Energi 2006'!AL20/IF('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29" s="650"/>
      <c r="F129" s="650">
        <f>' Plan Energi 2008'!AL20/IF('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29" s="650"/>
      <c r="H129" s="650">
        <f>' Plan Energi 2009'!AL20/IF('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29" s="650"/>
      <c r="J129" s="650">
        <f>' Plan Energi 2011'!AL20/IF('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29" s="650"/>
      <c r="L129" s="650">
        <f>' Plan Energi 2013'!AL20/IF('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29" s="650"/>
      <c r="N129" s="650">
        <f>' Plan Energi 2015'!AL20/IF('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29" s="650"/>
      <c r="P129" s="650">
        <f>' Plan Energi 2017'!AL20/IF('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29" s="650"/>
      <c r="R129" s="650">
        <f>' Plan Energi 2019'!AL20/IF('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29" s="650"/>
      <c r="T129" s="726">
        <f>'Bolig, Service, Handel, Byg'!L75</f>
        <v>0</v>
      </c>
      <c r="U129" s="650"/>
      <c r="V129" s="726">
        <f>'Bolig, Service, Handel, Byg'!N75</f>
        <v>0</v>
      </c>
      <c r="W129" s="650"/>
      <c r="X129" s="604"/>
    </row>
    <row r="130" spans="1:24" ht="15" customHeight="1" x14ac:dyDescent="0.25">
      <c r="A130" s="604" t="s">
        <v>350</v>
      </c>
      <c r="B130" s="650">
        <f>' Plan Energi 2030-S'!AL21/IF('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30" s="650"/>
      <c r="D130" s="650">
        <f>' Plan Energi 2006'!AL21/IF('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30" s="650"/>
      <c r="F130" s="650">
        <f>' Plan Energi 2008'!AL21/IF('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30" s="650"/>
      <c r="H130" s="650">
        <f>' Plan Energi 2009'!AL21/IF('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30" s="650"/>
      <c r="J130" s="650">
        <f>' Plan Energi 2011'!AL21/IF('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30" s="650"/>
      <c r="L130" s="650">
        <f>' Plan Energi 2013'!AL21/IF('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30" s="650"/>
      <c r="N130" s="650">
        <f>' Plan Energi 2015'!AL21/IF('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30" s="650"/>
      <c r="P130" s="650">
        <f>' Plan Energi 2017'!AL21/IF('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30" s="650"/>
      <c r="R130" s="650">
        <f>' Plan Energi 2019'!AL21/IF('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30" s="650"/>
      <c r="T130" s="726">
        <f>'Bolig, Service, Handel, Byg'!L76</f>
        <v>0</v>
      </c>
      <c r="U130" s="650"/>
      <c r="V130" s="726">
        <f>'Bolig, Service, Handel, Byg'!N76</f>
        <v>0</v>
      </c>
      <c r="W130" s="650"/>
      <c r="X130" s="604"/>
    </row>
    <row r="131" spans="1:24" ht="15" customHeight="1" x14ac:dyDescent="0.25">
      <c r="A131" s="604" t="s">
        <v>331</v>
      </c>
      <c r="B131" s="650">
        <f>' Plan Energi 2030-S'!AL22/IF('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31" s="650"/>
      <c r="D131" s="650">
        <f>' Plan Energi 2006'!AL22/IF('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31" s="650"/>
      <c r="F131" s="650">
        <f>' Plan Energi 2008'!AL22/IF('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31" s="650"/>
      <c r="H131" s="650">
        <f>' Plan Energi 2009'!AL22/IF('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31" s="650"/>
      <c r="J131" s="650">
        <f>' Plan Energi 2011'!AL22/IF('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31" s="650"/>
      <c r="L131" s="650">
        <f>' Plan Energi 2013'!AL22/IF('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31" s="650"/>
      <c r="N131" s="650">
        <f>' Plan Energi 2015'!AL22/IF('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31" s="650"/>
      <c r="P131" s="650">
        <f>' Plan Energi 2017'!AL22/IF('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31" s="650"/>
      <c r="R131" s="650">
        <f>' Plan Energi 2019'!AL22/IF('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31" s="650"/>
      <c r="T131" s="726">
        <f>'Bolig, Service, Handel, Byg'!L77</f>
        <v>0</v>
      </c>
      <c r="U131" s="650"/>
      <c r="V131" s="726">
        <f>'Bolig, Service, Handel, Byg'!N77</f>
        <v>0</v>
      </c>
      <c r="W131" s="650"/>
      <c r="X131" s="604"/>
    </row>
    <row r="132" spans="1:24" ht="15" customHeight="1" x14ac:dyDescent="0.25">
      <c r="A132" s="604" t="s">
        <v>501</v>
      </c>
      <c r="B132" s="650">
        <f>' Plan Energi 2030-S'!AL10/IF('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32" s="650"/>
      <c r="D132" s="650">
        <f>' Plan Energi 2006'!AL10/IF('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32" s="650"/>
      <c r="F132" s="650">
        <f>' Plan Energi 2008'!AL10/IF('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32" s="650"/>
      <c r="H132" s="650">
        <f>' Plan Energi 2009'!AL10/IF('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32" s="650"/>
      <c r="J132" s="650">
        <f>' Plan Energi 2011'!AL10/IF('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32" s="650"/>
      <c r="L132" s="650">
        <f>' Plan Energi 2013'!AL10/IF('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32" s="650"/>
      <c r="N132" s="650">
        <f>' Plan Energi 2015'!AL10/IF('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32" s="650"/>
      <c r="P132" s="650">
        <f>' Plan Energi 2017'!AL10/IF('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32" s="650"/>
      <c r="R132" s="650">
        <f>' Plan Energi 2019'!AL10/IF('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32" s="650"/>
      <c r="T132" s="726">
        <f>'Bolig, Service, Handel, Byg'!L78</f>
        <v>0</v>
      </c>
      <c r="U132" s="650"/>
      <c r="V132" s="726">
        <f>'Bolig, Service, Handel, Byg'!N78</f>
        <v>0</v>
      </c>
      <c r="W132" s="650"/>
      <c r="X132" s="604"/>
    </row>
    <row r="133" spans="1:24" ht="15" customHeight="1" x14ac:dyDescent="0.25">
      <c r="A133" s="604" t="s">
        <v>314</v>
      </c>
      <c r="B133" s="650">
        <f>' Plan Energi 2030-S'!AL9/IF(' Plan Energi 2030-S'!AL$14+SUM(' Plan Energi 2030-S'!AL$17:AL$22)+' Plan Energi 2030-S'!AL$9+' Plan Energi 2030-S'!AL$10&gt;0,' Plan Energi 2030-S'!AL$14+SUM(' Plan Energi 2030-S'!AL$17:AL$22)+' Plan Energi 2030-S'!AL$9+' Plan Energi 2030-S'!AL$10,1)</f>
        <v>0</v>
      </c>
      <c r="C133" s="650"/>
      <c r="D133" s="650">
        <f>' Plan Energi 2006'!AL9/IF(' Plan Energi 2006'!AL$14+SUM(' Plan Energi 2006'!AL$17:AL$22)+' Plan Energi 2006'!AL$9+' Plan Energi 2006'!AL$10&gt;0,' Plan Energi 2006'!AL$14+SUM(' Plan Energi 2006'!AL$17:AL$22)+' Plan Energi 2006'!AL$9+' Plan Energi 2006'!AL$10,1)</f>
        <v>0</v>
      </c>
      <c r="E133" s="650"/>
      <c r="F133" s="650">
        <f>' Plan Energi 2008'!AL9/IF(' Plan Energi 2008'!AL$14+SUM(' Plan Energi 2008'!AL$17:AL$22)+' Plan Energi 2008'!AL$9+' Plan Energi 2008'!AL$10&gt;0,' Plan Energi 2008'!AL$14+SUM(' Plan Energi 2008'!AL$17:AL$22)+' Plan Energi 2008'!AL$9+' Plan Energi 2008'!AL$10,1)</f>
        <v>0</v>
      </c>
      <c r="G133" s="650"/>
      <c r="H133" s="650">
        <f>' Plan Energi 2009'!AL9/IF(' Plan Energi 2009'!AL$14+SUM(' Plan Energi 2009'!AL$17:AL$22)+' Plan Energi 2009'!AL$9+' Plan Energi 2009'!AL$10&gt;0,' Plan Energi 2009'!AL$14+SUM(' Plan Energi 2009'!AL$17:AL$22)+' Plan Energi 2009'!AL$9+' Plan Energi 2009'!AL$10,1)</f>
        <v>0</v>
      </c>
      <c r="I133" s="650"/>
      <c r="J133" s="650">
        <f>' Plan Energi 2011'!AL9/IF(' Plan Energi 2011'!AL$14+SUM(' Plan Energi 2011'!AL$17:AL$22)+' Plan Energi 2011'!AL$9+' Plan Energi 2011'!AL$10&gt;0,' Plan Energi 2011'!AL$14+SUM(' Plan Energi 2011'!AL$17:AL$22)+' Plan Energi 2011'!AL$9+' Plan Energi 2011'!AL$10,1)</f>
        <v>0</v>
      </c>
      <c r="K133" s="650"/>
      <c r="L133" s="650">
        <f>' Plan Energi 2013'!AL9/IF(' Plan Energi 2013'!AL$14+SUM(' Plan Energi 2013'!AL$17:AL$22)+' Plan Energi 2013'!AL$9+' Plan Energi 2013'!AL$10&gt;0,' Plan Energi 2013'!AL$14+SUM(' Plan Energi 2013'!AL$17:AL$22)+' Plan Energi 2013'!AL$9+' Plan Energi 2013'!AL$10,1)</f>
        <v>0</v>
      </c>
      <c r="M133" s="650"/>
      <c r="N133" s="650">
        <f>' Plan Energi 2015'!AL9/IF(' Plan Energi 2015'!AL$14+SUM(' Plan Energi 2015'!AL$17:AL$22)+' Plan Energi 2015'!AL$9+' Plan Energi 2015'!AL$10&gt;0,' Plan Energi 2015'!AL$14+SUM(' Plan Energi 2015'!AL$17:AL$22)+' Plan Energi 2015'!AL$9+' Plan Energi 2015'!AL$10,1)</f>
        <v>0</v>
      </c>
      <c r="O133" s="650"/>
      <c r="P133" s="650">
        <f>' Plan Energi 2017'!AL9/IF(' Plan Energi 2017'!AL$14+SUM(' Plan Energi 2017'!AL$17:AL$22)+' Plan Energi 2017'!AL$9+' Plan Energi 2017'!AL$10&gt;0,' Plan Energi 2017'!AL$14+SUM(' Plan Energi 2017'!AL$17:AL$22)+' Plan Energi 2017'!AL$9+' Plan Energi 2017'!AL$10,1)</f>
        <v>0</v>
      </c>
      <c r="Q133" s="650"/>
      <c r="R133" s="650">
        <f>' Plan Energi 2019'!AL9/IF(' Plan Energi 2019'!AL$14+SUM(' Plan Energi 2019'!AL$17:AL$22)+' Plan Energi 2019'!AL$9+' Plan Energi 2019'!AL$10&gt;0,' Plan Energi 2019'!AL$14+SUM(' Plan Energi 2019'!AL$17:AL$22)+' Plan Energi 2019'!AL$9+' Plan Energi 2019'!AL$10,1)</f>
        <v>0</v>
      </c>
      <c r="S133" s="650"/>
      <c r="T133" s="726">
        <f>'Bolig, Service, Handel, Byg'!L79</f>
        <v>0</v>
      </c>
      <c r="U133" s="650"/>
      <c r="V133" s="726">
        <f>'Bolig, Service, Handel, Byg'!N79</f>
        <v>0</v>
      </c>
      <c r="W133" s="650"/>
      <c r="X133" s="604"/>
    </row>
    <row r="134" spans="1:24" x14ac:dyDescent="0.25">
      <c r="A134" s="633" t="s">
        <v>489</v>
      </c>
      <c r="B134" s="650"/>
      <c r="C134" s="650"/>
      <c r="D134" s="650"/>
      <c r="E134" s="650"/>
      <c r="F134" s="650"/>
      <c r="G134" s="650"/>
      <c r="H134" s="650"/>
      <c r="I134" s="650"/>
      <c r="J134" s="650"/>
      <c r="K134" s="650"/>
      <c r="L134" s="650"/>
      <c r="M134" s="650"/>
      <c r="N134" s="650"/>
      <c r="O134" s="650"/>
      <c r="P134" s="650"/>
      <c r="Q134" s="650"/>
      <c r="R134" s="650"/>
      <c r="S134" s="650"/>
      <c r="T134" s="650"/>
      <c r="U134" s="650"/>
      <c r="V134" s="650"/>
      <c r="W134" s="650"/>
      <c r="X134" s="604"/>
    </row>
    <row r="135" spans="1:24" x14ac:dyDescent="0.25">
      <c r="A135" s="604" t="s">
        <v>351</v>
      </c>
      <c r="B135" s="650">
        <f>' Plan Energi 2030-S'!AL$39/IF(' Plan Energi 2030-S'!AL$39+' Plan Energi 2030-S'!AL$43+' Plan Energi 2030-S'!AL$52+' Plan Energi 2030-S'!AL$55+' Plan Energi 2030-S'!AL$62+' Plan Energi 2030-S'!AL$71&gt;0,' Plan Energi 2030-S'!AL$39+' Plan Energi 2030-S'!AL$43+' Plan Energi 2030-S'!AL$52+' Plan Energi 2030-S'!AL$55+' Plan Energi 2030-S'!AL$62+' Plan Energi 2030-S'!AL$71,1)</f>
        <v>0</v>
      </c>
      <c r="C135" s="650"/>
      <c r="D135" s="650">
        <f>' Plan Energi 2006'!AL$39/IF(' Plan Energi 2006'!AL$39+' Plan Energi 2006'!AL$43+' Plan Energi 2006'!AL$52+' Plan Energi 2006'!AL$55+' Plan Energi 2006'!AL$62+' Plan Energi 2006'!AL$71&gt;0,' Plan Energi 2006'!AL$39+' Plan Energi 2006'!AL$43+' Plan Energi 2006'!AL$52+' Plan Energi 2006'!AL$55+' Plan Energi 2006'!AL$62+' Plan Energi 2006'!AL$71,1)</f>
        <v>0</v>
      </c>
      <c r="E135" s="650"/>
      <c r="F135" s="650">
        <f>' Plan Energi 2008'!AL$39/IF(' Plan Energi 2008'!AL$39+' Plan Energi 2008'!AL$43+' Plan Energi 2008'!AL$52+' Plan Energi 2008'!AL$55+' Plan Energi 2008'!AL$62+' Plan Energi 2008'!AL$71&gt;0,' Plan Energi 2008'!AL$39+' Plan Energi 2008'!AL$43+' Plan Energi 2008'!AL$52+' Plan Energi 2008'!AL$55+' Plan Energi 2008'!AL$62+' Plan Energi 2008'!AL$71,1)</f>
        <v>0</v>
      </c>
      <c r="G135" s="650"/>
      <c r="H135" s="650">
        <f>' Plan Energi 2009'!AL$39/IF(' Plan Energi 2009'!AL$39+' Plan Energi 2009'!AL$43+' Plan Energi 2009'!AL$52+' Plan Energi 2009'!AL$55+' Plan Energi 2009'!AL$62+' Plan Energi 2009'!AL$71&gt;0,' Plan Energi 2009'!AL$39+' Plan Energi 2009'!AL$43+' Plan Energi 2009'!AL$52+' Plan Energi 2009'!AL$55+' Plan Energi 2009'!AL$62+' Plan Energi 2009'!AL$71,1)</f>
        <v>0</v>
      </c>
      <c r="I135" s="650"/>
      <c r="J135" s="650">
        <f>' Plan Energi 2011'!AL$39/IF(' Plan Energi 2011'!AL$39+' Plan Energi 2011'!AL$43+' Plan Energi 2011'!AL$52+' Plan Energi 2011'!AL$55+' Plan Energi 2011'!AL$62+' Plan Energi 2011'!AL$71&gt;0,' Plan Energi 2011'!AL$39+' Plan Energi 2011'!AL$43+' Plan Energi 2011'!AL$52+' Plan Energi 2011'!AL$55+' Plan Energi 2011'!AL$62+' Plan Energi 2011'!AL$71,1)</f>
        <v>0</v>
      </c>
      <c r="K135" s="650"/>
      <c r="L135" s="650">
        <f>' Plan Energi 2013'!AL$39/IF(' Plan Energi 2013'!AL$39+' Plan Energi 2013'!AL$43+' Plan Energi 2013'!AL$52+' Plan Energi 2013'!AL$55+' Plan Energi 2013'!AL$62+' Plan Energi 2013'!AL$71&gt;0,' Plan Energi 2013'!AL$39+' Plan Energi 2013'!AL$43+' Plan Energi 2013'!AL$52+' Plan Energi 2013'!AL$55+' Plan Energi 2013'!AL$62+' Plan Energi 2013'!AL$71,1)</f>
        <v>0</v>
      </c>
      <c r="M135" s="650"/>
      <c r="N135" s="650">
        <f>' Plan Energi 2015'!AL$39/IF(' Plan Energi 2015'!AL$39+' Plan Energi 2015'!AL$43+' Plan Energi 2015'!AL$52+' Plan Energi 2015'!AL$55+' Plan Energi 2015'!AL$62+' Plan Energi 2015'!AL$71&gt;0,' Plan Energi 2015'!AL$39+' Plan Energi 2015'!AL$43+' Plan Energi 2015'!AL$52+' Plan Energi 2015'!AL$55+' Plan Energi 2015'!AL$62+' Plan Energi 2015'!AL$71,1)</f>
        <v>0</v>
      </c>
      <c r="O135" s="650"/>
      <c r="P135" s="650">
        <f>' Plan Energi 2017'!AL$39/IF(' Plan Energi 2017'!AL$39+' Plan Energi 2017'!AL$43+' Plan Energi 2017'!AL$52+' Plan Energi 2017'!AL$55+' Plan Energi 2017'!AL$62+' Plan Energi 2017'!AL$71&gt;0,' Plan Energi 2017'!AL$39+' Plan Energi 2017'!AL$43+' Plan Energi 2017'!AL$52+' Plan Energi 2017'!AL$55+' Plan Energi 2017'!AL$62+' Plan Energi 2017'!AL$71,1)</f>
        <v>0</v>
      </c>
      <c r="Q135" s="650"/>
      <c r="R135" s="650">
        <f>' Plan Energi 2019'!AL$39/IF(' Plan Energi 2019'!AL$39+' Plan Energi 2019'!AL$43+' Plan Energi 2019'!AL$52+' Plan Energi 2019'!AL$55+' Plan Energi 2019'!AL$62+' Plan Energi 2019'!AL$71&gt;0,' Plan Energi 2019'!AL$39+' Plan Energi 2019'!AL$43+' Plan Energi 2019'!AL$52+' Plan Energi 2019'!AL$55+' Plan Energi 2019'!AL$62+' Plan Energi 2019'!AL$71,1)</f>
        <v>0</v>
      </c>
      <c r="S135" s="650"/>
      <c r="T135" s="727">
        <f>Fjernvarme!J7</f>
        <v>0</v>
      </c>
      <c r="U135" s="650"/>
      <c r="V135" s="727">
        <f>Fjernvarme!L7</f>
        <v>0</v>
      </c>
      <c r="W135" s="650"/>
      <c r="X135" s="604"/>
    </row>
    <row r="136" spans="1:24" x14ac:dyDescent="0.25">
      <c r="A136" s="604" t="s">
        <v>352</v>
      </c>
      <c r="B136" s="650">
        <f>' Plan Energi 2030-S'!AL$43/IF(' Plan Energi 2030-S'!AL$39+' Plan Energi 2030-S'!AL$43+' Plan Energi 2030-S'!AL$52+' Plan Energi 2030-S'!AL$55+' Plan Energi 2030-S'!AL$62+' Plan Energi 2030-S'!AL$71&gt;0,' Plan Energi 2030-S'!AL$39+' Plan Energi 2030-S'!AL$43+' Plan Energi 2030-S'!AL$52+' Plan Energi 2030-S'!AL$55+' Plan Energi 2030-S'!AL$62+' Plan Energi 2030-S'!AL$71,1)</f>
        <v>0</v>
      </c>
      <c r="C136" s="650"/>
      <c r="D136" s="650">
        <f>' Plan Energi 2006'!AL$43/IF(' Plan Energi 2006'!AL$39+' Plan Energi 2006'!AL$43+' Plan Energi 2006'!AL$52+' Plan Energi 2006'!AL$55+' Plan Energi 2006'!AL$62+' Plan Energi 2006'!AL$71&gt;0,' Plan Energi 2006'!AL$39+' Plan Energi 2006'!AL$43+' Plan Energi 2006'!AL$52+' Plan Energi 2006'!AL$55+' Plan Energi 2006'!AL$62+' Plan Energi 2006'!AL$71,1)</f>
        <v>0</v>
      </c>
      <c r="E136" s="650"/>
      <c r="F136" s="650">
        <f>' Plan Energi 2008'!AL$43/IF(' Plan Energi 2008'!AL$39+' Plan Energi 2008'!AL$43+' Plan Energi 2008'!AL$52+' Plan Energi 2008'!AL$55+' Plan Energi 2008'!AL$62+' Plan Energi 2008'!AL$71&gt;0,' Plan Energi 2008'!AL$39+' Plan Energi 2008'!AL$43+' Plan Energi 2008'!AL$52+' Plan Energi 2008'!AL$55+' Plan Energi 2008'!AL$62+' Plan Energi 2008'!AL$71,1)</f>
        <v>0</v>
      </c>
      <c r="G136" s="650"/>
      <c r="H136" s="650">
        <f>' Plan Energi 2009'!AL$43/IF(' Plan Energi 2009'!AL$39+' Plan Energi 2009'!AL$43+' Plan Energi 2009'!AL$52+' Plan Energi 2009'!AL$55+' Plan Energi 2009'!AL$62+' Plan Energi 2009'!AL$71&gt;0,' Plan Energi 2009'!AL$39+' Plan Energi 2009'!AL$43+' Plan Energi 2009'!AL$52+' Plan Energi 2009'!AL$55+' Plan Energi 2009'!AL$62+' Plan Energi 2009'!AL$71,1)</f>
        <v>0</v>
      </c>
      <c r="I136" s="650"/>
      <c r="J136" s="650">
        <f>' Plan Energi 2011'!AL$43/IF(' Plan Energi 2011'!AL$39+' Plan Energi 2011'!AL$43+' Plan Energi 2011'!AL$52+' Plan Energi 2011'!AL$55+' Plan Energi 2011'!AL$62+' Plan Energi 2011'!AL$71&gt;0,' Plan Energi 2011'!AL$39+' Plan Energi 2011'!AL$43+' Plan Energi 2011'!AL$52+' Plan Energi 2011'!AL$55+' Plan Energi 2011'!AL$62+' Plan Energi 2011'!AL$71,1)</f>
        <v>0</v>
      </c>
      <c r="K136" s="650"/>
      <c r="L136" s="650">
        <f>' Plan Energi 2013'!AL$43/IF(' Plan Energi 2013'!AL$39+' Plan Energi 2013'!AL$43+' Plan Energi 2013'!AL$52+' Plan Energi 2013'!AL$55+' Plan Energi 2013'!AL$62+' Plan Energi 2013'!AL$71&gt;0,' Plan Energi 2013'!AL$39+' Plan Energi 2013'!AL$43+' Plan Energi 2013'!AL$52+' Plan Energi 2013'!AL$55+' Plan Energi 2013'!AL$62+' Plan Energi 2013'!AL$71,1)</f>
        <v>0</v>
      </c>
      <c r="M136" s="650"/>
      <c r="N136" s="650">
        <f>' Plan Energi 2015'!AL$43/IF(' Plan Energi 2015'!AL$39+' Plan Energi 2015'!AL$43+' Plan Energi 2015'!AL$52+' Plan Energi 2015'!AL$55+' Plan Energi 2015'!AL$62+' Plan Energi 2015'!AL$71&gt;0,' Plan Energi 2015'!AL$39+' Plan Energi 2015'!AL$43+' Plan Energi 2015'!AL$52+' Plan Energi 2015'!AL$55+' Plan Energi 2015'!AL$62+' Plan Energi 2015'!AL$71,1)</f>
        <v>0</v>
      </c>
      <c r="O136" s="650"/>
      <c r="P136" s="650">
        <f>' Plan Energi 2017'!AL$43/IF(' Plan Energi 2017'!AL$39+' Plan Energi 2017'!AL$43+' Plan Energi 2017'!AL$52+' Plan Energi 2017'!AL$55+' Plan Energi 2017'!AL$62+' Plan Energi 2017'!AL$71&gt;0,' Plan Energi 2017'!AL$39+' Plan Energi 2017'!AL$43+' Plan Energi 2017'!AL$52+' Plan Energi 2017'!AL$55+' Plan Energi 2017'!AL$62+' Plan Energi 2017'!AL$71,1)</f>
        <v>0</v>
      </c>
      <c r="Q136" s="650"/>
      <c r="R136" s="650">
        <f>' Plan Energi 2019'!AL$43/IF(' Plan Energi 2019'!AL$39+' Plan Energi 2019'!AL$43+' Plan Energi 2019'!AL$52+' Plan Energi 2019'!AL$55+' Plan Energi 2019'!AL$62+' Plan Energi 2019'!AL$71&gt;0,' Plan Energi 2019'!AL$39+' Plan Energi 2019'!AL$43+' Plan Energi 2019'!AL$52+' Plan Energi 2019'!AL$55+' Plan Energi 2019'!AL$62+' Plan Energi 2019'!AL$71,1)</f>
        <v>0</v>
      </c>
      <c r="S136" s="650"/>
      <c r="T136" s="727">
        <f>Fjernvarme!J8</f>
        <v>0</v>
      </c>
      <c r="U136" s="650"/>
      <c r="V136" s="727">
        <f>Fjernvarme!L8</f>
        <v>0</v>
      </c>
      <c r="W136" s="650"/>
      <c r="X136" s="604"/>
    </row>
    <row r="137" spans="1:24" x14ac:dyDescent="0.25">
      <c r="A137" s="604" t="s">
        <v>353</v>
      </c>
      <c r="B137" s="650">
        <f>' Plan Energi 2030-S'!AL$52/IF(' Plan Energi 2030-S'!AL$39+' Plan Energi 2030-S'!AL$43+' Plan Energi 2030-S'!AL$52+' Plan Energi 2030-S'!AL$55+' Plan Energi 2030-S'!AL$62+' Plan Energi 2030-S'!AL$71&gt;0,' Plan Energi 2030-S'!AL$39+' Plan Energi 2030-S'!AL$43+' Plan Energi 2030-S'!AL$52+' Plan Energi 2030-S'!AL$55+' Plan Energi 2030-S'!AL$62+' Plan Energi 2030-S'!AL$71,1)</f>
        <v>0</v>
      </c>
      <c r="C137" s="650"/>
      <c r="D137" s="650">
        <f>' Plan Energi 2006'!AL$52/IF(' Plan Energi 2006'!AL$39+' Plan Energi 2006'!AL$43+' Plan Energi 2006'!AL$52+' Plan Energi 2006'!AL$55+' Plan Energi 2006'!AL$62+' Plan Energi 2006'!AL$71&gt;0,' Plan Energi 2006'!AL$39+' Plan Energi 2006'!AL$43+' Plan Energi 2006'!AL$52+' Plan Energi 2006'!AL$55+' Plan Energi 2006'!AL$62+' Plan Energi 2006'!AL$71,1)</f>
        <v>0</v>
      </c>
      <c r="E137" s="650"/>
      <c r="F137" s="650">
        <f>' Plan Energi 2008'!AL$52/IF(' Plan Energi 2008'!AL$39+' Plan Energi 2008'!AL$43+' Plan Energi 2008'!AL$52+' Plan Energi 2008'!AL$55+' Plan Energi 2008'!AL$62+' Plan Energi 2008'!AL$71&gt;0,' Plan Energi 2008'!AL$39+' Plan Energi 2008'!AL$43+' Plan Energi 2008'!AL$52+' Plan Energi 2008'!AL$55+' Plan Energi 2008'!AL$62+' Plan Energi 2008'!AL$71,1)</f>
        <v>0</v>
      </c>
      <c r="G137" s="650"/>
      <c r="H137" s="650">
        <f>' Plan Energi 2009'!AL$52/IF(' Plan Energi 2009'!AL$39+' Plan Energi 2009'!AL$43+' Plan Energi 2009'!AL$52+' Plan Energi 2009'!AL$55+' Plan Energi 2009'!AL$62+' Plan Energi 2009'!AL$71&gt;0,' Plan Energi 2009'!AL$39+' Plan Energi 2009'!AL$43+' Plan Energi 2009'!AL$52+' Plan Energi 2009'!AL$55+' Plan Energi 2009'!AL$62+' Plan Energi 2009'!AL$71,1)</f>
        <v>0</v>
      </c>
      <c r="I137" s="650"/>
      <c r="J137" s="650">
        <f>' Plan Energi 2011'!AL$52/IF(' Plan Energi 2011'!AL$39+' Plan Energi 2011'!AL$43+' Plan Energi 2011'!AL$52+' Plan Energi 2011'!AL$55+' Plan Energi 2011'!AL$62+' Plan Energi 2011'!AL$71&gt;0,' Plan Energi 2011'!AL$39+' Plan Energi 2011'!AL$43+' Plan Energi 2011'!AL$52+' Plan Energi 2011'!AL$55+' Plan Energi 2011'!AL$62+' Plan Energi 2011'!AL$71,1)</f>
        <v>0</v>
      </c>
      <c r="K137" s="650"/>
      <c r="L137" s="650">
        <f>' Plan Energi 2013'!AL$52/IF(' Plan Energi 2013'!AL$39+' Plan Energi 2013'!AL$43+' Plan Energi 2013'!AL$52+' Plan Energi 2013'!AL$55+' Plan Energi 2013'!AL$62+' Plan Energi 2013'!AL$71&gt;0,' Plan Energi 2013'!AL$39+' Plan Energi 2013'!AL$43+' Plan Energi 2013'!AL$52+' Plan Energi 2013'!AL$55+' Plan Energi 2013'!AL$62+' Plan Energi 2013'!AL$71,1)</f>
        <v>0</v>
      </c>
      <c r="M137" s="650"/>
      <c r="N137" s="650">
        <f>' Plan Energi 2015'!AL$52/IF(' Plan Energi 2015'!AL$39+' Plan Energi 2015'!AL$43+' Plan Energi 2015'!AL$52+' Plan Energi 2015'!AL$55+' Plan Energi 2015'!AL$62+' Plan Energi 2015'!AL$71&gt;0,' Plan Energi 2015'!AL$39+' Plan Energi 2015'!AL$43+' Plan Energi 2015'!AL$52+' Plan Energi 2015'!AL$55+' Plan Energi 2015'!AL$62+' Plan Energi 2015'!AL$71,1)</f>
        <v>0</v>
      </c>
      <c r="O137" s="650"/>
      <c r="P137" s="650">
        <f>' Plan Energi 2017'!AL$52/IF(' Plan Energi 2017'!AL$39+' Plan Energi 2017'!AL$43+' Plan Energi 2017'!AL$52+' Plan Energi 2017'!AL$55+' Plan Energi 2017'!AL$62+' Plan Energi 2017'!AL$71&gt;0,' Plan Energi 2017'!AL$39+' Plan Energi 2017'!AL$43+' Plan Energi 2017'!AL$52+' Plan Energi 2017'!AL$55+' Plan Energi 2017'!AL$62+' Plan Energi 2017'!AL$71,1)</f>
        <v>0</v>
      </c>
      <c r="Q137" s="650"/>
      <c r="R137" s="650">
        <f>' Plan Energi 2019'!AL$52/IF(' Plan Energi 2019'!AL$39+' Plan Energi 2019'!AL$43+' Plan Energi 2019'!AL$52+' Plan Energi 2019'!AL$55+' Plan Energi 2019'!AL$62+' Plan Energi 2019'!AL$71&gt;0,' Plan Energi 2019'!AL$39+' Plan Energi 2019'!AL$43+' Plan Energi 2019'!AL$52+' Plan Energi 2019'!AL$55+' Plan Energi 2019'!AL$62+' Plan Energi 2019'!AL$71,1)</f>
        <v>0</v>
      </c>
      <c r="S137" s="650"/>
      <c r="T137" s="727">
        <f>Fjernvarme!J9</f>
        <v>0</v>
      </c>
      <c r="U137" s="650"/>
      <c r="V137" s="727">
        <f>Fjernvarme!L9</f>
        <v>0</v>
      </c>
      <c r="W137" s="650"/>
      <c r="X137" s="604"/>
    </row>
    <row r="138" spans="1:24" x14ac:dyDescent="0.25">
      <c r="A138" s="604" t="s">
        <v>354</v>
      </c>
      <c r="B138" s="650">
        <f>' Plan Energi 2030-S'!AL$55/IF(' Plan Energi 2030-S'!AL$39+' Plan Energi 2030-S'!AL$43+' Plan Energi 2030-S'!AL$52+' Plan Energi 2030-S'!AL$55+' Plan Energi 2030-S'!AL$62+' Plan Energi 2030-S'!AL$71&gt;0,' Plan Energi 2030-S'!AL$39+' Plan Energi 2030-S'!AL$43+' Plan Energi 2030-S'!AL$52+' Plan Energi 2030-S'!AL$55+' Plan Energi 2030-S'!AL$62+' Plan Energi 2030-S'!AL$71,1)</f>
        <v>0</v>
      </c>
      <c r="C138" s="650"/>
      <c r="D138" s="650">
        <f>' Plan Energi 2006'!AL$55/IF(' Plan Energi 2006'!AL$39+' Plan Energi 2006'!AL$43+' Plan Energi 2006'!AL$52+' Plan Energi 2006'!AL$55+' Plan Energi 2006'!AL$62+' Plan Energi 2006'!AL$71&gt;0,' Plan Energi 2006'!AL$39+' Plan Energi 2006'!AL$43+' Plan Energi 2006'!AL$52+' Plan Energi 2006'!AL$55+' Plan Energi 2006'!AL$62+' Plan Energi 2006'!AL$71,1)</f>
        <v>0</v>
      </c>
      <c r="E138" s="650"/>
      <c r="F138" s="650">
        <f>' Plan Energi 2008'!AL$55/IF(' Plan Energi 2008'!AL$39+' Plan Energi 2008'!AL$43+' Plan Energi 2008'!AL$52+' Plan Energi 2008'!AL$55+' Plan Energi 2008'!AL$62+' Plan Energi 2008'!AL$71&gt;0,' Plan Energi 2008'!AL$39+' Plan Energi 2008'!AL$43+' Plan Energi 2008'!AL$52+' Plan Energi 2008'!AL$55+' Plan Energi 2008'!AL$62+' Plan Energi 2008'!AL$71,1)</f>
        <v>0</v>
      </c>
      <c r="G138" s="650"/>
      <c r="H138" s="650">
        <f>' Plan Energi 2009'!AL$55/IF(' Plan Energi 2009'!AL$39+' Plan Energi 2009'!AL$43+' Plan Energi 2009'!AL$52+' Plan Energi 2009'!AL$55+' Plan Energi 2009'!AL$62+' Plan Energi 2009'!AL$71&gt;0,' Plan Energi 2009'!AL$39+' Plan Energi 2009'!AL$43+' Plan Energi 2009'!AL$52+' Plan Energi 2009'!AL$55+' Plan Energi 2009'!AL$62+' Plan Energi 2009'!AL$71,1)</f>
        <v>0</v>
      </c>
      <c r="I138" s="650"/>
      <c r="J138" s="650">
        <f>' Plan Energi 2011'!AL$55/IF(' Plan Energi 2011'!AL$39+' Plan Energi 2011'!AL$43+' Plan Energi 2011'!AL$52+' Plan Energi 2011'!AL$55+' Plan Energi 2011'!AL$62+' Plan Energi 2011'!AL$71&gt;0,' Plan Energi 2011'!AL$39+' Plan Energi 2011'!AL$43+' Plan Energi 2011'!AL$52+' Plan Energi 2011'!AL$55+' Plan Energi 2011'!AL$62+' Plan Energi 2011'!AL$71,1)</f>
        <v>0</v>
      </c>
      <c r="K138" s="650"/>
      <c r="L138" s="650">
        <f>' Plan Energi 2013'!AL$55/IF(' Plan Energi 2013'!AL$39+' Plan Energi 2013'!AL$43+' Plan Energi 2013'!AL$52+' Plan Energi 2013'!AL$55+' Plan Energi 2013'!AL$62+' Plan Energi 2013'!AL$71&gt;0,' Plan Energi 2013'!AL$39+' Plan Energi 2013'!AL$43+' Plan Energi 2013'!AL$52+' Plan Energi 2013'!AL$55+' Plan Energi 2013'!AL$62+' Plan Energi 2013'!AL$71,1)</f>
        <v>0</v>
      </c>
      <c r="M138" s="650"/>
      <c r="N138" s="650">
        <f>' Plan Energi 2015'!AL$55/IF(' Plan Energi 2015'!AL$39+' Plan Energi 2015'!AL$43+' Plan Energi 2015'!AL$52+' Plan Energi 2015'!AL$55+' Plan Energi 2015'!AL$62+' Plan Energi 2015'!AL$71&gt;0,' Plan Energi 2015'!AL$39+' Plan Energi 2015'!AL$43+' Plan Energi 2015'!AL$52+' Plan Energi 2015'!AL$55+' Plan Energi 2015'!AL$62+' Plan Energi 2015'!AL$71,1)</f>
        <v>0</v>
      </c>
      <c r="O138" s="650"/>
      <c r="P138" s="650">
        <f>' Plan Energi 2017'!AL$55/IF(' Plan Energi 2017'!AL$39+' Plan Energi 2017'!AL$43+' Plan Energi 2017'!AL$52+' Plan Energi 2017'!AL$55+' Plan Energi 2017'!AL$62+' Plan Energi 2017'!AL$71&gt;0,' Plan Energi 2017'!AL$39+' Plan Energi 2017'!AL$43+' Plan Energi 2017'!AL$52+' Plan Energi 2017'!AL$55+' Plan Energi 2017'!AL$62+' Plan Energi 2017'!AL$71,1)</f>
        <v>0</v>
      </c>
      <c r="Q138" s="650"/>
      <c r="R138" s="650">
        <f>' Plan Energi 2019'!AL$55/IF(' Plan Energi 2019'!AL$39+' Plan Energi 2019'!AL$43+' Plan Energi 2019'!AL$52+' Plan Energi 2019'!AL$55+' Plan Energi 2019'!AL$62+' Plan Energi 2019'!AL$71&gt;0,' Plan Energi 2019'!AL$39+' Plan Energi 2019'!AL$43+' Plan Energi 2019'!AL$52+' Plan Energi 2019'!AL$55+' Plan Energi 2019'!AL$62+' Plan Energi 2019'!AL$71,1)</f>
        <v>0</v>
      </c>
      <c r="S138" s="650"/>
      <c r="T138" s="727">
        <f>Fjernvarme!J10</f>
        <v>0</v>
      </c>
      <c r="U138" s="650"/>
      <c r="V138" s="727">
        <f>Fjernvarme!L10</f>
        <v>0</v>
      </c>
      <c r="W138" s="650"/>
      <c r="X138" s="604"/>
    </row>
    <row r="139" spans="1:24" x14ac:dyDescent="0.25">
      <c r="A139" s="604" t="s">
        <v>199</v>
      </c>
      <c r="B139" s="650">
        <f>' Plan Energi 2030-S'!AL$62/IF(' Plan Energi 2030-S'!AL$39+' Plan Energi 2030-S'!AL$43+' Plan Energi 2030-S'!AL$52+' Plan Energi 2030-S'!AL$55+' Plan Energi 2030-S'!AL$62+' Plan Energi 2030-S'!AL$71&gt;0,' Plan Energi 2030-S'!AL$39+' Plan Energi 2030-S'!AL$43+' Plan Energi 2030-S'!AL$52+' Plan Energi 2030-S'!AL$55+' Plan Energi 2030-S'!AL$62+' Plan Energi 2030-S'!AL$71,1)</f>
        <v>0.81422293248102273</v>
      </c>
      <c r="C139" s="650"/>
      <c r="D139" s="650">
        <f>' Plan Energi 2006'!AL$62/IF(' Plan Energi 2006'!AL$39+' Plan Energi 2006'!AL$43+' Plan Energi 2006'!AL$52+' Plan Energi 2006'!AL$55+' Plan Energi 2006'!AL$62+' Plan Energi 2006'!AL$71&gt;0,' Plan Energi 2006'!AL$39+' Plan Energi 2006'!AL$43+' Plan Energi 2006'!AL$52+' Plan Energi 2006'!AL$55+' Plan Energi 2006'!AL$62+' Plan Energi 2006'!AL$71,1)</f>
        <v>0.80201498808706606</v>
      </c>
      <c r="E139" s="650"/>
      <c r="F139" s="650">
        <f>' Plan Energi 2008'!AL$62/IF(' Plan Energi 2008'!AL$39+' Plan Energi 2008'!AL$43+' Plan Energi 2008'!AL$52+' Plan Energi 2008'!AL$55+' Plan Energi 2008'!AL$62+' Plan Energi 2008'!AL$71&gt;0,' Plan Energi 2008'!AL$39+' Plan Energi 2008'!AL$43+' Plan Energi 2008'!AL$52+' Plan Energi 2008'!AL$55+' Plan Energi 2008'!AL$62+' Plan Energi 2008'!AL$71,1)</f>
        <v>0.82968314293276579</v>
      </c>
      <c r="G139" s="650"/>
      <c r="H139" s="650">
        <f>' Plan Energi 2009'!AL$62/IF(' Plan Energi 2009'!AL$39+' Plan Energi 2009'!AL$43+' Plan Energi 2009'!AL$52+' Plan Energi 2009'!AL$55+' Plan Energi 2009'!AL$62+' Plan Energi 2009'!AL$71&gt;0,' Plan Energi 2009'!AL$39+' Plan Energi 2009'!AL$43+' Plan Energi 2009'!AL$52+' Plan Energi 2009'!AL$55+' Plan Energi 2009'!AL$62+' Plan Energi 2009'!AL$71,1)</f>
        <v>0.84029857568292787</v>
      </c>
      <c r="I139" s="650"/>
      <c r="J139" s="650">
        <f>' Plan Energi 2011'!AL$62/IF(' Plan Energi 2011'!AL$39+' Plan Energi 2011'!AL$43+' Plan Energi 2011'!AL$52+' Plan Energi 2011'!AL$55+' Plan Energi 2011'!AL$62+' Plan Energi 2011'!AL$71&gt;0,' Plan Energi 2011'!AL$39+' Plan Energi 2011'!AL$43+' Plan Energi 2011'!AL$52+' Plan Energi 2011'!AL$55+' Plan Energi 2011'!AL$62+' Plan Energi 2011'!AL$71,1)</f>
        <v>0.84428002689278991</v>
      </c>
      <c r="K139" s="650"/>
      <c r="L139" s="650">
        <f>' Plan Energi 2013'!AL$62/IF(' Plan Energi 2013'!AL$39+' Plan Energi 2013'!AL$43+' Plan Energi 2013'!AL$52+' Plan Energi 2013'!AL$55+' Plan Energi 2013'!AL$62+' Plan Energi 2013'!AL$71&gt;0,' Plan Energi 2013'!AL$39+' Plan Energi 2013'!AL$43+' Plan Energi 2013'!AL$52+' Plan Energi 2013'!AL$55+' Plan Energi 2013'!AL$62+' Plan Energi 2013'!AL$71,1)</f>
        <v>0.84952884213808333</v>
      </c>
      <c r="M139" s="650"/>
      <c r="N139" s="650">
        <f>' Plan Energi 2015'!AL$62/IF(' Plan Energi 2015'!AL$39+' Plan Energi 2015'!AL$43+' Plan Energi 2015'!AL$52+' Plan Energi 2015'!AL$55+' Plan Energi 2015'!AL$62+' Plan Energi 2015'!AL$71&gt;0,' Plan Energi 2015'!AL$39+' Plan Energi 2015'!AL$43+' Plan Energi 2015'!AL$52+' Plan Energi 2015'!AL$55+' Plan Energi 2015'!AL$62+' Plan Energi 2015'!AL$71,1)</f>
        <v>0.80918601530058065</v>
      </c>
      <c r="O139" s="650"/>
      <c r="P139" s="650">
        <f>' Plan Energi 2017'!AL$62/IF(' Plan Energi 2017'!AL$39+' Plan Energi 2017'!AL$43+' Plan Energi 2017'!AL$52+' Plan Energi 2017'!AL$55+' Plan Energi 2017'!AL$62+' Plan Energi 2017'!AL$71&gt;0,' Plan Energi 2017'!AL$39+' Plan Energi 2017'!AL$43+' Plan Energi 2017'!AL$52+' Plan Energi 2017'!AL$55+' Plan Energi 2017'!AL$62+' Plan Energi 2017'!AL$71,1)</f>
        <v>0.81418118308542331</v>
      </c>
      <c r="Q139" s="650"/>
      <c r="R139" s="650">
        <f>' Plan Energi 2019'!AL$62/IF(' Plan Energi 2019'!AL$39+' Plan Energi 2019'!AL$43+' Plan Energi 2019'!AL$52+' Plan Energi 2019'!AL$55+' Plan Energi 2019'!AL$62+' Plan Energi 2019'!AL$71&gt;0,' Plan Energi 2019'!AL$39+' Plan Energi 2019'!AL$43+' Plan Energi 2019'!AL$52+' Plan Energi 2019'!AL$55+' Plan Energi 2019'!AL$62+' Plan Energi 2019'!AL$71,1)</f>
        <v>0.81418118308542331</v>
      </c>
      <c r="S139" s="650"/>
      <c r="T139" s="727">
        <f>Fjernvarme!J11</f>
        <v>0.81422293248102273</v>
      </c>
      <c r="U139" s="650"/>
      <c r="V139" s="727">
        <f>Fjernvarme!L11</f>
        <v>0.81422293248102273</v>
      </c>
      <c r="W139" s="650"/>
      <c r="X139" s="604"/>
    </row>
    <row r="140" spans="1:24" x14ac:dyDescent="0.25">
      <c r="A140" s="604" t="s">
        <v>493</v>
      </c>
      <c r="B140" s="650">
        <f>' Plan Energi 2030-S'!AL$71/IF(' Plan Energi 2030-S'!AL$39+' Plan Energi 2030-S'!AL$43+' Plan Energi 2030-S'!AL$52+' Plan Energi 2030-S'!AL$55+' Plan Energi 2030-S'!AL$62+' Plan Energi 2030-S'!AL$71&gt;0,' Plan Energi 2030-S'!AL$39+' Plan Energi 2030-S'!AL$43+' Plan Energi 2030-S'!AL$52+' Plan Energi 2030-S'!AL$55+' Plan Energi 2030-S'!AL$62+' Plan Energi 2030-S'!AL$71,1)</f>
        <v>0.18577706751897724</v>
      </c>
      <c r="C140" s="650"/>
      <c r="D140" s="650">
        <f>' Plan Energi 2006'!AL$71/IF(' Plan Energi 2006'!AL$39+' Plan Energi 2006'!AL$43+' Plan Energi 2006'!AL$52+' Plan Energi 2006'!AL$55+' Plan Energi 2006'!AL$62+' Plan Energi 2006'!AL$71&gt;0,' Plan Energi 2006'!AL$39+' Plan Energi 2006'!AL$43+' Plan Energi 2006'!AL$52+' Plan Energi 2006'!AL$55+' Plan Energi 2006'!AL$62+' Plan Energi 2006'!AL$71,1)</f>
        <v>0.19798501191293402</v>
      </c>
      <c r="E140" s="650"/>
      <c r="F140" s="650">
        <f>' Plan Energi 2008'!AL$71/IF(' Plan Energi 2008'!AL$39+' Plan Energi 2008'!AL$43+' Plan Energi 2008'!AL$52+' Plan Energi 2008'!AL$55+' Plan Energi 2008'!AL$62+' Plan Energi 2008'!AL$71&gt;0,' Plan Energi 2008'!AL$39+' Plan Energi 2008'!AL$43+' Plan Energi 2008'!AL$52+' Plan Energi 2008'!AL$55+' Plan Energi 2008'!AL$62+' Plan Energi 2008'!AL$71,1)</f>
        <v>0.17031685706723423</v>
      </c>
      <c r="G140" s="650"/>
      <c r="H140" s="650">
        <f>' Plan Energi 2009'!AL$71/IF(' Plan Energi 2009'!AL$39+' Plan Energi 2009'!AL$43+' Plan Energi 2009'!AL$52+' Plan Energi 2009'!AL$55+' Plan Energi 2009'!AL$62+' Plan Energi 2009'!AL$71&gt;0,' Plan Energi 2009'!AL$39+' Plan Energi 2009'!AL$43+' Plan Energi 2009'!AL$52+' Plan Energi 2009'!AL$55+' Plan Energi 2009'!AL$62+' Plan Energi 2009'!AL$71,1)</f>
        <v>0.1597014243170721</v>
      </c>
      <c r="I140" s="650"/>
      <c r="J140" s="650">
        <f>' Plan Energi 2011'!AL$71/IF(' Plan Energi 2011'!AL$39+' Plan Energi 2011'!AL$43+' Plan Energi 2011'!AL$52+' Plan Energi 2011'!AL$55+' Plan Energi 2011'!AL$62+' Plan Energi 2011'!AL$71&gt;0,' Plan Energi 2011'!AL$39+' Plan Energi 2011'!AL$43+' Plan Energi 2011'!AL$52+' Plan Energi 2011'!AL$55+' Plan Energi 2011'!AL$62+' Plan Energi 2011'!AL$71,1)</f>
        <v>0.15571997310721003</v>
      </c>
      <c r="K140" s="650"/>
      <c r="L140" s="650">
        <f>' Plan Energi 2013'!AL$71/IF(' Plan Energi 2013'!AL$39+' Plan Energi 2013'!AL$43+' Plan Energi 2013'!AL$52+' Plan Energi 2013'!AL$55+' Plan Energi 2013'!AL$62+' Plan Energi 2013'!AL$71&gt;0,' Plan Energi 2013'!AL$39+' Plan Energi 2013'!AL$43+' Plan Energi 2013'!AL$52+' Plan Energi 2013'!AL$55+' Plan Energi 2013'!AL$62+' Plan Energi 2013'!AL$71,1)</f>
        <v>0.15047115786191656</v>
      </c>
      <c r="M140" s="650"/>
      <c r="N140" s="650">
        <f>' Plan Energi 2015'!AL$71/IF(' Plan Energi 2015'!AL$39+' Plan Energi 2015'!AL$43+' Plan Energi 2015'!AL$52+' Plan Energi 2015'!AL$55+' Plan Energi 2015'!AL$62+' Plan Energi 2015'!AL$71&gt;0,' Plan Energi 2015'!AL$39+' Plan Energi 2015'!AL$43+' Plan Energi 2015'!AL$52+' Plan Energi 2015'!AL$55+' Plan Energi 2015'!AL$62+' Plan Energi 2015'!AL$71,1)</f>
        <v>0.19081398469941935</v>
      </c>
      <c r="O140" s="650"/>
      <c r="P140" s="650">
        <f>' Plan Energi 2017'!AL$71/IF(' Plan Energi 2017'!AL$39+' Plan Energi 2017'!AL$43+' Plan Energi 2017'!AL$52+' Plan Energi 2017'!AL$55+' Plan Energi 2017'!AL$62+' Plan Energi 2017'!AL$71&gt;0,' Plan Energi 2017'!AL$39+' Plan Energi 2017'!AL$43+' Plan Energi 2017'!AL$52+' Plan Energi 2017'!AL$55+' Plan Energi 2017'!AL$62+' Plan Energi 2017'!AL$71,1)</f>
        <v>0.18581881691457658</v>
      </c>
      <c r="Q140" s="650"/>
      <c r="R140" s="650">
        <f>' Plan Energi 2019'!AL$71/IF(' Plan Energi 2019'!AL$39+' Plan Energi 2019'!AL$43+' Plan Energi 2019'!AL$52+' Plan Energi 2019'!AL$55+' Plan Energi 2019'!AL$62+' Plan Energi 2019'!AL$71&gt;0,' Plan Energi 2019'!AL$39+' Plan Energi 2019'!AL$43+' Plan Energi 2019'!AL$52+' Plan Energi 2019'!AL$55+' Plan Energi 2019'!AL$62+' Plan Energi 2019'!AL$71,1)</f>
        <v>0.18581881691457658</v>
      </c>
      <c r="S140" s="650"/>
      <c r="T140" s="727">
        <f>Fjernvarme!J12</f>
        <v>0.18577706751897727</v>
      </c>
      <c r="U140" s="650"/>
      <c r="V140" s="727">
        <f>Fjernvarme!L12</f>
        <v>0.18577706751897727</v>
      </c>
      <c r="W140" s="650"/>
      <c r="X140" s="604"/>
    </row>
    <row r="141" spans="1:24" x14ac:dyDescent="0.25">
      <c r="A141" s="629" t="s">
        <v>266</v>
      </c>
      <c r="B141" s="649">
        <f>B142+B146+B149</f>
        <v>4.5</v>
      </c>
      <c r="C141" s="650"/>
      <c r="D141" s="649">
        <f>D142+D146+D149</f>
        <v>12.122708360400001</v>
      </c>
      <c r="E141" s="650"/>
      <c r="F141" s="649">
        <f>F142+F146+F149</f>
        <v>11.6748467244</v>
      </c>
      <c r="G141" s="650">
        <f t="shared" ref="G141:Q149" si="51">(F141-D141)/IF(D141&gt;0,D141,1)/(F$1-D$1)</f>
        <v>-1.8472012304733158E-2</v>
      </c>
      <c r="H141" s="649">
        <f>H142+H146+H149</f>
        <v>10.0481584572</v>
      </c>
      <c r="I141" s="650">
        <f t="shared" si="51"/>
        <v>-0.13933273006490798</v>
      </c>
      <c r="J141" s="649">
        <f>J142+J146+J149</f>
        <v>9.0648733193819986</v>
      </c>
      <c r="K141" s="650">
        <f t="shared" si="51"/>
        <v>-4.8928624185530671E-2</v>
      </c>
      <c r="L141" s="649">
        <f>L142+L146+L149</f>
        <v>8.7245768240568005</v>
      </c>
      <c r="M141" s="650">
        <f t="shared" si="51"/>
        <v>-1.8770063482166675E-2</v>
      </c>
      <c r="N141" s="649">
        <f>N142+N146+N149</f>
        <v>7.3854557589200009</v>
      </c>
      <c r="O141" s="650">
        <f t="shared" si="51"/>
        <v>-7.6744184396678156E-2</v>
      </c>
      <c r="P141" s="649">
        <f>P142+P146+P149</f>
        <v>4.5</v>
      </c>
      <c r="Q141" s="650">
        <f t="shared" si="51"/>
        <v>-0.19534716970140989</v>
      </c>
      <c r="R141" s="649">
        <f>R142+R146+R149</f>
        <v>4.5</v>
      </c>
      <c r="S141" s="650">
        <f t="shared" ref="S141:S149" si="52">(R141-P141)/IF(P141&gt;0,P141,1)/IF(R$1-P$1&gt;0,R$1-P$1,1)</f>
        <v>0</v>
      </c>
      <c r="T141" s="649">
        <f>T142+T146+T149</f>
        <v>4.5</v>
      </c>
      <c r="U141" s="650">
        <f>(T141-Nøgletal!P141)/IF(Nøgletal!P141&gt;0,Nøgletal!P141,1)/(T$1-Nøgletal!P$1)</f>
        <v>0</v>
      </c>
      <c r="V141" s="649">
        <f>V142+V146+V149</f>
        <v>4.6865359340236132</v>
      </c>
      <c r="W141" s="650">
        <f>(V141-Nøgletal!P141)/IF(T141&gt;0,T141,1)/(V$1-Nøgletal!P$1)</f>
        <v>3.1886484448480894E-3</v>
      </c>
      <c r="X141" s="604"/>
    </row>
    <row r="142" spans="1:24" x14ac:dyDescent="0.25">
      <c r="A142" s="631" t="s">
        <v>485</v>
      </c>
      <c r="B142" s="649">
        <f>SUM(B143:B145)</f>
        <v>4.5</v>
      </c>
      <c r="C142" s="650"/>
      <c r="D142" s="649">
        <f>SUM(D143:D145)</f>
        <v>12.122708360400001</v>
      </c>
      <c r="E142" s="650"/>
      <c r="F142" s="649">
        <f>SUM(F143:F145)</f>
        <v>11.6748467244</v>
      </c>
      <c r="G142" s="650">
        <f t="shared" si="51"/>
        <v>-1.8472012304733158E-2</v>
      </c>
      <c r="H142" s="649">
        <f>SUM(H143:H145)</f>
        <v>10.0481584572</v>
      </c>
      <c r="I142" s="650">
        <f t="shared" si="51"/>
        <v>-0.13933273006490798</v>
      </c>
      <c r="J142" s="649">
        <f>SUM(J143:J145)</f>
        <v>9.0648733193819986</v>
      </c>
      <c r="K142" s="650">
        <f t="shared" si="51"/>
        <v>-4.8928624185530671E-2</v>
      </c>
      <c r="L142" s="649">
        <f>SUM(L143:L145)</f>
        <v>8.7245768240568005</v>
      </c>
      <c r="M142" s="650">
        <f t="shared" si="51"/>
        <v>-1.8770063482166675E-2</v>
      </c>
      <c r="N142" s="649">
        <f>SUM(N143:N145)</f>
        <v>7.3854557589200009</v>
      </c>
      <c r="O142" s="650">
        <f t="shared" si="51"/>
        <v>-7.6744184396678156E-2</v>
      </c>
      <c r="P142" s="649">
        <f>SUM(P143:P145)</f>
        <v>4.5</v>
      </c>
      <c r="Q142" s="650">
        <f t="shared" si="51"/>
        <v>-0.19534716970140989</v>
      </c>
      <c r="R142" s="649">
        <f>SUM(R143:R145)</f>
        <v>4.5</v>
      </c>
      <c r="S142" s="650">
        <f t="shared" si="52"/>
        <v>0</v>
      </c>
      <c r="T142" s="649">
        <f>'Bolig, Service, Handel, Byg'!L81</f>
        <v>4.5</v>
      </c>
      <c r="U142" s="724">
        <f>'Bolig, Service, Handel, Byg'!M81</f>
        <v>0</v>
      </c>
      <c r="V142" s="649">
        <f>'Bolig, Service, Handel, Byg'!N81</f>
        <v>4.6865359340236132</v>
      </c>
      <c r="W142" s="725">
        <f>'Bolig, Service, Handel, Byg'!O81</f>
        <v>3.1292170374361827E-3</v>
      </c>
      <c r="X142" s="604"/>
    </row>
    <row r="143" spans="1:24" ht="15" customHeight="1" x14ac:dyDescent="0.25">
      <c r="A143" s="604" t="s">
        <v>305</v>
      </c>
      <c r="B143" s="649">
        <f>' Plan Energi 2030-S'!AM11</f>
        <v>0.2</v>
      </c>
      <c r="C143" s="650"/>
      <c r="D143" s="649">
        <f>' Plan Energi 2006'!AM11</f>
        <v>0.41280505200000001</v>
      </c>
      <c r="E143" s="650"/>
      <c r="F143" s="649">
        <f>' Plan Energi 2008'!AM11</f>
        <v>0.39755437199999993</v>
      </c>
      <c r="G143" s="650">
        <f t="shared" si="51"/>
        <v>-1.8472012304733217E-2</v>
      </c>
      <c r="H143" s="649">
        <f>' Plan Energi 2009'!AM11</f>
        <v>0.342162036</v>
      </c>
      <c r="I143" s="650">
        <f t="shared" si="51"/>
        <v>-0.13933273006490779</v>
      </c>
      <c r="J143" s="649">
        <f>' Plan Energi 2011'!AM11</f>
        <v>0.30867900065999998</v>
      </c>
      <c r="K143" s="650">
        <f t="shared" si="51"/>
        <v>-4.8928624185530657E-2</v>
      </c>
      <c r="L143" s="649">
        <f>' Plan Energi 2013'!AM11</f>
        <v>0.29709115178400003</v>
      </c>
      <c r="M143" s="650">
        <f t="shared" si="51"/>
        <v>-1.8770063482166699E-2</v>
      </c>
      <c r="N143" s="649">
        <f>' Plan Energi 2015'!AM11</f>
        <v>0.29709115178400003</v>
      </c>
      <c r="O143" s="650">
        <f t="shared" si="51"/>
        <v>0</v>
      </c>
      <c r="P143" s="649">
        <f>' Plan Energi 2017'!AM11</f>
        <v>0.2</v>
      </c>
      <c r="Q143" s="650">
        <f t="shared" si="51"/>
        <v>-0.16340296774403784</v>
      </c>
      <c r="R143" s="649">
        <f>' Plan Energi 2019'!AM11</f>
        <v>0.2</v>
      </c>
      <c r="S143" s="650">
        <f t="shared" si="52"/>
        <v>0</v>
      </c>
      <c r="T143" s="649">
        <f>'Bolig, Service, Handel, Byg'!L82</f>
        <v>0.2</v>
      </c>
      <c r="U143" s="724">
        <f>'Bolig, Service, Handel, Byg'!M82</f>
        <v>0</v>
      </c>
      <c r="V143" s="649">
        <f>'Bolig, Service, Handel, Byg'!N82</f>
        <v>0.20829048595660504</v>
      </c>
      <c r="W143" s="725">
        <f>'Bolig, Service, Handel, Byg'!O82</f>
        <v>3.1292170374361827E-3</v>
      </c>
      <c r="X143" s="604"/>
    </row>
    <row r="144" spans="1:24" ht="15" customHeight="1" x14ac:dyDescent="0.25">
      <c r="A144" s="604" t="s">
        <v>309</v>
      </c>
      <c r="B144" s="649">
        <f>' Plan Energi 2030-S'!AM12</f>
        <v>0.6</v>
      </c>
      <c r="C144" s="650"/>
      <c r="D144" s="649">
        <f>' Plan Energi 2006'!AM12</f>
        <v>1.6512202080000002</v>
      </c>
      <c r="E144" s="650"/>
      <c r="F144" s="649">
        <f>' Plan Energi 2008'!AM12</f>
        <v>1.5902174880000002</v>
      </c>
      <c r="G144" s="650">
        <f t="shared" si="51"/>
        <v>-1.8472012304733148E-2</v>
      </c>
      <c r="H144" s="649">
        <f>' Plan Energi 2009'!AM12</f>
        <v>1.3686481440000002</v>
      </c>
      <c r="I144" s="650">
        <f t="shared" si="51"/>
        <v>-0.1393327300649079</v>
      </c>
      <c r="J144" s="649">
        <f>' Plan Energi 2011'!AM12</f>
        <v>1.2347160026400001</v>
      </c>
      <c r="K144" s="650">
        <f t="shared" si="51"/>
        <v>-4.892862418553065E-2</v>
      </c>
      <c r="L144" s="649">
        <f>' Plan Energi 2013'!AM12</f>
        <v>1.1883646071360003</v>
      </c>
      <c r="M144" s="650">
        <f t="shared" si="51"/>
        <v>-1.8770063482166695E-2</v>
      </c>
      <c r="N144" s="649">
        <f>' Plan Energi 2015'!AM12</f>
        <v>1.1883646071360003</v>
      </c>
      <c r="O144" s="650">
        <f t="shared" si="51"/>
        <v>0</v>
      </c>
      <c r="P144" s="649">
        <f>' Plan Energi 2017'!AM12</f>
        <v>0.6</v>
      </c>
      <c r="Q144" s="650">
        <f t="shared" si="51"/>
        <v>-0.24755222580802846</v>
      </c>
      <c r="R144" s="649">
        <f>' Plan Energi 2019'!AM12</f>
        <v>0.6</v>
      </c>
      <c r="S144" s="650">
        <f t="shared" si="52"/>
        <v>0</v>
      </c>
      <c r="T144" s="649">
        <f>'Bolig, Service, Handel, Byg'!L83</f>
        <v>0.6</v>
      </c>
      <c r="U144" s="724">
        <f>'Bolig, Service, Handel, Byg'!M83</f>
        <v>0</v>
      </c>
      <c r="V144" s="649">
        <f>'Bolig, Service, Handel, Byg'!N83</f>
        <v>0.62487145786981513</v>
      </c>
      <c r="W144" s="725">
        <f>'Bolig, Service, Handel, Byg'!O83</f>
        <v>3.1292170374361827E-3</v>
      </c>
      <c r="X144" s="604"/>
    </row>
    <row r="145" spans="1:24" ht="15" customHeight="1" x14ac:dyDescent="0.25">
      <c r="A145" s="604" t="s">
        <v>290</v>
      </c>
      <c r="B145" s="649">
        <f>' Plan Energi 2030-S'!AM13</f>
        <v>3.7</v>
      </c>
      <c r="C145" s="650"/>
      <c r="D145" s="649">
        <f>' Plan Energi 2006'!AM13</f>
        <v>10.0586831004</v>
      </c>
      <c r="E145" s="650"/>
      <c r="F145" s="649">
        <f>' Plan Energi 2008'!AM13</f>
        <v>9.6870748643999995</v>
      </c>
      <c r="G145" s="650">
        <f t="shared" si="51"/>
        <v>-1.8472012304733137E-2</v>
      </c>
      <c r="H145" s="649">
        <f>' Plan Energi 2009'!AM13</f>
        <v>8.3373482772000003</v>
      </c>
      <c r="I145" s="650">
        <f t="shared" si="51"/>
        <v>-0.13933273006490787</v>
      </c>
      <c r="J145" s="649">
        <f>' Plan Energi 2011'!AM13</f>
        <v>7.5214783160819989</v>
      </c>
      <c r="K145" s="650">
        <f t="shared" si="51"/>
        <v>-4.8928624185530706E-2</v>
      </c>
      <c r="L145" s="649">
        <f>' Plan Energi 2013'!AM13</f>
        <v>7.2391210651367999</v>
      </c>
      <c r="M145" s="650">
        <f t="shared" si="51"/>
        <v>-1.8770063482166713E-2</v>
      </c>
      <c r="N145" s="649">
        <f>' Plan Energi 2015'!AM13</f>
        <v>5.9</v>
      </c>
      <c r="O145" s="650">
        <f t="shared" si="51"/>
        <v>-9.249196505263127E-2</v>
      </c>
      <c r="P145" s="649">
        <f>' Plan Energi 2017'!AM13</f>
        <v>3.7</v>
      </c>
      <c r="Q145" s="650">
        <f t="shared" si="51"/>
        <v>-0.1864406779661017</v>
      </c>
      <c r="R145" s="649">
        <f>' Plan Energi 2019'!AM13</f>
        <v>3.7</v>
      </c>
      <c r="S145" s="650">
        <f t="shared" si="52"/>
        <v>0</v>
      </c>
      <c r="T145" s="649">
        <f>'Bolig, Service, Handel, Byg'!L84</f>
        <v>3.7</v>
      </c>
      <c r="U145" s="724">
        <f>'Bolig, Service, Handel, Byg'!M84</f>
        <v>0</v>
      </c>
      <c r="V145" s="649">
        <f>'Bolig, Service, Handel, Byg'!N84</f>
        <v>3.8533739901971935</v>
      </c>
      <c r="W145" s="725">
        <f>'Bolig, Service, Handel, Byg'!O84</f>
        <v>3.1292170374361827E-3</v>
      </c>
      <c r="X145" s="604"/>
    </row>
    <row r="146" spans="1:24" x14ac:dyDescent="0.25">
      <c r="A146" s="631" t="s">
        <v>345</v>
      </c>
      <c r="B146" s="649">
        <f>' Plan Energi 2030-S'!AM16</f>
        <v>0</v>
      </c>
      <c r="C146" s="650"/>
      <c r="D146" s="649">
        <f>' Plan Energi 2006'!AM16</f>
        <v>0</v>
      </c>
      <c r="E146" s="650"/>
      <c r="F146" s="649">
        <f>' Plan Energi 2008'!AM16</f>
        <v>0</v>
      </c>
      <c r="G146" s="650">
        <f t="shared" si="51"/>
        <v>0</v>
      </c>
      <c r="H146" s="649">
        <f>' Plan Energi 2009'!AM16</f>
        <v>0</v>
      </c>
      <c r="I146" s="650">
        <f t="shared" si="51"/>
        <v>0</v>
      </c>
      <c r="J146" s="649">
        <f>' Plan Energi 2011'!AM16</f>
        <v>0</v>
      </c>
      <c r="K146" s="650">
        <f t="shared" si="51"/>
        <v>0</v>
      </c>
      <c r="L146" s="649">
        <f>' Plan Energi 2013'!AM16</f>
        <v>0</v>
      </c>
      <c r="M146" s="650">
        <f t="shared" si="51"/>
        <v>0</v>
      </c>
      <c r="N146" s="649">
        <f>' Plan Energi 2015'!AM16</f>
        <v>0</v>
      </c>
      <c r="O146" s="650">
        <f t="shared" si="51"/>
        <v>0</v>
      </c>
      <c r="P146" s="649">
        <f>' Plan Energi 2017'!AM16</f>
        <v>0</v>
      </c>
      <c r="Q146" s="650">
        <f t="shared" si="51"/>
        <v>0</v>
      </c>
      <c r="R146" s="649">
        <f>' Plan Energi 2019'!AM16</f>
        <v>0</v>
      </c>
      <c r="S146" s="650">
        <f t="shared" si="52"/>
        <v>0</v>
      </c>
      <c r="T146" s="649">
        <f>'Bolig, Service, Handel, Byg'!L85</f>
        <v>0</v>
      </c>
      <c r="U146" s="724">
        <f>'Bolig, Service, Handel, Byg'!M85</f>
        <v>0</v>
      </c>
      <c r="V146" s="649">
        <f>'Bolig, Service, Handel, Byg'!N85</f>
        <v>0</v>
      </c>
      <c r="W146" s="725">
        <f>'Bolig, Service, Handel, Byg'!O85</f>
        <v>0</v>
      </c>
      <c r="X146" s="604"/>
    </row>
    <row r="147" spans="1:24" x14ac:dyDescent="0.25">
      <c r="A147" s="631" t="s">
        <v>526</v>
      </c>
      <c r="B147" s="649">
        <f>' Plan Energi 2030-S'!AM$14+SUM(' Plan Energi 2030-S'!AM$17:AM$22)+' Plan Energi 2030-S'!AM$10+' Plan Energi 2030-S'!AM$9</f>
        <v>0</v>
      </c>
      <c r="C147" s="650"/>
      <c r="D147" s="649">
        <f>' Plan Energi 2006'!AM$14+SUM(' Plan Energi 2006'!AM$17:AM$22)+' Plan Energi 2006'!AM$10+' Plan Energi 2006'!AM$9</f>
        <v>0</v>
      </c>
      <c r="E147" s="650"/>
      <c r="F147" s="649">
        <f>' Plan Energi 2008'!AM$14+SUM(' Plan Energi 2008'!AM$17:AM$22)+' Plan Energi 2008'!AM$10+' Plan Energi 2008'!AM$9</f>
        <v>0</v>
      </c>
      <c r="G147" s="650">
        <f t="shared" si="51"/>
        <v>0</v>
      </c>
      <c r="H147" s="649">
        <f>' Plan Energi 2009'!AM$14+SUM(' Plan Energi 2009'!AM$17:AM$22)+' Plan Energi 2009'!AM$10+' Plan Energi 2009'!AM$9</f>
        <v>0</v>
      </c>
      <c r="I147" s="650">
        <f t="shared" si="51"/>
        <v>0</v>
      </c>
      <c r="J147" s="649">
        <f>' Plan Energi 2011'!AM$14+SUM(' Plan Energi 2011'!AM$17:AM$22)+' Plan Energi 2011'!AM$10+' Plan Energi 2011'!AM$9</f>
        <v>0</v>
      </c>
      <c r="K147" s="650">
        <f t="shared" si="51"/>
        <v>0</v>
      </c>
      <c r="L147" s="649">
        <f>' Plan Energi 2013'!AM$14+SUM(' Plan Energi 2013'!AM$17:AM$22)+' Plan Energi 2013'!AM$10+' Plan Energi 2013'!AM$9</f>
        <v>0</v>
      </c>
      <c r="M147" s="650">
        <f t="shared" si="51"/>
        <v>0</v>
      </c>
      <c r="N147" s="649">
        <f>' Plan Energi 2015'!AM$14+SUM(' Plan Energi 2015'!AM$17:AM$22)+' Plan Energi 2015'!AM$10+' Plan Energi 2015'!AM$9</f>
        <v>0</v>
      </c>
      <c r="O147" s="650">
        <f t="shared" si="51"/>
        <v>0</v>
      </c>
      <c r="P147" s="649">
        <f>' Plan Energi 2017'!AM$14+SUM(' Plan Energi 2017'!AM$17:AM$22)+' Plan Energi 2017'!AM$10+' Plan Energi 2017'!AM$9</f>
        <v>0</v>
      </c>
      <c r="Q147" s="650">
        <f t="shared" si="51"/>
        <v>0</v>
      </c>
      <c r="R147" s="649">
        <f>' Plan Energi 2019'!AM$14+SUM(' Plan Energi 2019'!AM$17:AM$22)+' Plan Energi 2019'!AM$10+' Plan Energi 2019'!AM$9</f>
        <v>0</v>
      </c>
      <c r="S147" s="650">
        <f t="shared" si="52"/>
        <v>0</v>
      </c>
      <c r="T147" s="649">
        <f>'Bolig, Service, Handel, Byg'!L86</f>
        <v>0</v>
      </c>
      <c r="U147" s="724">
        <f>'Bolig, Service, Handel, Byg'!M86</f>
        <v>0</v>
      </c>
      <c r="V147" s="649">
        <f>'Bolig, Service, Handel, Byg'!N86</f>
        <v>0</v>
      </c>
      <c r="W147" s="725">
        <f>'Bolig, Service, Handel, Byg'!O86</f>
        <v>5.2185414599590363E-3</v>
      </c>
      <c r="X147" s="604"/>
    </row>
    <row r="148" spans="1:24" x14ac:dyDescent="0.25">
      <c r="A148" s="631" t="s">
        <v>28</v>
      </c>
      <c r="B148" s="649">
        <f>' Plan Energi 2030-S'!AM$39+' Plan Energi 2030-S'!AM$43+' Plan Energi 2030-S'!$AM$52+' Plan Energi 2030-S'!AM$55+' Plan Energi 2030-S'!AM$62+' Plan Energi 2030-S'!AM$71</f>
        <v>0</v>
      </c>
      <c r="C148" s="650"/>
      <c r="D148" s="649">
        <f>' Plan Energi 2006'!AM$39+' Plan Energi 2006'!AM$43+' Plan Energi 2006'!$AM$52+' Plan Energi 2006'!AM$55+' Plan Energi 2006'!AM$62+' Plan Energi 2006'!AM$71</f>
        <v>0</v>
      </c>
      <c r="E148" s="650"/>
      <c r="F148" s="649">
        <f>' Plan Energi 2008'!AM$39+' Plan Energi 2008'!AM$43+' Plan Energi 2008'!$AM$52+' Plan Energi 2008'!AM$55+' Plan Energi 2008'!AM$62+' Plan Energi 2008'!AM$71</f>
        <v>0</v>
      </c>
      <c r="G148" s="650">
        <f t="shared" si="51"/>
        <v>0</v>
      </c>
      <c r="H148" s="649">
        <f>' Plan Energi 2009'!AM$39+' Plan Energi 2009'!AM$43+' Plan Energi 2009'!$AM$52+' Plan Energi 2009'!AM$55+' Plan Energi 2009'!AM$62+' Plan Energi 2009'!AM$71</f>
        <v>0</v>
      </c>
      <c r="I148" s="650">
        <f t="shared" si="51"/>
        <v>0</v>
      </c>
      <c r="J148" s="649">
        <f>' Plan Energi 2011'!AM$39+' Plan Energi 2011'!AM$43+' Plan Energi 2011'!$AM$52+' Plan Energi 2011'!AM$55+' Plan Energi 2011'!AM$62+' Plan Energi 2011'!AM$71</f>
        <v>0</v>
      </c>
      <c r="K148" s="650">
        <f t="shared" si="51"/>
        <v>0</v>
      </c>
      <c r="L148" s="649">
        <f>' Plan Energi 2013'!AM$39+' Plan Energi 2013'!AM$43+' Plan Energi 2013'!$AM$52+' Plan Energi 2013'!AM$55+' Plan Energi 2013'!AM$62+' Plan Energi 2013'!AM$71</f>
        <v>0</v>
      </c>
      <c r="M148" s="650">
        <f t="shared" si="51"/>
        <v>0</v>
      </c>
      <c r="N148" s="649">
        <f>' Plan Energi 2015'!AM$39+' Plan Energi 2015'!AM$43+' Plan Energi 2015'!$AM$52+' Plan Energi 2015'!AM$55+' Plan Energi 2015'!AM$62+' Plan Energi 2015'!AM$71</f>
        <v>0</v>
      </c>
      <c r="O148" s="650">
        <f t="shared" si="51"/>
        <v>0</v>
      </c>
      <c r="P148" s="649">
        <f>' Plan Energi 2017'!AM$39+' Plan Energi 2017'!AM$43+' Plan Energi 2017'!$AM$52+' Plan Energi 2017'!AM$55+' Plan Energi 2017'!AM$62+' Plan Energi 2017'!AM$71</f>
        <v>0</v>
      </c>
      <c r="Q148" s="650">
        <f t="shared" si="51"/>
        <v>0</v>
      </c>
      <c r="R148" s="649">
        <f>' Plan Energi 2019'!AM$39+' Plan Energi 2019'!AM$43+' Plan Energi 2019'!$AM$52+' Plan Energi 2019'!AM$55+' Plan Energi 2019'!AM$62+' Plan Energi 2019'!AM$71</f>
        <v>0</v>
      </c>
      <c r="S148" s="650">
        <f t="shared" si="52"/>
        <v>0</v>
      </c>
      <c r="T148" s="649">
        <f>Fjernvarmeprognose!R14</f>
        <v>0</v>
      </c>
      <c r="U148" s="724">
        <f>Fjernvarmeprognose!S14</f>
        <v>0</v>
      </c>
      <c r="V148" s="649">
        <f>'Bolig, Service, Handel, Byg'!N87</f>
        <v>0</v>
      </c>
      <c r="W148" s="725">
        <f>Fjernvarmeprognose!U14</f>
        <v>0</v>
      </c>
      <c r="X148" s="604"/>
    </row>
    <row r="149" spans="1:24" x14ac:dyDescent="0.25">
      <c r="A149" s="631" t="s">
        <v>486</v>
      </c>
      <c r="B149" s="649">
        <f>B147+B148</f>
        <v>0</v>
      </c>
      <c r="C149" s="650"/>
      <c r="D149" s="649">
        <f>D147+D148</f>
        <v>0</v>
      </c>
      <c r="E149" s="650"/>
      <c r="F149" s="649">
        <f>F147+F148</f>
        <v>0</v>
      </c>
      <c r="G149" s="650">
        <f t="shared" si="51"/>
        <v>0</v>
      </c>
      <c r="H149" s="649">
        <f>H147+H148</f>
        <v>0</v>
      </c>
      <c r="I149" s="650">
        <f t="shared" si="51"/>
        <v>0</v>
      </c>
      <c r="J149" s="649">
        <f>J147+J148</f>
        <v>0</v>
      </c>
      <c r="K149" s="650">
        <f t="shared" si="51"/>
        <v>0</v>
      </c>
      <c r="L149" s="649">
        <f>L147+L148</f>
        <v>0</v>
      </c>
      <c r="M149" s="650">
        <f t="shared" si="51"/>
        <v>0</v>
      </c>
      <c r="N149" s="649">
        <f>N147+N148</f>
        <v>0</v>
      </c>
      <c r="O149" s="650">
        <f t="shared" si="51"/>
        <v>0</v>
      </c>
      <c r="P149" s="649">
        <f>P147+P148</f>
        <v>0</v>
      </c>
      <c r="Q149" s="650">
        <f t="shared" si="51"/>
        <v>0</v>
      </c>
      <c r="R149" s="649">
        <f>R147+R148</f>
        <v>0</v>
      </c>
      <c r="S149" s="650">
        <f t="shared" si="52"/>
        <v>0</v>
      </c>
      <c r="T149" s="649">
        <f>T147+T148</f>
        <v>0</v>
      </c>
      <c r="U149" s="650">
        <f>(T149-Nøgletal!P149)/IF(Nøgletal!P149&gt;0,Nøgletal!P149,1)/(T$1-Nøgletal!P$1)</f>
        <v>0</v>
      </c>
      <c r="V149" s="649">
        <f>V147+V148</f>
        <v>0</v>
      </c>
      <c r="W149" s="650">
        <f>(V149-T149)/IF(T149&gt;0,T149,1)/(V$1-T$1)</f>
        <v>0</v>
      </c>
      <c r="X149" s="604"/>
    </row>
    <row r="150" spans="1:24" x14ac:dyDescent="0.25">
      <c r="A150" s="633" t="s">
        <v>487</v>
      </c>
      <c r="B150" s="650">
        <f>B147/IF(B149&gt;0,B149,1)</f>
        <v>0</v>
      </c>
      <c r="C150" s="650"/>
      <c r="D150" s="650">
        <f>D147/IF(D149&gt;0,D149,1)</f>
        <v>0</v>
      </c>
      <c r="E150" s="650"/>
      <c r="F150" s="650">
        <f>F147/IF(F149&gt;0,F149,1)</f>
        <v>0</v>
      </c>
      <c r="G150" s="650"/>
      <c r="H150" s="650">
        <f>H147/IF(H149&gt;0,H149,1)</f>
        <v>0</v>
      </c>
      <c r="I150" s="650"/>
      <c r="J150" s="650">
        <f>J147/IF(J149&gt;0,J149,1)</f>
        <v>0</v>
      </c>
      <c r="K150" s="650"/>
      <c r="L150" s="650">
        <f>L147/IF(L149&gt;0,L149,1)</f>
        <v>0</v>
      </c>
      <c r="M150" s="650"/>
      <c r="N150" s="650">
        <f>N147/IF(N149&gt;0,N149,1)</f>
        <v>0</v>
      </c>
      <c r="O150" s="650"/>
      <c r="P150" s="650">
        <f>P147/IF(P149&gt;0,P149,1)</f>
        <v>0</v>
      </c>
      <c r="Q150" s="650"/>
      <c r="R150" s="650">
        <f>R147/IF(R149&gt;0,R149,1)</f>
        <v>0</v>
      </c>
      <c r="S150" s="650"/>
      <c r="T150" s="650">
        <f>T147/IF(T149&gt;0,T149,1)</f>
        <v>0</v>
      </c>
      <c r="U150" s="650"/>
      <c r="V150" s="650">
        <f>V147/IF(V149&gt;0,V149,1)</f>
        <v>0</v>
      </c>
      <c r="W150" s="650"/>
      <c r="X150" s="604"/>
    </row>
    <row r="151" spans="1:24" x14ac:dyDescent="0.25">
      <c r="A151" s="633" t="s">
        <v>488</v>
      </c>
      <c r="B151" s="650">
        <f>B148/IF(B149&gt;0,B149,1)</f>
        <v>0</v>
      </c>
      <c r="C151" s="650"/>
      <c r="D151" s="650">
        <f>D148/IF(D149&gt;0,D149,1)</f>
        <v>0</v>
      </c>
      <c r="E151" s="650"/>
      <c r="F151" s="650">
        <f>F148/IF(F149&gt;0,F149,1)</f>
        <v>0</v>
      </c>
      <c r="G151" s="650"/>
      <c r="H151" s="650">
        <f>H148/IF(H149&gt;0,H149,1)</f>
        <v>0</v>
      </c>
      <c r="I151" s="650"/>
      <c r="J151" s="650">
        <f>J148/IF(J149&gt;0,J149,1)</f>
        <v>0</v>
      </c>
      <c r="K151" s="650"/>
      <c r="L151" s="650">
        <f>L148/IF(L149&gt;0,L149,1)</f>
        <v>0</v>
      </c>
      <c r="M151" s="650"/>
      <c r="N151" s="650">
        <f>N148/IF(N149&gt;0,N149,1)</f>
        <v>0</v>
      </c>
      <c r="O151" s="650"/>
      <c r="P151" s="650">
        <f>P148/IF(P149&gt;0,P149,1)</f>
        <v>0</v>
      </c>
      <c r="Q151" s="650"/>
      <c r="R151" s="650">
        <f>R148/IF(R149&gt;0,R149,1)</f>
        <v>0</v>
      </c>
      <c r="S151" s="650"/>
      <c r="T151" s="650">
        <f>T148/IF(T149&gt;0,T149,1)</f>
        <v>0</v>
      </c>
      <c r="U151" s="650"/>
      <c r="V151" s="650">
        <f>V148/IF(V149&gt;0,V149,1)</f>
        <v>0</v>
      </c>
      <c r="W151" s="650"/>
      <c r="X151" s="604"/>
    </row>
    <row r="152" spans="1:24" ht="15" customHeight="1" x14ac:dyDescent="0.25">
      <c r="A152" s="633" t="s">
        <v>490</v>
      </c>
      <c r="B152" s="650"/>
      <c r="C152" s="650"/>
      <c r="D152" s="650"/>
      <c r="E152" s="650"/>
      <c r="F152" s="650"/>
      <c r="G152" s="650"/>
      <c r="H152" s="650"/>
      <c r="I152" s="650"/>
      <c r="J152" s="650"/>
      <c r="K152" s="650"/>
      <c r="L152" s="650"/>
      <c r="M152" s="650"/>
      <c r="N152" s="650"/>
      <c r="O152" s="650"/>
      <c r="P152" s="650"/>
      <c r="Q152" s="650"/>
      <c r="R152" s="650"/>
      <c r="S152" s="650"/>
      <c r="T152" s="650"/>
      <c r="U152" s="650"/>
      <c r="V152" s="650"/>
      <c r="W152" s="650"/>
      <c r="X152" s="604"/>
    </row>
    <row r="153" spans="1:24" ht="15" customHeight="1" x14ac:dyDescent="0.25">
      <c r="A153" s="604" t="s">
        <v>344</v>
      </c>
      <c r="B153" s="650">
        <f>' Plan Energi 2030-S'!AM14/IF('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53" s="650"/>
      <c r="D153" s="650">
        <f>' Plan Energi 2006'!AM14/IF('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53" s="650"/>
      <c r="F153" s="650">
        <f>' Plan Energi 2008'!AM14/IF('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53" s="650"/>
      <c r="H153" s="650">
        <f>' Plan Energi 2009'!AM14/IF('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53" s="650"/>
      <c r="J153" s="650">
        <f>' Plan Energi 2011'!AM14/IF('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53" s="650"/>
      <c r="L153" s="650">
        <f>' Plan Energi 2013'!AM14/IF('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53" s="650"/>
      <c r="N153" s="650">
        <f>' Plan Energi 2015'!AM14/IF('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53" s="650"/>
      <c r="P153" s="650">
        <f>' Plan Energi 2017'!AM14/IF('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53" s="650"/>
      <c r="R153" s="650">
        <f>' Plan Energi 2019'!AM14/IF('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53" s="650"/>
      <c r="T153" s="726">
        <f>'Bolig, Service, Handel, Byg'!L89</f>
        <v>0</v>
      </c>
      <c r="U153" s="650"/>
      <c r="V153" s="726">
        <f>'Bolig, Service, Handel, Byg'!N89</f>
        <v>0</v>
      </c>
      <c r="W153" s="650"/>
      <c r="X153" s="604"/>
    </row>
    <row r="154" spans="1:24" ht="15" customHeight="1" x14ac:dyDescent="0.25">
      <c r="A154" s="604" t="s">
        <v>346</v>
      </c>
      <c r="B154" s="650">
        <f>' Plan Energi 2030-S'!AM17/IF('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54" s="650"/>
      <c r="D154" s="650">
        <f>' Plan Energi 2006'!AM17/IF('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54" s="650"/>
      <c r="F154" s="650">
        <f>' Plan Energi 2008'!AM17/IF('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54" s="650"/>
      <c r="H154" s="650">
        <f>' Plan Energi 2009'!AM17/IF('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54" s="650"/>
      <c r="J154" s="650">
        <f>' Plan Energi 2011'!AM17/IF('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54" s="650"/>
      <c r="L154" s="650">
        <f>' Plan Energi 2013'!AM17/IF('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54" s="650"/>
      <c r="N154" s="650">
        <f>' Plan Energi 2015'!AM17/IF('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54" s="650"/>
      <c r="P154" s="650">
        <f>' Plan Energi 2017'!AM17/IF('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54" s="650"/>
      <c r="R154" s="650">
        <f>' Plan Energi 2019'!AM17/IF('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54" s="650"/>
      <c r="T154" s="726">
        <f>'Bolig, Service, Handel, Byg'!L90</f>
        <v>0</v>
      </c>
      <c r="U154" s="650"/>
      <c r="V154" s="726">
        <f>'Bolig, Service, Handel, Byg'!N90</f>
        <v>0.93699515347334417</v>
      </c>
      <c r="W154" s="650"/>
      <c r="X154" s="604"/>
    </row>
    <row r="155" spans="1:24" ht="15" customHeight="1" x14ac:dyDescent="0.25">
      <c r="A155" s="604" t="s">
        <v>347</v>
      </c>
      <c r="B155" s="650">
        <f>' Plan Energi 2030-S'!AM18/IF('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55" s="650"/>
      <c r="D155" s="650">
        <f>' Plan Energi 2006'!AM18/IF('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55" s="650"/>
      <c r="F155" s="650">
        <f>' Plan Energi 2008'!AM18/IF('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55" s="650"/>
      <c r="H155" s="650">
        <f>' Plan Energi 2009'!AM18/IF('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55" s="650"/>
      <c r="J155" s="650">
        <f>' Plan Energi 2011'!AM18/IF('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55" s="650"/>
      <c r="L155" s="650">
        <f>' Plan Energi 2013'!AM18/IF('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55" s="650"/>
      <c r="N155" s="650">
        <f>' Plan Energi 2015'!AM18/IF('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55" s="650"/>
      <c r="P155" s="650">
        <f>' Plan Energi 2017'!AM18/IF('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55" s="650"/>
      <c r="R155" s="650">
        <f>' Plan Energi 2019'!AM18/IF('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55" s="650"/>
      <c r="T155" s="726">
        <f>'Bolig, Service, Handel, Byg'!L91</f>
        <v>0</v>
      </c>
      <c r="U155" s="650"/>
      <c r="V155" s="726">
        <f>'Bolig, Service, Handel, Byg'!N91</f>
        <v>4.6849757673667204E-2</v>
      </c>
      <c r="W155" s="650"/>
      <c r="X155" s="604"/>
    </row>
    <row r="156" spans="1:24" ht="15" customHeight="1" x14ac:dyDescent="0.25">
      <c r="A156" s="604" t="s">
        <v>348</v>
      </c>
      <c r="B156" s="650">
        <f>' Plan Energi 2030-S'!AM19/IF('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56" s="650"/>
      <c r="D156" s="650">
        <f>' Plan Energi 2006'!AM19/IF('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56" s="650"/>
      <c r="F156" s="650">
        <f>' Plan Energi 2008'!AM19/IF('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56" s="650"/>
      <c r="H156" s="650">
        <f>' Plan Energi 2009'!AM19/IF('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56" s="650"/>
      <c r="J156" s="650">
        <f>' Plan Energi 2011'!AM19/IF('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56" s="650"/>
      <c r="L156" s="650">
        <f>' Plan Energi 2013'!AM19/IF('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56" s="650"/>
      <c r="N156" s="650">
        <f>' Plan Energi 2015'!AM19/IF('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56" s="650"/>
      <c r="P156" s="650">
        <f>' Plan Energi 2017'!AM19/IF('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56" s="650"/>
      <c r="R156" s="650">
        <f>' Plan Energi 2019'!AM19/IF('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56" s="650"/>
      <c r="T156" s="726">
        <f>'Bolig, Service, Handel, Byg'!L92</f>
        <v>0</v>
      </c>
      <c r="U156" s="650"/>
      <c r="V156" s="726">
        <f>'Bolig, Service, Handel, Byg'!N92</f>
        <v>1.4539579967689823E-2</v>
      </c>
      <c r="W156" s="650"/>
      <c r="X156" s="604"/>
    </row>
    <row r="157" spans="1:24" ht="15" customHeight="1" x14ac:dyDescent="0.25">
      <c r="A157" s="604" t="s">
        <v>349</v>
      </c>
      <c r="B157" s="650">
        <f>' Plan Energi 2030-S'!AM20/IF('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57" s="650"/>
      <c r="D157" s="650">
        <f>' Plan Energi 2006'!AM20/IF('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57" s="650"/>
      <c r="F157" s="650">
        <f>' Plan Energi 2008'!AM20/IF('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57" s="650"/>
      <c r="H157" s="650">
        <f>' Plan Energi 2009'!AM20/IF('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57" s="650"/>
      <c r="J157" s="650">
        <f>' Plan Energi 2011'!AM20/IF('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57" s="650"/>
      <c r="L157" s="650">
        <f>' Plan Energi 2013'!AM20/IF('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57" s="650"/>
      <c r="N157" s="650">
        <f>' Plan Energi 2015'!AM20/IF('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57" s="650"/>
      <c r="P157" s="650">
        <f>' Plan Energi 2017'!AM20/IF('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57" s="650"/>
      <c r="R157" s="650">
        <f>' Plan Energi 2019'!AM20/IF('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57" s="650"/>
      <c r="T157" s="726">
        <f>'Bolig, Service, Handel, Byg'!L93</f>
        <v>0</v>
      </c>
      <c r="U157" s="650"/>
      <c r="V157" s="726">
        <f>'Bolig, Service, Handel, Byg'!N93</f>
        <v>0</v>
      </c>
      <c r="W157" s="650"/>
      <c r="X157" s="604"/>
    </row>
    <row r="158" spans="1:24" ht="15" customHeight="1" x14ac:dyDescent="0.25">
      <c r="A158" s="604" t="s">
        <v>350</v>
      </c>
      <c r="B158" s="650">
        <f>' Plan Energi 2030-S'!AM21/IF('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58" s="650"/>
      <c r="D158" s="650">
        <f>' Plan Energi 2006'!AM21/IF('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58" s="650"/>
      <c r="F158" s="650">
        <f>' Plan Energi 2008'!AM21/IF('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58" s="650"/>
      <c r="H158" s="650">
        <f>' Plan Energi 2009'!AM21/IF('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58" s="650"/>
      <c r="J158" s="650">
        <f>' Plan Energi 2011'!AM21/IF('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58" s="650"/>
      <c r="L158" s="650">
        <f>' Plan Energi 2013'!AM21/IF('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58" s="650"/>
      <c r="N158" s="650">
        <f>' Plan Energi 2015'!AM21/IF('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58" s="650"/>
      <c r="P158" s="650">
        <f>' Plan Energi 2017'!AM21/IF('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58" s="650"/>
      <c r="R158" s="650">
        <f>' Plan Energi 2019'!AM21/IF('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58" s="650"/>
      <c r="T158" s="726">
        <f>'Bolig, Service, Handel, Byg'!L94</f>
        <v>0</v>
      </c>
      <c r="U158" s="650"/>
      <c r="V158" s="726">
        <f>'Bolig, Service, Handel, Byg'!N94</f>
        <v>0</v>
      </c>
      <c r="W158" s="650"/>
      <c r="X158" s="604"/>
    </row>
    <row r="159" spans="1:24" ht="15" customHeight="1" x14ac:dyDescent="0.25">
      <c r="A159" s="604" t="s">
        <v>331</v>
      </c>
      <c r="B159" s="650">
        <f>' Plan Energi 2030-S'!AM22/IF('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59" s="650"/>
      <c r="D159" s="650">
        <f>' Plan Energi 2006'!AM22/IF('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59" s="650"/>
      <c r="F159" s="650">
        <f>' Plan Energi 2008'!AM22/IF('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59" s="650"/>
      <c r="H159" s="650">
        <f>' Plan Energi 2009'!AM22/IF('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59" s="650"/>
      <c r="J159" s="650">
        <f>' Plan Energi 2011'!AM22/IF('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59" s="650"/>
      <c r="L159" s="650">
        <f>' Plan Energi 2013'!AM22/IF('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59" s="650"/>
      <c r="N159" s="650">
        <f>' Plan Energi 2015'!AM22/IF('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59" s="650"/>
      <c r="P159" s="650">
        <f>' Plan Energi 2017'!AM22/IF('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59" s="650"/>
      <c r="R159" s="650">
        <f>' Plan Energi 2019'!AM22/IF('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59" s="650"/>
      <c r="T159" s="726">
        <f>'Bolig, Service, Handel, Byg'!L95</f>
        <v>0</v>
      </c>
      <c r="U159" s="650"/>
      <c r="V159" s="726">
        <f>'Bolig, Service, Handel, Byg'!N95</f>
        <v>0</v>
      </c>
      <c r="W159" s="650"/>
      <c r="X159" s="604"/>
    </row>
    <row r="160" spans="1:24" ht="15" customHeight="1" x14ac:dyDescent="0.25">
      <c r="A160" s="604" t="s">
        <v>501</v>
      </c>
      <c r="B160" s="650">
        <f>' Plan Energi 2030-S'!AM10/IF('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60" s="650"/>
      <c r="D160" s="650">
        <f>' Plan Energi 2006'!AM10/IF('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60" s="650"/>
      <c r="F160" s="650">
        <f>' Plan Energi 2008'!AM10/IF('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60" s="650"/>
      <c r="H160" s="650">
        <f>' Plan Energi 2009'!AM10/IF('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60" s="650"/>
      <c r="J160" s="650">
        <f>' Plan Energi 2011'!AM10/IF('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60" s="650"/>
      <c r="L160" s="650">
        <f>' Plan Energi 2013'!AM10/IF('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60" s="650"/>
      <c r="N160" s="650">
        <f>' Plan Energi 2015'!AM10/IF('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60" s="650"/>
      <c r="P160" s="650">
        <f>' Plan Energi 2017'!AM10/IF('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60" s="650"/>
      <c r="R160" s="650">
        <f>' Plan Energi 2019'!AM10/IF('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60" s="650"/>
      <c r="T160" s="726">
        <f>'Bolig, Service, Handel, Byg'!L96</f>
        <v>0</v>
      </c>
      <c r="U160" s="650"/>
      <c r="V160" s="726">
        <f>'Bolig, Service, Handel, Byg'!N96</f>
        <v>0</v>
      </c>
      <c r="W160" s="650"/>
      <c r="X160" s="604"/>
    </row>
    <row r="161" spans="1:24" ht="15" customHeight="1" x14ac:dyDescent="0.25">
      <c r="A161" s="604" t="s">
        <v>314</v>
      </c>
      <c r="B161" s="650">
        <f>' Plan Energi 2030-S'!AM9/IF(' Plan Energi 2030-S'!AM$14+SUM(' Plan Energi 2030-S'!AM$17:AM$22)+' Plan Energi 2030-S'!AL$9+' Plan Energi 2030-S'!AL$10&gt;0,' Plan Energi 2030-S'!AM$14+SUM(' Plan Energi 2030-S'!AM$17:AM$22)+' Plan Energi 2030-S'!AM$9+' Plan Energi 2030-S'!AM$10,1)</f>
        <v>0</v>
      </c>
      <c r="C161" s="650"/>
      <c r="D161" s="650">
        <f>' Plan Energi 2006'!AM9/IF(' Plan Energi 2006'!AM$14+SUM(' Plan Energi 2006'!AM$17:AM$22)+' Plan Energi 2006'!AL$9+' Plan Energi 2006'!AL$10&gt;0,' Plan Energi 2006'!AM$14+SUM(' Plan Energi 2006'!AM$17:AM$22)+' Plan Energi 2006'!AM$9+' Plan Energi 2006'!AM$10,1)</f>
        <v>0</v>
      </c>
      <c r="E161" s="650"/>
      <c r="F161" s="650">
        <f>' Plan Energi 2008'!AM9/IF(' Plan Energi 2008'!AM$14+SUM(' Plan Energi 2008'!AM$17:AM$22)+' Plan Energi 2008'!AL$9+' Plan Energi 2008'!AL$10&gt;0,' Plan Energi 2008'!AM$14+SUM(' Plan Energi 2008'!AM$17:AM$22)+' Plan Energi 2008'!AM$9+' Plan Energi 2008'!AM$10,1)</f>
        <v>0</v>
      </c>
      <c r="G161" s="650"/>
      <c r="H161" s="650">
        <f>' Plan Energi 2009'!AM9/IF(' Plan Energi 2009'!AM$14+SUM(' Plan Energi 2009'!AM$17:AM$22)+' Plan Energi 2009'!AL$9+' Plan Energi 2009'!AL$10&gt;0,' Plan Energi 2009'!AM$14+SUM(' Plan Energi 2009'!AM$17:AM$22)+' Plan Energi 2009'!AM$9+' Plan Energi 2009'!AM$10,1)</f>
        <v>0</v>
      </c>
      <c r="I161" s="650"/>
      <c r="J161" s="650">
        <f>' Plan Energi 2011'!AM9/IF(' Plan Energi 2011'!AM$14+SUM(' Plan Energi 2011'!AM$17:AM$22)+' Plan Energi 2011'!AL$9+' Plan Energi 2011'!AL$10&gt;0,' Plan Energi 2011'!AM$14+SUM(' Plan Energi 2011'!AM$17:AM$22)+' Plan Energi 2011'!AM$9+' Plan Energi 2011'!AM$10,1)</f>
        <v>0</v>
      </c>
      <c r="K161" s="650"/>
      <c r="L161" s="650">
        <f>' Plan Energi 2013'!AM9/IF(' Plan Energi 2013'!AM$14+SUM(' Plan Energi 2013'!AM$17:AM$22)+' Plan Energi 2013'!AL$9+' Plan Energi 2013'!AL$10&gt;0,' Plan Energi 2013'!AM$14+SUM(' Plan Energi 2013'!AM$17:AM$22)+' Plan Energi 2013'!AM$9+' Plan Energi 2013'!AM$10,1)</f>
        <v>0</v>
      </c>
      <c r="M161" s="650"/>
      <c r="N161" s="650">
        <f>' Plan Energi 2015'!AM9/IF(' Plan Energi 2015'!AM$14+SUM(' Plan Energi 2015'!AM$17:AM$22)+' Plan Energi 2015'!AL$9+' Plan Energi 2015'!AL$10&gt;0,' Plan Energi 2015'!AM$14+SUM(' Plan Energi 2015'!AM$17:AM$22)+' Plan Energi 2015'!AM$9+' Plan Energi 2015'!AM$10,1)</f>
        <v>0</v>
      </c>
      <c r="O161" s="650"/>
      <c r="P161" s="650">
        <f>' Plan Energi 2017'!AM9/IF(' Plan Energi 2017'!AM$14+SUM(' Plan Energi 2017'!AM$17:AM$22)+' Plan Energi 2017'!AL$9+' Plan Energi 2017'!AL$10&gt;0,' Plan Energi 2017'!AM$14+SUM(' Plan Energi 2017'!AM$17:AM$22)+' Plan Energi 2017'!AM$9+' Plan Energi 2017'!AM$10,1)</f>
        <v>0</v>
      </c>
      <c r="Q161" s="650"/>
      <c r="R161" s="650">
        <f>' Plan Energi 2019'!AM9/IF(' Plan Energi 2019'!AM$14+SUM(' Plan Energi 2019'!AM$17:AM$22)+' Plan Energi 2019'!AL$9+' Plan Energi 2019'!AL$10&gt;0,' Plan Energi 2019'!AM$14+SUM(' Plan Energi 2019'!AM$17:AM$22)+' Plan Energi 2019'!AM$9+' Plan Energi 2019'!AM$10,1)</f>
        <v>0</v>
      </c>
      <c r="S161" s="650"/>
      <c r="T161" s="726">
        <f>'Bolig, Service, Handel, Byg'!L97</f>
        <v>0</v>
      </c>
      <c r="U161" s="650"/>
      <c r="V161" s="726">
        <f>'Bolig, Service, Handel, Byg'!N97</f>
        <v>0</v>
      </c>
      <c r="W161" s="650"/>
      <c r="X161" s="604"/>
    </row>
    <row r="162" spans="1:24" ht="15" customHeight="1" x14ac:dyDescent="0.25">
      <c r="A162" s="633" t="s">
        <v>489</v>
      </c>
      <c r="B162" s="650"/>
      <c r="C162" s="650"/>
      <c r="D162" s="650"/>
      <c r="E162" s="650"/>
      <c r="F162" s="650"/>
      <c r="G162" s="650"/>
      <c r="H162" s="650"/>
      <c r="I162" s="650"/>
      <c r="J162" s="650"/>
      <c r="K162" s="650"/>
      <c r="L162" s="650"/>
      <c r="M162" s="650"/>
      <c r="N162" s="650"/>
      <c r="O162" s="650"/>
      <c r="P162" s="650"/>
      <c r="Q162" s="650"/>
      <c r="R162" s="650"/>
      <c r="S162" s="650"/>
      <c r="T162" s="650"/>
      <c r="U162" s="650"/>
      <c r="V162" s="650"/>
      <c r="W162" s="650"/>
      <c r="X162" s="604"/>
    </row>
    <row r="163" spans="1:24" ht="15" customHeight="1" x14ac:dyDescent="0.25">
      <c r="A163" s="604" t="s">
        <v>351</v>
      </c>
      <c r="B163" s="650">
        <f>' Plan Energi 2030-S'!AM$39/IF(' Plan Energi 2030-S'!AM$39+' Plan Energi 2030-S'!AM$43+' Plan Energi 2030-S'!AM$52+' Plan Energi 2030-S'!AM$55+' Plan Energi 2030-S'!AM$62+' Plan Energi 2030-S'!AM$71&gt;0,' Plan Energi 2030-S'!AM$39+' Plan Energi 2030-S'!AM$43+' Plan Energi 2030-S'!AM$52+' Plan Energi 2030-S'!AM$55+' Plan Energi 2030-S'!AM$62+' Plan Energi 2030-S'!AM$71,1)</f>
        <v>0</v>
      </c>
      <c r="C163" s="650"/>
      <c r="D163" s="650">
        <f>' Plan Energi 2006'!AM$39/IF(' Plan Energi 2006'!AM$39+' Plan Energi 2006'!AM$43+' Plan Energi 2006'!AM$52+' Plan Energi 2006'!AM$55+' Plan Energi 2006'!AM$62+' Plan Energi 2006'!AM$71&gt;0,' Plan Energi 2006'!AM$39+' Plan Energi 2006'!AM$43+' Plan Energi 2006'!AM$52+' Plan Energi 2006'!AM$55+' Plan Energi 2006'!AM$62+' Plan Energi 2006'!AM$71,1)</f>
        <v>0</v>
      </c>
      <c r="E163" s="650"/>
      <c r="F163" s="650">
        <f>' Plan Energi 2008'!AM$39/IF(' Plan Energi 2008'!AM$39+' Plan Energi 2008'!AM$43+' Plan Energi 2008'!AM$52+' Plan Energi 2008'!AM$55+' Plan Energi 2008'!AM$62+' Plan Energi 2008'!AM$71&gt;0,' Plan Energi 2008'!AM$39+' Plan Energi 2008'!AM$43+' Plan Energi 2008'!AM$52+' Plan Energi 2008'!AM$55+' Plan Energi 2008'!AM$62+' Plan Energi 2008'!AM$71,1)</f>
        <v>0</v>
      </c>
      <c r="G163" s="650"/>
      <c r="H163" s="650">
        <f>' Plan Energi 2009'!AM$39/IF(' Plan Energi 2009'!AM$39+' Plan Energi 2009'!AM$43+' Plan Energi 2009'!AM$52+' Plan Energi 2009'!AM$55+' Plan Energi 2009'!AM$62+' Plan Energi 2009'!AM$71&gt;0,' Plan Energi 2009'!AM$39+' Plan Energi 2009'!AM$43+' Plan Energi 2009'!AM$52+' Plan Energi 2009'!AM$55+' Plan Energi 2009'!AM$62+' Plan Energi 2009'!AM$71,1)</f>
        <v>0</v>
      </c>
      <c r="I163" s="650"/>
      <c r="J163" s="650">
        <f>' Plan Energi 2011'!AM$39/IF(' Plan Energi 2011'!AM$39+' Plan Energi 2011'!AM$43+' Plan Energi 2011'!AM$52+' Plan Energi 2011'!AM$55+' Plan Energi 2011'!AM$62+' Plan Energi 2011'!AM$71&gt;0,' Plan Energi 2011'!AM$39+' Plan Energi 2011'!AM$43+' Plan Energi 2011'!AM$52+' Plan Energi 2011'!AM$55+' Plan Energi 2011'!AM$62+' Plan Energi 2011'!AM$71,1)</f>
        <v>0</v>
      </c>
      <c r="K163" s="650"/>
      <c r="L163" s="650">
        <f>' Plan Energi 2013'!AM$39/IF(' Plan Energi 2013'!AM$39+' Plan Energi 2013'!AM$43+' Plan Energi 2013'!AM$52+' Plan Energi 2013'!AM$55+' Plan Energi 2013'!AM$62+' Plan Energi 2013'!AM$71&gt;0,' Plan Energi 2013'!AM$39+' Plan Energi 2013'!AM$43+' Plan Energi 2013'!AM$52+' Plan Energi 2013'!AM$55+' Plan Energi 2013'!AM$62+' Plan Energi 2013'!AM$71,1)</f>
        <v>0</v>
      </c>
      <c r="M163" s="650"/>
      <c r="N163" s="650">
        <f>' Plan Energi 2015'!AM$39/IF(' Plan Energi 2015'!AM$39+' Plan Energi 2015'!AM$43+' Plan Energi 2015'!AM$52+' Plan Energi 2015'!AM$55+' Plan Energi 2015'!AM$62+' Plan Energi 2015'!AM$71&gt;0,' Plan Energi 2015'!AM$39+' Plan Energi 2015'!AM$43+' Plan Energi 2015'!AM$52+' Plan Energi 2015'!AM$55+' Plan Energi 2015'!AM$62+' Plan Energi 2015'!AM$71,1)</f>
        <v>0</v>
      </c>
      <c r="O163" s="650"/>
      <c r="P163" s="650">
        <f>' Plan Energi 2017'!AM$39/IF(' Plan Energi 2017'!AM$39+' Plan Energi 2017'!AM$43+' Plan Energi 2017'!AM$52+' Plan Energi 2017'!AM$55+' Plan Energi 2017'!AM$62+' Plan Energi 2017'!AM$71&gt;0,' Plan Energi 2017'!AM$39+' Plan Energi 2017'!AM$43+' Plan Energi 2017'!AM$52+' Plan Energi 2017'!AM$55+' Plan Energi 2017'!AM$62+' Plan Energi 2017'!AM$71,1)</f>
        <v>0</v>
      </c>
      <c r="Q163" s="650"/>
      <c r="R163" s="650">
        <f>' Plan Energi 2019'!AM$39/IF(' Plan Energi 2019'!AM$39+' Plan Energi 2019'!AM$43+' Plan Energi 2019'!AM$52+' Plan Energi 2019'!AM$55+' Plan Energi 2019'!AM$62+' Plan Energi 2019'!AM$71&gt;0,' Plan Energi 2019'!AM$39+' Plan Energi 2019'!AM$43+' Plan Energi 2019'!AM$52+' Plan Energi 2019'!AM$55+' Plan Energi 2019'!AM$62+' Plan Energi 2019'!AM$71,1)</f>
        <v>0</v>
      </c>
      <c r="S163" s="650"/>
      <c r="T163" s="669">
        <v>0</v>
      </c>
      <c r="U163" s="650"/>
      <c r="V163" s="669">
        <v>0</v>
      </c>
      <c r="W163" s="650"/>
      <c r="X163" s="604"/>
    </row>
    <row r="164" spans="1:24" ht="15" customHeight="1" x14ac:dyDescent="0.25">
      <c r="A164" s="604" t="s">
        <v>352</v>
      </c>
      <c r="B164" s="650">
        <f>' Plan Energi 2030-S'!AM$43/IF(' Plan Energi 2030-S'!AM$39+' Plan Energi 2030-S'!AM$43+' Plan Energi 2030-S'!AM$52+' Plan Energi 2030-S'!AM$55+' Plan Energi 2030-S'!AM$62+' Plan Energi 2030-S'!AM$71&gt;0,' Plan Energi 2030-S'!AM$39+' Plan Energi 2030-S'!AM$43+' Plan Energi 2030-S'!AM$52+' Plan Energi 2030-S'!AM$55+' Plan Energi 2030-S'!AM$62+' Plan Energi 2030-S'!AM$71,1)</f>
        <v>0</v>
      </c>
      <c r="C164" s="650"/>
      <c r="D164" s="650">
        <f>' Plan Energi 2006'!AM$43/IF(' Plan Energi 2006'!AM$39+' Plan Energi 2006'!AM$43+' Plan Energi 2006'!AM$52+' Plan Energi 2006'!AM$55+' Plan Energi 2006'!AM$62+' Plan Energi 2006'!AM$71&gt;0,' Plan Energi 2006'!AM$39+' Plan Energi 2006'!AM$43+' Plan Energi 2006'!AM$52+' Plan Energi 2006'!AM$55+' Plan Energi 2006'!AM$62+' Plan Energi 2006'!AM$71,1)</f>
        <v>0</v>
      </c>
      <c r="E164" s="650"/>
      <c r="F164" s="650">
        <f>' Plan Energi 2008'!AM$43/IF(' Plan Energi 2008'!AM$39+' Plan Energi 2008'!AM$43+' Plan Energi 2008'!AM$52+' Plan Energi 2008'!AM$55+' Plan Energi 2008'!AM$62+' Plan Energi 2008'!AM$71&gt;0,' Plan Energi 2008'!AM$39+' Plan Energi 2008'!AM$43+' Plan Energi 2008'!AM$52+' Plan Energi 2008'!AM$55+' Plan Energi 2008'!AM$62+' Plan Energi 2008'!AM$71,1)</f>
        <v>0</v>
      </c>
      <c r="G164" s="650"/>
      <c r="H164" s="650">
        <f>' Plan Energi 2009'!AM$43/IF(' Plan Energi 2009'!AM$39+' Plan Energi 2009'!AM$43+' Plan Energi 2009'!AM$52+' Plan Energi 2009'!AM$55+' Plan Energi 2009'!AM$62+' Plan Energi 2009'!AM$71&gt;0,' Plan Energi 2009'!AM$39+' Plan Energi 2009'!AM$43+' Plan Energi 2009'!AM$52+' Plan Energi 2009'!AM$55+' Plan Energi 2009'!AM$62+' Plan Energi 2009'!AM$71,1)</f>
        <v>0</v>
      </c>
      <c r="I164" s="650"/>
      <c r="J164" s="650">
        <f>' Plan Energi 2011'!AM$43/IF(' Plan Energi 2011'!AM$39+' Plan Energi 2011'!AM$43+' Plan Energi 2011'!AM$52+' Plan Energi 2011'!AM$55+' Plan Energi 2011'!AM$62+' Plan Energi 2011'!AM$71&gt;0,' Plan Energi 2011'!AM$39+' Plan Energi 2011'!AM$43+' Plan Energi 2011'!AM$52+' Plan Energi 2011'!AM$55+' Plan Energi 2011'!AM$62+' Plan Energi 2011'!AM$71,1)</f>
        <v>0</v>
      </c>
      <c r="K164" s="650"/>
      <c r="L164" s="650">
        <f>' Plan Energi 2013'!AM$43/IF(' Plan Energi 2013'!AM$39+' Plan Energi 2013'!AM$43+' Plan Energi 2013'!AM$52+' Plan Energi 2013'!AM$55+' Plan Energi 2013'!AM$62+' Plan Energi 2013'!AM$71&gt;0,' Plan Energi 2013'!AM$39+' Plan Energi 2013'!AM$43+' Plan Energi 2013'!AM$52+' Plan Energi 2013'!AM$55+' Plan Energi 2013'!AM$62+' Plan Energi 2013'!AM$71,1)</f>
        <v>0</v>
      </c>
      <c r="M164" s="650"/>
      <c r="N164" s="650">
        <f>' Plan Energi 2015'!AM$43/IF(' Plan Energi 2015'!AM$39+' Plan Energi 2015'!AM$43+' Plan Energi 2015'!AM$52+' Plan Energi 2015'!AM$55+' Plan Energi 2015'!AM$62+' Plan Energi 2015'!AM$71&gt;0,' Plan Energi 2015'!AM$39+' Plan Energi 2015'!AM$43+' Plan Energi 2015'!AM$52+' Plan Energi 2015'!AM$55+' Plan Energi 2015'!AM$62+' Plan Energi 2015'!AM$71,1)</f>
        <v>0</v>
      </c>
      <c r="O164" s="650"/>
      <c r="P164" s="650">
        <f>' Plan Energi 2017'!AM$43/IF(' Plan Energi 2017'!AM$39+' Plan Energi 2017'!AM$43+' Plan Energi 2017'!AM$52+' Plan Energi 2017'!AM$55+' Plan Energi 2017'!AM$62+' Plan Energi 2017'!AM$71&gt;0,' Plan Energi 2017'!AM$39+' Plan Energi 2017'!AM$43+' Plan Energi 2017'!AM$52+' Plan Energi 2017'!AM$55+' Plan Energi 2017'!AM$62+' Plan Energi 2017'!AM$71,1)</f>
        <v>0</v>
      </c>
      <c r="Q164" s="650"/>
      <c r="R164" s="650">
        <f>' Plan Energi 2019'!AM$43/IF(' Plan Energi 2019'!AM$39+' Plan Energi 2019'!AM$43+' Plan Energi 2019'!AM$52+' Plan Energi 2019'!AM$55+' Plan Energi 2019'!AM$62+' Plan Energi 2019'!AM$71&gt;0,' Plan Energi 2019'!AM$39+' Plan Energi 2019'!AM$43+' Plan Energi 2019'!AM$52+' Plan Energi 2019'!AM$55+' Plan Energi 2019'!AM$62+' Plan Energi 2019'!AM$71,1)</f>
        <v>0</v>
      </c>
      <c r="S164" s="650"/>
      <c r="T164" s="669">
        <v>0</v>
      </c>
      <c r="U164" s="650"/>
      <c r="V164" s="669">
        <v>0</v>
      </c>
      <c r="W164" s="650"/>
      <c r="X164" s="604"/>
    </row>
    <row r="165" spans="1:24" ht="15" customHeight="1" x14ac:dyDescent="0.25">
      <c r="A165" s="604" t="s">
        <v>353</v>
      </c>
      <c r="B165" s="650">
        <f>' Plan Energi 2030-S'!AM$52/IF(' Plan Energi 2030-S'!AM$39+' Plan Energi 2030-S'!AM$43+' Plan Energi 2030-S'!AM$52+' Plan Energi 2030-S'!AM$55+' Plan Energi 2030-S'!AM$62+' Plan Energi 2030-S'!AM$71&gt;0,' Plan Energi 2030-S'!AM$39+' Plan Energi 2030-S'!AM$43+' Plan Energi 2030-S'!AM$52+' Plan Energi 2030-S'!AM$55+' Plan Energi 2030-S'!AM$62+' Plan Energi 2030-S'!AM$71,1)</f>
        <v>0</v>
      </c>
      <c r="C165" s="650"/>
      <c r="D165" s="650">
        <f>' Plan Energi 2006'!AM$52/IF(' Plan Energi 2006'!AM$39+' Plan Energi 2006'!AM$43+' Plan Energi 2006'!AM$52+' Plan Energi 2006'!AM$55+' Plan Energi 2006'!AM$62+' Plan Energi 2006'!AM$71&gt;0,' Plan Energi 2006'!AM$39+' Plan Energi 2006'!AM$43+' Plan Energi 2006'!AM$52+' Plan Energi 2006'!AM$55+' Plan Energi 2006'!AM$62+' Plan Energi 2006'!AM$71,1)</f>
        <v>0</v>
      </c>
      <c r="E165" s="650"/>
      <c r="F165" s="650">
        <f>' Plan Energi 2008'!AM$52/IF(' Plan Energi 2008'!AM$39+' Plan Energi 2008'!AM$43+' Plan Energi 2008'!AM$52+' Plan Energi 2008'!AM$55+' Plan Energi 2008'!AM$62+' Plan Energi 2008'!AM$71&gt;0,' Plan Energi 2008'!AM$39+' Plan Energi 2008'!AM$43+' Plan Energi 2008'!AM$52+' Plan Energi 2008'!AM$55+' Plan Energi 2008'!AM$62+' Plan Energi 2008'!AM$71,1)</f>
        <v>0</v>
      </c>
      <c r="G165" s="650"/>
      <c r="H165" s="650">
        <f>' Plan Energi 2009'!AM$52/IF(' Plan Energi 2009'!AM$39+' Plan Energi 2009'!AM$43+' Plan Energi 2009'!AM$52+' Plan Energi 2009'!AM$55+' Plan Energi 2009'!AM$62+' Plan Energi 2009'!AM$71&gt;0,' Plan Energi 2009'!AM$39+' Plan Energi 2009'!AM$43+' Plan Energi 2009'!AM$52+' Plan Energi 2009'!AM$55+' Plan Energi 2009'!AM$62+' Plan Energi 2009'!AM$71,1)</f>
        <v>0</v>
      </c>
      <c r="I165" s="650"/>
      <c r="J165" s="650">
        <f>' Plan Energi 2011'!AM$52/IF(' Plan Energi 2011'!AM$39+' Plan Energi 2011'!AM$43+' Plan Energi 2011'!AM$52+' Plan Energi 2011'!AM$55+' Plan Energi 2011'!AM$62+' Plan Energi 2011'!AM$71&gt;0,' Plan Energi 2011'!AM$39+' Plan Energi 2011'!AM$43+' Plan Energi 2011'!AM$52+' Plan Energi 2011'!AM$55+' Plan Energi 2011'!AM$62+' Plan Energi 2011'!AM$71,1)</f>
        <v>0</v>
      </c>
      <c r="K165" s="650"/>
      <c r="L165" s="650">
        <f>' Plan Energi 2013'!AM$52/IF(' Plan Energi 2013'!AM$39+' Plan Energi 2013'!AM$43+' Plan Energi 2013'!AM$52+' Plan Energi 2013'!AM$55+' Plan Energi 2013'!AM$62+' Plan Energi 2013'!AM$71&gt;0,' Plan Energi 2013'!AM$39+' Plan Energi 2013'!AM$43+' Plan Energi 2013'!AM$52+' Plan Energi 2013'!AM$55+' Plan Energi 2013'!AM$62+' Plan Energi 2013'!AM$71,1)</f>
        <v>0</v>
      </c>
      <c r="M165" s="650"/>
      <c r="N165" s="650">
        <f>' Plan Energi 2015'!AM$52/IF(' Plan Energi 2015'!AM$39+' Plan Energi 2015'!AM$43+' Plan Energi 2015'!AM$52+' Plan Energi 2015'!AM$55+' Plan Energi 2015'!AM$62+' Plan Energi 2015'!AM$71&gt;0,' Plan Energi 2015'!AM$39+' Plan Energi 2015'!AM$43+' Plan Energi 2015'!AM$52+' Plan Energi 2015'!AM$55+' Plan Energi 2015'!AM$62+' Plan Energi 2015'!AM$71,1)</f>
        <v>0</v>
      </c>
      <c r="O165" s="650"/>
      <c r="P165" s="650">
        <f>' Plan Energi 2017'!AM$52/IF(' Plan Energi 2017'!AM$39+' Plan Energi 2017'!AM$43+' Plan Energi 2017'!AM$52+' Plan Energi 2017'!AM$55+' Plan Energi 2017'!AM$62+' Plan Energi 2017'!AM$71&gt;0,' Plan Energi 2017'!AM$39+' Plan Energi 2017'!AM$43+' Plan Energi 2017'!AM$52+' Plan Energi 2017'!AM$55+' Plan Energi 2017'!AM$62+' Plan Energi 2017'!AM$71,1)</f>
        <v>0</v>
      </c>
      <c r="Q165" s="650"/>
      <c r="R165" s="650">
        <f>' Plan Energi 2019'!AM$52/IF(' Plan Energi 2019'!AM$39+' Plan Energi 2019'!AM$43+' Plan Energi 2019'!AM$52+' Plan Energi 2019'!AM$55+' Plan Energi 2019'!AM$62+' Plan Energi 2019'!AM$71&gt;0,' Plan Energi 2019'!AM$39+' Plan Energi 2019'!AM$43+' Plan Energi 2019'!AM$52+' Plan Energi 2019'!AM$55+' Plan Energi 2019'!AM$62+' Plan Energi 2019'!AM$71,1)</f>
        <v>0</v>
      </c>
      <c r="S165" s="650"/>
      <c r="T165" s="669">
        <v>0</v>
      </c>
      <c r="U165" s="650"/>
      <c r="V165" s="669">
        <v>0</v>
      </c>
      <c r="W165" s="650"/>
      <c r="X165" s="604"/>
    </row>
    <row r="166" spans="1:24" ht="15" customHeight="1" x14ac:dyDescent="0.25">
      <c r="A166" s="604" t="s">
        <v>354</v>
      </c>
      <c r="B166" s="650">
        <f>' Plan Energi 2030-S'!AM$55/IF(' Plan Energi 2030-S'!AM$39+' Plan Energi 2030-S'!AM$43+' Plan Energi 2030-S'!AM$52+' Plan Energi 2030-S'!AM$55+' Plan Energi 2030-S'!AM$62+' Plan Energi 2030-S'!AM$71&gt;0,' Plan Energi 2030-S'!AM$39+' Plan Energi 2030-S'!AM$43+' Plan Energi 2030-S'!AM$52+' Plan Energi 2030-S'!AM$55+' Plan Energi 2030-S'!AM$62+' Plan Energi 2030-S'!AM$71,1)</f>
        <v>0</v>
      </c>
      <c r="C166" s="650"/>
      <c r="D166" s="650">
        <f>' Plan Energi 2006'!AM$55/IF(' Plan Energi 2006'!AM$39+' Plan Energi 2006'!AM$43+' Plan Energi 2006'!AM$52+' Plan Energi 2006'!AM$55+' Plan Energi 2006'!AM$62+' Plan Energi 2006'!AM$71&gt;0,' Plan Energi 2006'!AM$39+' Plan Energi 2006'!AM$43+' Plan Energi 2006'!AM$52+' Plan Energi 2006'!AM$55+' Plan Energi 2006'!AM$62+' Plan Energi 2006'!AM$71,1)</f>
        <v>0</v>
      </c>
      <c r="E166" s="650"/>
      <c r="F166" s="650">
        <f>' Plan Energi 2008'!AM$55/IF(' Plan Energi 2008'!AM$39+' Plan Energi 2008'!AM$43+' Plan Energi 2008'!AM$52+' Plan Energi 2008'!AM$55+' Plan Energi 2008'!AM$62+' Plan Energi 2008'!AM$71&gt;0,' Plan Energi 2008'!AM$39+' Plan Energi 2008'!AM$43+' Plan Energi 2008'!AM$52+' Plan Energi 2008'!AM$55+' Plan Energi 2008'!AM$62+' Plan Energi 2008'!AM$71,1)</f>
        <v>0</v>
      </c>
      <c r="G166" s="650"/>
      <c r="H166" s="650">
        <f>' Plan Energi 2009'!AM$55/IF(' Plan Energi 2009'!AM$39+' Plan Energi 2009'!AM$43+' Plan Energi 2009'!AM$52+' Plan Energi 2009'!AM$55+' Plan Energi 2009'!AM$62+' Plan Energi 2009'!AM$71&gt;0,' Plan Energi 2009'!AM$39+' Plan Energi 2009'!AM$43+' Plan Energi 2009'!AM$52+' Plan Energi 2009'!AM$55+' Plan Energi 2009'!AM$62+' Plan Energi 2009'!AM$71,1)</f>
        <v>0</v>
      </c>
      <c r="I166" s="650"/>
      <c r="J166" s="650">
        <f>' Plan Energi 2011'!AM$55/IF(' Plan Energi 2011'!AM$39+' Plan Energi 2011'!AM$43+' Plan Energi 2011'!AM$52+' Plan Energi 2011'!AM$55+' Plan Energi 2011'!AM$62+' Plan Energi 2011'!AM$71&gt;0,' Plan Energi 2011'!AM$39+' Plan Energi 2011'!AM$43+' Plan Energi 2011'!AM$52+' Plan Energi 2011'!AM$55+' Plan Energi 2011'!AM$62+' Plan Energi 2011'!AM$71,1)</f>
        <v>0</v>
      </c>
      <c r="K166" s="650"/>
      <c r="L166" s="650">
        <f>' Plan Energi 2013'!AM$55/IF(' Plan Energi 2013'!AM$39+' Plan Energi 2013'!AM$43+' Plan Energi 2013'!AM$52+' Plan Energi 2013'!AM$55+' Plan Energi 2013'!AM$62+' Plan Energi 2013'!AM$71&gt;0,' Plan Energi 2013'!AM$39+' Plan Energi 2013'!AM$43+' Plan Energi 2013'!AM$52+' Plan Energi 2013'!AM$55+' Plan Energi 2013'!AM$62+' Plan Energi 2013'!AM$71,1)</f>
        <v>0</v>
      </c>
      <c r="M166" s="650"/>
      <c r="N166" s="650">
        <f>' Plan Energi 2015'!AM$55/IF(' Plan Energi 2015'!AM$39+' Plan Energi 2015'!AM$43+' Plan Energi 2015'!AM$52+' Plan Energi 2015'!AM$55+' Plan Energi 2015'!AM$62+' Plan Energi 2015'!AM$71&gt;0,' Plan Energi 2015'!AM$39+' Plan Energi 2015'!AM$43+' Plan Energi 2015'!AM$52+' Plan Energi 2015'!AM$55+' Plan Energi 2015'!AM$62+' Plan Energi 2015'!AM$71,1)</f>
        <v>0</v>
      </c>
      <c r="O166" s="650"/>
      <c r="P166" s="650">
        <f>' Plan Energi 2017'!AM$55/IF(' Plan Energi 2017'!AM$39+' Plan Energi 2017'!AM$43+' Plan Energi 2017'!AM$52+' Plan Energi 2017'!AM$55+' Plan Energi 2017'!AM$62+' Plan Energi 2017'!AM$71&gt;0,' Plan Energi 2017'!AM$39+' Plan Energi 2017'!AM$43+' Plan Energi 2017'!AM$52+' Plan Energi 2017'!AM$55+' Plan Energi 2017'!AM$62+' Plan Energi 2017'!AM$71,1)</f>
        <v>0</v>
      </c>
      <c r="Q166" s="650"/>
      <c r="R166" s="650">
        <f>' Plan Energi 2019'!AM$55/IF(' Plan Energi 2019'!AM$39+' Plan Energi 2019'!AM$43+' Plan Energi 2019'!AM$52+' Plan Energi 2019'!AM$55+' Plan Energi 2019'!AM$62+' Plan Energi 2019'!AM$71&gt;0,' Plan Energi 2019'!AM$39+' Plan Energi 2019'!AM$43+' Plan Energi 2019'!AM$52+' Plan Energi 2019'!AM$55+' Plan Energi 2019'!AM$62+' Plan Energi 2019'!AM$71,1)</f>
        <v>0</v>
      </c>
      <c r="S166" s="650"/>
      <c r="T166" s="669">
        <v>0</v>
      </c>
      <c r="U166" s="650"/>
      <c r="V166" s="669">
        <v>0</v>
      </c>
      <c r="W166" s="650"/>
      <c r="X166" s="604"/>
    </row>
    <row r="167" spans="1:24" ht="15" customHeight="1" x14ac:dyDescent="0.25">
      <c r="A167" s="604" t="s">
        <v>199</v>
      </c>
      <c r="B167" s="650">
        <f>' Plan Energi 2030-S'!AM$62/IF(' Plan Energi 2030-S'!AM$39+' Plan Energi 2030-S'!AM$43+' Plan Energi 2030-S'!AM$52+' Plan Energi 2030-S'!AM$55+' Plan Energi 2030-S'!AM$62+' Plan Energi 2030-S'!AM$71&gt;0,' Plan Energi 2030-S'!AM$39+' Plan Energi 2030-S'!AM$43+' Plan Energi 2030-S'!AM$52+' Plan Energi 2030-S'!AM$55+' Plan Energi 2030-S'!AM$62+' Plan Energi 2030-S'!AM$71,1)</f>
        <v>0</v>
      </c>
      <c r="C167" s="650"/>
      <c r="D167" s="650">
        <f>' Plan Energi 2006'!AM$62/IF(' Plan Energi 2006'!AM$39+' Plan Energi 2006'!AM$43+' Plan Energi 2006'!AM$52+' Plan Energi 2006'!AM$55+' Plan Energi 2006'!AM$62+' Plan Energi 2006'!AM$71&gt;0,' Plan Energi 2006'!AM$39+' Plan Energi 2006'!AM$43+' Plan Energi 2006'!AM$52+' Plan Energi 2006'!AM$55+' Plan Energi 2006'!AM$62+' Plan Energi 2006'!AM$71,1)</f>
        <v>0</v>
      </c>
      <c r="E167" s="650"/>
      <c r="F167" s="650">
        <f>' Plan Energi 2008'!AM$62/IF(' Plan Energi 2008'!AM$39+' Plan Energi 2008'!AM$43+' Plan Energi 2008'!AM$52+' Plan Energi 2008'!AM$55+' Plan Energi 2008'!AM$62+' Plan Energi 2008'!AM$71&gt;0,' Plan Energi 2008'!AM$39+' Plan Energi 2008'!AM$43+' Plan Energi 2008'!AM$52+' Plan Energi 2008'!AM$55+' Plan Energi 2008'!AM$62+' Plan Energi 2008'!AM$71,1)</f>
        <v>0</v>
      </c>
      <c r="G167" s="650"/>
      <c r="H167" s="650">
        <f>' Plan Energi 2009'!AM$62/IF(' Plan Energi 2009'!AM$39+' Plan Energi 2009'!AM$43+' Plan Energi 2009'!AM$52+' Plan Energi 2009'!AM$55+' Plan Energi 2009'!AM$62+' Plan Energi 2009'!AM$71&gt;0,' Plan Energi 2009'!AM$39+' Plan Energi 2009'!AM$43+' Plan Energi 2009'!AM$52+' Plan Energi 2009'!AM$55+' Plan Energi 2009'!AM$62+' Plan Energi 2009'!AM$71,1)</f>
        <v>0</v>
      </c>
      <c r="I167" s="650"/>
      <c r="J167" s="650">
        <f>' Plan Energi 2011'!AM$62/IF(' Plan Energi 2011'!AM$39+' Plan Energi 2011'!AM$43+' Plan Energi 2011'!AM$52+' Plan Energi 2011'!AM$55+' Plan Energi 2011'!AM$62+' Plan Energi 2011'!AM$71&gt;0,' Plan Energi 2011'!AM$39+' Plan Energi 2011'!AM$43+' Plan Energi 2011'!AM$52+' Plan Energi 2011'!AM$55+' Plan Energi 2011'!AM$62+' Plan Energi 2011'!AM$71,1)</f>
        <v>0</v>
      </c>
      <c r="K167" s="650"/>
      <c r="L167" s="650">
        <f>' Plan Energi 2013'!AM$62/IF(' Plan Energi 2013'!AM$39+' Plan Energi 2013'!AM$43+' Plan Energi 2013'!AM$52+' Plan Energi 2013'!AM$55+' Plan Energi 2013'!AM$62+' Plan Energi 2013'!AM$71&gt;0,' Plan Energi 2013'!AM$39+' Plan Energi 2013'!AM$43+' Plan Energi 2013'!AM$52+' Plan Energi 2013'!AM$55+' Plan Energi 2013'!AM$62+' Plan Energi 2013'!AM$71,1)</f>
        <v>0</v>
      </c>
      <c r="M167" s="650"/>
      <c r="N167" s="650">
        <f>' Plan Energi 2015'!AM$62/IF(' Plan Energi 2015'!AM$39+' Plan Energi 2015'!AM$43+' Plan Energi 2015'!AM$52+' Plan Energi 2015'!AM$55+' Plan Energi 2015'!AM$62+' Plan Energi 2015'!AM$71&gt;0,' Plan Energi 2015'!AM$39+' Plan Energi 2015'!AM$43+' Plan Energi 2015'!AM$52+' Plan Energi 2015'!AM$55+' Plan Energi 2015'!AM$62+' Plan Energi 2015'!AM$71,1)</f>
        <v>0</v>
      </c>
      <c r="O167" s="650"/>
      <c r="P167" s="650">
        <f>' Plan Energi 2017'!AM$62/IF(' Plan Energi 2017'!AM$39+' Plan Energi 2017'!AM$43+' Plan Energi 2017'!AM$52+' Plan Energi 2017'!AM$55+' Plan Energi 2017'!AM$62+' Plan Energi 2017'!AM$71&gt;0,' Plan Energi 2017'!AM$39+' Plan Energi 2017'!AM$43+' Plan Energi 2017'!AM$52+' Plan Energi 2017'!AM$55+' Plan Energi 2017'!AM$62+' Plan Energi 2017'!AM$71,1)</f>
        <v>0</v>
      </c>
      <c r="Q167" s="650"/>
      <c r="R167" s="650">
        <f>' Plan Energi 2019'!AM$62/IF(' Plan Energi 2019'!AM$39+' Plan Energi 2019'!AM$43+' Plan Energi 2019'!AM$52+' Plan Energi 2019'!AM$55+' Plan Energi 2019'!AM$62+' Plan Energi 2019'!AM$71&gt;0,' Plan Energi 2019'!AM$39+' Plan Energi 2019'!AM$43+' Plan Energi 2019'!AM$52+' Plan Energi 2019'!AM$55+' Plan Energi 2019'!AM$62+' Plan Energi 2019'!AM$71,1)</f>
        <v>0</v>
      </c>
      <c r="S167" s="650"/>
      <c r="T167" s="669">
        <v>0</v>
      </c>
      <c r="U167" s="650"/>
      <c r="V167" s="669">
        <v>0</v>
      </c>
      <c r="W167" s="650"/>
      <c r="X167" s="604"/>
    </row>
    <row r="168" spans="1:24" ht="15" customHeight="1" x14ac:dyDescent="0.25">
      <c r="A168" s="604" t="s">
        <v>493</v>
      </c>
      <c r="B168" s="650">
        <f>' Plan Energi 2030-S'!AM$71/IF(' Plan Energi 2030-S'!AM$39+' Plan Energi 2030-S'!AM$43+' Plan Energi 2030-S'!AM$52+' Plan Energi 2030-S'!AM$55+' Plan Energi 2030-S'!AM$62+' Plan Energi 2030-S'!AM$71&gt;0,' Plan Energi 2030-S'!AM$39+' Plan Energi 2030-S'!AM$43+' Plan Energi 2030-S'!AM$52+' Plan Energi 2030-S'!AM$55+' Plan Energi 2030-S'!AM$62+' Plan Energi 2030-S'!AM$71,1)</f>
        <v>0</v>
      </c>
      <c r="C168" s="650"/>
      <c r="D168" s="650">
        <f>' Plan Energi 2006'!AM$71/IF(' Plan Energi 2006'!AM$39+' Plan Energi 2006'!AM$43+' Plan Energi 2006'!AM$52+' Plan Energi 2006'!AM$55+' Plan Energi 2006'!AM$62+' Plan Energi 2006'!AM$71&gt;0,' Plan Energi 2006'!AM$39+' Plan Energi 2006'!AM$43+' Plan Energi 2006'!AM$52+' Plan Energi 2006'!AM$55+' Plan Energi 2006'!AM$62+' Plan Energi 2006'!AM$71,1)</f>
        <v>0</v>
      </c>
      <c r="E168" s="650"/>
      <c r="F168" s="650">
        <f>' Plan Energi 2008'!AM$71/IF(' Plan Energi 2008'!AM$39+' Plan Energi 2008'!AM$43+' Plan Energi 2008'!AM$52+' Plan Energi 2008'!AM$55+' Plan Energi 2008'!AM$62+' Plan Energi 2008'!AM$71&gt;0,' Plan Energi 2008'!AM$39+' Plan Energi 2008'!AM$43+' Plan Energi 2008'!AM$52+' Plan Energi 2008'!AM$55+' Plan Energi 2008'!AM$62+' Plan Energi 2008'!AM$71,1)</f>
        <v>0</v>
      </c>
      <c r="G168" s="650"/>
      <c r="H168" s="650">
        <f>' Plan Energi 2009'!AM$71/IF(' Plan Energi 2009'!AM$39+' Plan Energi 2009'!AM$43+' Plan Energi 2009'!AM$52+' Plan Energi 2009'!AM$55+' Plan Energi 2009'!AM$62+' Plan Energi 2009'!AM$71&gt;0,' Plan Energi 2009'!AM$39+' Plan Energi 2009'!AM$43+' Plan Energi 2009'!AM$52+' Plan Energi 2009'!AM$55+' Plan Energi 2009'!AM$62+' Plan Energi 2009'!AM$71,1)</f>
        <v>0</v>
      </c>
      <c r="I168" s="650"/>
      <c r="J168" s="650">
        <f>' Plan Energi 2011'!AM$71/IF(' Plan Energi 2011'!AM$39+' Plan Energi 2011'!AM$43+' Plan Energi 2011'!AM$52+' Plan Energi 2011'!AM$55+' Plan Energi 2011'!AM$62+' Plan Energi 2011'!AM$71&gt;0,' Plan Energi 2011'!AM$39+' Plan Energi 2011'!AM$43+' Plan Energi 2011'!AM$52+' Plan Energi 2011'!AM$55+' Plan Energi 2011'!AM$62+' Plan Energi 2011'!AM$71,1)</f>
        <v>0</v>
      </c>
      <c r="K168" s="650"/>
      <c r="L168" s="650">
        <f>' Plan Energi 2013'!AM$71/IF(' Plan Energi 2013'!AM$39+' Plan Energi 2013'!AM$43+' Plan Energi 2013'!AM$52+' Plan Energi 2013'!AM$55+' Plan Energi 2013'!AM$62+' Plan Energi 2013'!AM$71&gt;0,' Plan Energi 2013'!AM$39+' Plan Energi 2013'!AM$43+' Plan Energi 2013'!AM$52+' Plan Energi 2013'!AM$55+' Plan Energi 2013'!AM$62+' Plan Energi 2013'!AM$71,1)</f>
        <v>0</v>
      </c>
      <c r="M168" s="650"/>
      <c r="N168" s="650">
        <f>' Plan Energi 2015'!AM$71/IF(' Plan Energi 2015'!AM$39+' Plan Energi 2015'!AM$43+' Plan Energi 2015'!AM$52+' Plan Energi 2015'!AM$55+' Plan Energi 2015'!AM$62+' Plan Energi 2015'!AM$71&gt;0,' Plan Energi 2015'!AM$39+' Plan Energi 2015'!AM$43+' Plan Energi 2015'!AM$52+' Plan Energi 2015'!AM$55+' Plan Energi 2015'!AM$62+' Plan Energi 2015'!AM$71,1)</f>
        <v>0</v>
      </c>
      <c r="O168" s="650"/>
      <c r="P168" s="650">
        <f>' Plan Energi 2017'!AM$71/IF(' Plan Energi 2017'!AM$39+' Plan Energi 2017'!AM$43+' Plan Energi 2017'!AM$52+' Plan Energi 2017'!AM$55+' Plan Energi 2017'!AM$62+' Plan Energi 2017'!AM$71&gt;0,' Plan Energi 2017'!AM$39+' Plan Energi 2017'!AM$43+' Plan Energi 2017'!AM$52+' Plan Energi 2017'!AM$55+' Plan Energi 2017'!AM$62+' Plan Energi 2017'!AM$71,1)</f>
        <v>0</v>
      </c>
      <c r="Q168" s="650"/>
      <c r="R168" s="650">
        <f>' Plan Energi 2019'!AM$71/IF(' Plan Energi 2019'!AM$39+' Plan Energi 2019'!AM$43+' Plan Energi 2019'!AM$52+' Plan Energi 2019'!AM$55+' Plan Energi 2019'!AM$62+' Plan Energi 2019'!AM$71&gt;0,' Plan Energi 2019'!AM$39+' Plan Energi 2019'!AM$43+' Plan Energi 2019'!AM$52+' Plan Energi 2019'!AM$55+' Plan Energi 2019'!AM$62+' Plan Energi 2019'!AM$71,1)</f>
        <v>0</v>
      </c>
      <c r="S168" s="650"/>
      <c r="T168" s="669">
        <v>0</v>
      </c>
      <c r="U168" s="650"/>
      <c r="V168" s="669">
        <v>0</v>
      </c>
      <c r="W168" s="650"/>
      <c r="X168" s="604"/>
    </row>
    <row r="169" spans="1:24" x14ac:dyDescent="0.25">
      <c r="A169" s="629" t="s">
        <v>268</v>
      </c>
      <c r="B169" s="649">
        <f>B170+B174+B181+B201+B202</f>
        <v>6110.9508700646411</v>
      </c>
      <c r="C169" s="650"/>
      <c r="D169" s="649">
        <f>D170+D174+D181+D201+D202</f>
        <v>806.11064831984856</v>
      </c>
      <c r="E169" s="650"/>
      <c r="F169" s="649">
        <f>F170+F174+F181+F201+F202</f>
        <v>942.67281904517063</v>
      </c>
      <c r="G169" s="650">
        <f t="shared" ref="G169:Q181" si="53">(F169-D169)/IF(D169&gt;0,D169,1)/(F$1-D$1)</f>
        <v>8.4704358520728121E-2</v>
      </c>
      <c r="H169" s="649">
        <f>H170+H174+H181+H201+H202</f>
        <v>926.40207085440011</v>
      </c>
      <c r="I169" s="650">
        <f t="shared" si="53"/>
        <v>-1.7260228429256178E-2</v>
      </c>
      <c r="J169" s="649">
        <f>J170+J174+J181+J201+J202</f>
        <v>755.58668930352155</v>
      </c>
      <c r="K169" s="650">
        <f t="shared" si="53"/>
        <v>-9.2192897082656197E-2</v>
      </c>
      <c r="L169" s="649">
        <f>L170+L174+L181+L201+L202</f>
        <v>914.91389986059198</v>
      </c>
      <c r="M169" s="650">
        <f t="shared" si="53"/>
        <v>0.10543278012476222</v>
      </c>
      <c r="N169" s="649">
        <f>N170+N174+N181+N201+N202</f>
        <v>989.12513114801607</v>
      </c>
      <c r="O169" s="650">
        <f t="shared" si="53"/>
        <v>4.0556401700057164E-2</v>
      </c>
      <c r="P169" s="649">
        <f>P170+P174+P181+P201+P202</f>
        <v>1447.0674196953601</v>
      </c>
      <c r="Q169" s="650">
        <f t="shared" si="53"/>
        <v>0.23148855191649961</v>
      </c>
      <c r="R169" s="649">
        <f>R170+R174+R181+R201+R202</f>
        <v>1447.0674196953601</v>
      </c>
      <c r="S169" s="650">
        <f t="shared" ref="S169:S181" si="54">(R169-P169)/IF(P169&gt;0,P169,1)/IF(R$1-P$1&gt;0,R$1-P$1,1)</f>
        <v>0</v>
      </c>
      <c r="T169" s="649">
        <f>T170+T174+T181+T201+T202</f>
        <v>1447.0674196953601</v>
      </c>
      <c r="U169" s="650">
        <f>(T169-Nøgletal!P169)/IF(Nøgletal!P169&gt;0,Nøgletal!P169,1)/(T$1-Nøgletal!P$1)</f>
        <v>0</v>
      </c>
      <c r="V169" s="649">
        <f>V170+V174+V181+V201+V202</f>
        <v>1538.3882998198151</v>
      </c>
      <c r="W169" s="650">
        <f>(V169-Nøgletal!P169)/IF(T169&gt;0,T169,1)/(V$1-Nøgletal!P$1)</f>
        <v>4.8544269540498619E-3</v>
      </c>
      <c r="X169" s="604"/>
    </row>
    <row r="170" spans="1:24" x14ac:dyDescent="0.25">
      <c r="A170" s="631" t="s">
        <v>485</v>
      </c>
      <c r="B170" s="649">
        <f>SUM(B171:B173)</f>
        <v>546.29999999999995</v>
      </c>
      <c r="C170" s="650"/>
      <c r="D170" s="649">
        <f>SUM(D171:D173)</f>
        <v>360.6480689508</v>
      </c>
      <c r="E170" s="650"/>
      <c r="F170" s="649">
        <f>SUM(F171:F173)</f>
        <v>361.29182128919996</v>
      </c>
      <c r="G170" s="650">
        <f t="shared" si="53"/>
        <v>8.9249381020224553E-4</v>
      </c>
      <c r="H170" s="649">
        <f>SUM(H171:H173)</f>
        <v>364.20972817680001</v>
      </c>
      <c r="I170" s="650">
        <f t="shared" si="53"/>
        <v>8.076315918771889E-3</v>
      </c>
      <c r="J170" s="649">
        <f>SUM(J171:J173)</f>
        <v>236.69199981164161</v>
      </c>
      <c r="K170" s="650">
        <f t="shared" si="53"/>
        <v>-0.1750608488733954</v>
      </c>
      <c r="L170" s="649">
        <f>SUM(L171:L173)</f>
        <v>325.43687409790323</v>
      </c>
      <c r="M170" s="650">
        <f t="shared" si="53"/>
        <v>0.187469104061152</v>
      </c>
      <c r="N170" s="649">
        <f>SUM(N171:N173)</f>
        <v>400.1</v>
      </c>
      <c r="O170" s="650">
        <f t="shared" si="53"/>
        <v>0.11471214826079514</v>
      </c>
      <c r="P170" s="649">
        <f>SUM(P171:P173)</f>
        <v>546.29999999999995</v>
      </c>
      <c r="Q170" s="650">
        <f t="shared" si="53"/>
        <v>0.18270432391902014</v>
      </c>
      <c r="R170" s="649">
        <f>SUM(R171:R173)</f>
        <v>546.29999999999995</v>
      </c>
      <c r="S170" s="650">
        <f t="shared" si="54"/>
        <v>0</v>
      </c>
      <c r="T170" s="649">
        <f>'Fremstilling, Gartneri, Landbru'!R8</f>
        <v>546.29999999999995</v>
      </c>
      <c r="U170" s="724">
        <f>'Fremstilling, Gartneri, Landbru'!S8</f>
        <v>0</v>
      </c>
      <c r="V170" s="649">
        <f>'Fremstilling, Gartneri, Landbru'!T8</f>
        <v>591.63933737849322</v>
      </c>
      <c r="W170" s="725">
        <f>'Fremstilling, Gartneri, Landbru'!U8</f>
        <v>6.1518412046075444E-3</v>
      </c>
      <c r="X170" s="604"/>
    </row>
    <row r="171" spans="1:24" ht="15" customHeight="1" x14ac:dyDescent="0.25">
      <c r="A171" s="604" t="s">
        <v>305</v>
      </c>
      <c r="B171" s="649">
        <f>' Plan Energi 2030-S'!AN11</f>
        <v>18.600000000000001</v>
      </c>
      <c r="C171" s="650"/>
      <c r="D171" s="649">
        <f>' Plan Energi 2006'!AN11</f>
        <v>12.280865003999999</v>
      </c>
      <c r="E171" s="650"/>
      <c r="F171" s="649">
        <f>' Plan Energi 2008'!AN11</f>
        <v>12.302786196</v>
      </c>
      <c r="G171" s="650">
        <f t="shared" si="53"/>
        <v>8.9249381020232272E-4</v>
      </c>
      <c r="H171" s="649">
        <f>' Plan Energi 2009'!AN11</f>
        <v>12.402147384000001</v>
      </c>
      <c r="I171" s="650">
        <f t="shared" si="53"/>
        <v>8.0763159187718508E-3</v>
      </c>
      <c r="J171" s="649">
        <f>' Plan Energi 2011'!AN11</f>
        <v>8.0598864862079989</v>
      </c>
      <c r="K171" s="650">
        <f t="shared" si="53"/>
        <v>-0.17506084887339546</v>
      </c>
      <c r="L171" s="649">
        <f>' Plan Energi 2013'!AN11</f>
        <v>11.081845883016003</v>
      </c>
      <c r="M171" s="650">
        <f t="shared" si="53"/>
        <v>0.18746910406115225</v>
      </c>
      <c r="N171" s="649">
        <f>' Plan Energi 2015'!AN11</f>
        <v>13.6</v>
      </c>
      <c r="O171" s="650">
        <f t="shared" si="53"/>
        <v>0.113616185587065</v>
      </c>
      <c r="P171" s="649">
        <f>' Plan Energi 2017'!AN11</f>
        <v>18.600000000000001</v>
      </c>
      <c r="Q171" s="650">
        <f t="shared" si="53"/>
        <v>0.18382352941176477</v>
      </c>
      <c r="R171" s="649">
        <f>' Plan Energi 2019'!AN11</f>
        <v>18.600000000000001</v>
      </c>
      <c r="S171" s="650">
        <f t="shared" si="54"/>
        <v>0</v>
      </c>
      <c r="T171" s="649">
        <f>'Fremstilling, Gartneri, Landbru'!R9</f>
        <v>18.600000000000001</v>
      </c>
      <c r="U171" s="724">
        <f>'Fremstilling, Gartneri, Landbru'!S9</f>
        <v>0</v>
      </c>
      <c r="V171" s="649">
        <f>'Fremstilling, Gartneri, Landbru'!T9</f>
        <v>20.143678702617564</v>
      </c>
      <c r="W171" s="725">
        <f>'Fremstilling, Gartneri, Landbru'!U9</f>
        <v>6.1518412046075444E-3</v>
      </c>
      <c r="X171" s="604"/>
    </row>
    <row r="172" spans="1:24" ht="15" customHeight="1" x14ac:dyDescent="0.25">
      <c r="A172" s="604" t="s">
        <v>309</v>
      </c>
      <c r="B172" s="649">
        <f>' Plan Energi 2030-S'!AN12</f>
        <v>74.400000000000006</v>
      </c>
      <c r="C172" s="650"/>
      <c r="D172" s="649">
        <f>' Plan Energi 2006'!AN12</f>
        <v>49.12346001600001</v>
      </c>
      <c r="E172" s="650"/>
      <c r="F172" s="649">
        <f>' Plan Energi 2008'!AN12</f>
        <v>49.211144784000005</v>
      </c>
      <c r="G172" s="650">
        <f t="shared" si="53"/>
        <v>8.9249381020225008E-4</v>
      </c>
      <c r="H172" s="649">
        <f>' Plan Energi 2009'!AN12</f>
        <v>49.608589536000004</v>
      </c>
      <c r="I172" s="650">
        <f t="shared" si="53"/>
        <v>8.0763159187717051E-3</v>
      </c>
      <c r="J172" s="649">
        <f>' Plan Energi 2011'!AN12</f>
        <v>32.239545944831995</v>
      </c>
      <c r="K172" s="650">
        <f t="shared" si="53"/>
        <v>-0.17506084887339546</v>
      </c>
      <c r="L172" s="649">
        <f>' Plan Energi 2013'!AN12</f>
        <v>44.327383532064012</v>
      </c>
      <c r="M172" s="650">
        <f t="shared" si="53"/>
        <v>0.18746910406115225</v>
      </c>
      <c r="N172" s="649">
        <f>' Plan Energi 2015'!AN12</f>
        <v>54.5</v>
      </c>
      <c r="O172" s="650">
        <f t="shared" si="53"/>
        <v>0.11474415651645301</v>
      </c>
      <c r="P172" s="649">
        <f>' Plan Energi 2017'!AN12</f>
        <v>74.400000000000006</v>
      </c>
      <c r="Q172" s="650">
        <f t="shared" si="53"/>
        <v>0.18256880733944961</v>
      </c>
      <c r="R172" s="649">
        <f>' Plan Energi 2019'!AN12</f>
        <v>74.400000000000006</v>
      </c>
      <c r="S172" s="650">
        <f t="shared" si="54"/>
        <v>0</v>
      </c>
      <c r="T172" s="649">
        <f>'Fremstilling, Gartneri, Landbru'!R10</f>
        <v>74.400000000000006</v>
      </c>
      <c r="U172" s="724">
        <f>'Fremstilling, Gartneri, Landbru'!S10</f>
        <v>0</v>
      </c>
      <c r="V172" s="649">
        <f>'Fremstilling, Gartneri, Landbru'!T10</f>
        <v>80.574714810470255</v>
      </c>
      <c r="W172" s="725">
        <f>'Fremstilling, Gartneri, Landbru'!U10</f>
        <v>6.1518412046075444E-3</v>
      </c>
      <c r="X172" s="604"/>
    </row>
    <row r="173" spans="1:24" ht="15" customHeight="1" x14ac:dyDescent="0.25">
      <c r="A173" s="604" t="s">
        <v>290</v>
      </c>
      <c r="B173" s="649">
        <f>' Plan Energi 2030-S'!AN13</f>
        <v>453.3</v>
      </c>
      <c r="C173" s="650"/>
      <c r="D173" s="649">
        <f>' Plan Energi 2006'!AN13</f>
        <v>299.24374393080001</v>
      </c>
      <c r="E173" s="650"/>
      <c r="F173" s="649">
        <f>' Plan Energi 2008'!AN13</f>
        <v>299.77789030919996</v>
      </c>
      <c r="G173" s="650">
        <f t="shared" si="53"/>
        <v>8.9249381020221777E-4</v>
      </c>
      <c r="H173" s="649">
        <f>' Plan Energi 2009'!AN13</f>
        <v>302.19899125680001</v>
      </c>
      <c r="I173" s="650">
        <f t="shared" si="53"/>
        <v>8.076315918771915E-3</v>
      </c>
      <c r="J173" s="649">
        <f>' Plan Energi 2011'!AN13</f>
        <v>196.39256738060161</v>
      </c>
      <c r="K173" s="650">
        <f t="shared" si="53"/>
        <v>-0.1750608488733954</v>
      </c>
      <c r="L173" s="649">
        <f>' Plan Energi 2013'!AN13</f>
        <v>270.02764468282322</v>
      </c>
      <c r="M173" s="650">
        <f t="shared" si="53"/>
        <v>0.187469104061152</v>
      </c>
      <c r="N173" s="649">
        <f>' Plan Energi 2015'!AN13</f>
        <v>332</v>
      </c>
      <c r="O173" s="650">
        <f t="shared" si="53"/>
        <v>0.11475187177588805</v>
      </c>
      <c r="P173" s="649">
        <f>' Plan Energi 2017'!AN13</f>
        <v>453.3</v>
      </c>
      <c r="Q173" s="650">
        <f t="shared" si="53"/>
        <v>0.18268072289156628</v>
      </c>
      <c r="R173" s="649">
        <f>' Plan Energi 2019'!AN13</f>
        <v>453.3</v>
      </c>
      <c r="S173" s="650">
        <f t="shared" si="54"/>
        <v>0</v>
      </c>
      <c r="T173" s="649">
        <f>'Fremstilling, Gartneri, Landbru'!R11</f>
        <v>453.3</v>
      </c>
      <c r="U173" s="724">
        <f>'Fremstilling, Gartneri, Landbru'!S11</f>
        <v>0</v>
      </c>
      <c r="V173" s="649">
        <f>'Fremstilling, Gartneri, Landbru'!T11</f>
        <v>490.92094386540543</v>
      </c>
      <c r="W173" s="725">
        <f>'Fremstilling, Gartneri, Landbru'!U11</f>
        <v>6.1518412046075444E-3</v>
      </c>
      <c r="X173" s="604"/>
    </row>
    <row r="174" spans="1:24" x14ac:dyDescent="0.25">
      <c r="A174" s="631" t="s">
        <v>29</v>
      </c>
      <c r="B174" s="649">
        <f>SUM(B175:B178)</f>
        <v>5371.2870000000003</v>
      </c>
      <c r="C174" s="650"/>
      <c r="D174" s="649">
        <f>SUM(D175:D178)</f>
        <v>344.75700000000001</v>
      </c>
      <c r="E174" s="650"/>
      <c r="F174" s="649">
        <f>SUM(F175:F178)</f>
        <v>297.42960000000005</v>
      </c>
      <c r="G174" s="650">
        <f t="shared" si="53"/>
        <v>-6.8638780358339285E-2</v>
      </c>
      <c r="H174" s="649">
        <f>SUM(H175:H178)</f>
        <v>275.17860000000002</v>
      </c>
      <c r="I174" s="650">
        <f t="shared" si="53"/>
        <v>-7.4810980480759237E-2</v>
      </c>
      <c r="J174" s="649">
        <f>SUM(J175:J178)</f>
        <v>287.67149999999998</v>
      </c>
      <c r="K174" s="650">
        <f t="shared" si="53"/>
        <v>2.2699621264153466E-2</v>
      </c>
      <c r="L174" s="649">
        <f>SUM(L175:L178)</f>
        <v>364.64415681385674</v>
      </c>
      <c r="M174" s="650">
        <f t="shared" si="53"/>
        <v>0.13378568404213967</v>
      </c>
      <c r="N174" s="649">
        <f>SUM(N175:N178)</f>
        <v>366.5652</v>
      </c>
      <c r="O174" s="650">
        <f t="shared" si="53"/>
        <v>2.634134059529052E-3</v>
      </c>
      <c r="P174" s="649">
        <f>SUM(P175:P178)</f>
        <v>707.41500000000008</v>
      </c>
      <c r="Q174" s="650">
        <f t="shared" si="53"/>
        <v>0.46492383892415329</v>
      </c>
      <c r="R174" s="649">
        <f>SUM(R175:R178)</f>
        <v>707.41500000000008</v>
      </c>
      <c r="S174" s="650">
        <f t="shared" si="54"/>
        <v>0</v>
      </c>
      <c r="T174" s="649">
        <f>'Fremstilling, Gartneri, Landbru'!R12</f>
        <v>707.41500000000008</v>
      </c>
      <c r="U174" s="650">
        <f>(T146-Nøgletal!N146)/IF(Nøgletal!N146&gt;0,Nøgletal!N146,1)/(T$1-Nøgletal!N$1)</f>
        <v>0</v>
      </c>
      <c r="V174" s="649">
        <f>'Fremstilling, Gartneri, Landbru'!T12</f>
        <v>744.91612330670637</v>
      </c>
      <c r="W174" s="650">
        <f>(V174-Nøgletal!P174)/IF(T174&gt;0,T174,1)/(V$1-Nøgletal!P$1)</f>
        <v>4.0778069348593972E-3</v>
      </c>
      <c r="X174" s="604"/>
    </row>
    <row r="175" spans="1:24" x14ac:dyDescent="0.25">
      <c r="A175" s="604" t="s">
        <v>345</v>
      </c>
      <c r="B175" s="649">
        <f>' Plan Energi 2030-S'!AN16</f>
        <v>5.0729999999999995</v>
      </c>
      <c r="C175" s="650"/>
      <c r="D175" s="649">
        <f>' Plan Energi 2006'!AN16</f>
        <v>7.2731999999999992</v>
      </c>
      <c r="E175" s="650"/>
      <c r="F175" s="649">
        <f>' Plan Energi 2008'!AN16</f>
        <v>5.8368000000000011</v>
      </c>
      <c r="G175" s="650">
        <f t="shared" si="53"/>
        <v>-9.8746081504702071E-2</v>
      </c>
      <c r="H175" s="649">
        <f>' Plan Energi 2009'!AN16</f>
        <v>5.0615999999999994</v>
      </c>
      <c r="I175" s="650">
        <f t="shared" si="53"/>
        <v>-0.13281250000000025</v>
      </c>
      <c r="J175" s="649">
        <f>' Plan Energi 2011'!AN16</f>
        <v>4.8563999999999998</v>
      </c>
      <c r="K175" s="650">
        <f t="shared" si="53"/>
        <v>-2.0270270270270233E-2</v>
      </c>
      <c r="L175" s="649">
        <f>' Plan Energi 2013'!AN16</f>
        <v>4.6478158003708261</v>
      </c>
      <c r="M175" s="650">
        <f t="shared" si="53"/>
        <v>-2.147518734342041E-2</v>
      </c>
      <c r="N175" s="649">
        <f>' Plan Energi 2015'!AN16</f>
        <v>4.7651999999999992</v>
      </c>
      <c r="O175" s="650">
        <f t="shared" si="53"/>
        <v>1.2627888525596005E-2</v>
      </c>
      <c r="P175" s="649">
        <f>' Plan Energi 2017'!AN16</f>
        <v>5.0729999999999995</v>
      </c>
      <c r="Q175" s="650">
        <f t="shared" si="53"/>
        <v>3.2296650717703386E-2</v>
      </c>
      <c r="R175" s="649">
        <f>' Plan Energi 2019'!AN16</f>
        <v>5.0729999999999995</v>
      </c>
      <c r="S175" s="650">
        <f t="shared" si="54"/>
        <v>0</v>
      </c>
      <c r="T175" s="649">
        <f>'Fremstilling, Gartneri, Landbru'!R13</f>
        <v>5.0729999999999995</v>
      </c>
      <c r="U175" s="724">
        <f>'Fremstilling, Gartneri, Landbru'!S13</f>
        <v>0</v>
      </c>
      <c r="V175" s="649">
        <f>'Fremstilling, Gartneri, Landbru'!T13</f>
        <v>4.8340671977132192</v>
      </c>
      <c r="W175" s="725">
        <f>'Fremstilling, Gartneri, Landbru'!U13</f>
        <v>-3.7042128253242934E-3</v>
      </c>
      <c r="X175" s="604"/>
    </row>
    <row r="176" spans="1:24" x14ac:dyDescent="0.25">
      <c r="A176" s="604" t="s">
        <v>292</v>
      </c>
      <c r="B176" s="649">
        <f>' Plan Energi 2030-S'!AN23</f>
        <v>24.641999999999999</v>
      </c>
      <c r="C176" s="650"/>
      <c r="D176" s="649">
        <f>' Plan Energi 2006'!AN23</f>
        <v>24.3</v>
      </c>
      <c r="E176" s="650"/>
      <c r="F176" s="649">
        <f>' Plan Energi 2008'!AN23</f>
        <v>25.2</v>
      </c>
      <c r="G176" s="650">
        <f t="shared" si="53"/>
        <v>1.851851851851849E-2</v>
      </c>
      <c r="H176" s="649">
        <f>' Plan Energi 2009'!AN23</f>
        <v>26.1</v>
      </c>
      <c r="I176" s="650">
        <f t="shared" si="53"/>
        <v>3.5714285714285803E-2</v>
      </c>
      <c r="J176" s="649">
        <f>' Plan Energi 2011'!AN23</f>
        <v>19.8</v>
      </c>
      <c r="K176" s="650">
        <f t="shared" si="53"/>
        <v>-0.1206896551724138</v>
      </c>
      <c r="L176" s="649">
        <f>' Plan Energi 2013'!AN23</f>
        <v>19.049983783783784</v>
      </c>
      <c r="M176" s="650">
        <f t="shared" si="53"/>
        <v>-1.8939803439803459E-2</v>
      </c>
      <c r="N176" s="649">
        <f>' Plan Energi 2015'!AN23</f>
        <v>9</v>
      </c>
      <c r="O176" s="650">
        <f t="shared" si="53"/>
        <v>-0.26377932647740071</v>
      </c>
      <c r="P176" s="649">
        <f>' Plan Energi 2017'!AN23</f>
        <v>24.641999999999999</v>
      </c>
      <c r="Q176" s="650">
        <f t="shared" si="53"/>
        <v>0.86899999999999999</v>
      </c>
      <c r="R176" s="649">
        <f>' Plan Energi 2019'!AN23</f>
        <v>24.641999999999999</v>
      </c>
      <c r="S176" s="650">
        <f t="shared" si="54"/>
        <v>0</v>
      </c>
      <c r="T176" s="649">
        <f>'Fremstilling, Gartneri, Landbru'!R14</f>
        <v>24.641999999999999</v>
      </c>
      <c r="U176" s="724">
        <f>'Fremstilling, Gartneri, Landbru'!S14</f>
        <v>0</v>
      </c>
      <c r="V176" s="649">
        <f>'Fremstilling, Gartneri, Landbru'!T14</f>
        <v>19.910626759762295</v>
      </c>
      <c r="W176" s="725">
        <f>'Fremstilling, Gartneri, Landbru'!U14</f>
        <v>-1.6266154307503333E-2</v>
      </c>
      <c r="X176" s="604"/>
    </row>
    <row r="177" spans="1:24" x14ac:dyDescent="0.25">
      <c r="A177" s="604" t="s">
        <v>294</v>
      </c>
      <c r="B177" s="649">
        <f>' Plan Energi 2030-S'!AN24</f>
        <v>677.7</v>
      </c>
      <c r="C177" s="650"/>
      <c r="D177" s="649">
        <f>' Plan Energi 2006'!AN24</f>
        <v>313.18380000000002</v>
      </c>
      <c r="E177" s="650"/>
      <c r="F177" s="649">
        <f>' Plan Energi 2008'!AN24</f>
        <v>266.39280000000002</v>
      </c>
      <c r="G177" s="650">
        <f t="shared" si="53"/>
        <v>-7.4702139765849954E-2</v>
      </c>
      <c r="H177" s="649">
        <f>' Plan Energi 2009'!AN24</f>
        <v>244.017</v>
      </c>
      <c r="I177" s="650">
        <f t="shared" si="53"/>
        <v>-8.3995513392253932E-2</v>
      </c>
      <c r="J177" s="649">
        <f>' Plan Energi 2011'!AN24</f>
        <v>263.01509999999996</v>
      </c>
      <c r="K177" s="650">
        <f t="shared" si="53"/>
        <v>3.8927820602662859E-2</v>
      </c>
      <c r="L177" s="649">
        <f>' Plan Energi 2013'!AN24</f>
        <v>340.94635722970213</v>
      </c>
      <c r="M177" s="650">
        <f t="shared" si="53"/>
        <v>0.14814977776884708</v>
      </c>
      <c r="N177" s="649">
        <f>' Plan Energi 2015'!AN24</f>
        <v>352.8</v>
      </c>
      <c r="O177" s="650">
        <f t="shared" si="53"/>
        <v>1.7383442466745367E-2</v>
      </c>
      <c r="P177" s="649">
        <f>' Plan Energi 2017'!AN24</f>
        <v>677.7</v>
      </c>
      <c r="Q177" s="650">
        <f t="shared" si="53"/>
        <v>0.46045918367346944</v>
      </c>
      <c r="R177" s="649">
        <f>' Plan Energi 2019'!AN24</f>
        <v>677.7</v>
      </c>
      <c r="S177" s="650">
        <f t="shared" si="54"/>
        <v>0</v>
      </c>
      <c r="T177" s="649">
        <f>'Fremstilling, Gartneri, Landbru'!R15</f>
        <v>677.7</v>
      </c>
      <c r="U177" s="724">
        <f>'Fremstilling, Gartneri, Landbru'!S15</f>
        <v>0</v>
      </c>
      <c r="V177" s="649">
        <f>'Fremstilling, Gartneri, Landbru'!T15</f>
        <v>720.17142934923083</v>
      </c>
      <c r="W177" s="725">
        <f>'Fremstilling, Gartneri, Landbru'!U15</f>
        <v>4.6866842988202428E-3</v>
      </c>
      <c r="X177" s="604"/>
    </row>
    <row r="178" spans="1:24" x14ac:dyDescent="0.25">
      <c r="A178" s="604" t="s">
        <v>355</v>
      </c>
      <c r="B178" s="649">
        <f>' Plan Energi 2030-S'!AN25</f>
        <v>4663.8720000000003</v>
      </c>
      <c r="C178" s="650"/>
      <c r="D178" s="649">
        <f>' Plan Energi 2006'!AN25</f>
        <v>0</v>
      </c>
      <c r="E178" s="650"/>
      <c r="F178" s="649">
        <f>' Plan Energi 2008'!AN25</f>
        <v>0</v>
      </c>
      <c r="G178" s="650">
        <f t="shared" si="53"/>
        <v>0</v>
      </c>
      <c r="H178" s="649">
        <f>' Plan Energi 2009'!AN25</f>
        <v>0</v>
      </c>
      <c r="I178" s="650">
        <f t="shared" si="53"/>
        <v>0</v>
      </c>
      <c r="J178" s="649">
        <f>' Plan Energi 2011'!AN25</f>
        <v>0</v>
      </c>
      <c r="K178" s="650">
        <f t="shared" si="53"/>
        <v>0</v>
      </c>
      <c r="L178" s="649">
        <f>' Plan Energi 2013'!AN25</f>
        <v>0</v>
      </c>
      <c r="M178" s="650">
        <f t="shared" si="53"/>
        <v>0</v>
      </c>
      <c r="N178" s="649">
        <f>' Plan Energi 2015'!AN25</f>
        <v>0</v>
      </c>
      <c r="O178" s="650">
        <f t="shared" si="53"/>
        <v>0</v>
      </c>
      <c r="P178" s="649">
        <f>' Plan Energi 2017'!AN25</f>
        <v>0</v>
      </c>
      <c r="Q178" s="650">
        <f t="shared" si="53"/>
        <v>0</v>
      </c>
      <c r="R178" s="649">
        <f>' Plan Energi 2019'!AN25</f>
        <v>0</v>
      </c>
      <c r="S178" s="650">
        <f t="shared" si="54"/>
        <v>0</v>
      </c>
      <c r="T178" s="649">
        <f>'Fremstilling, Gartneri, Landbru'!R16</f>
        <v>0</v>
      </c>
      <c r="U178" s="724">
        <f>'Fremstilling, Gartneri, Landbru'!S16</f>
        <v>0</v>
      </c>
      <c r="V178" s="649">
        <f>'Fremstilling, Gartneri, Landbru'!T16</f>
        <v>0</v>
      </c>
      <c r="W178" s="725">
        <f>'Fremstilling, Gartneri, Landbru'!U16</f>
        <v>4.6866842988202428E-3</v>
      </c>
      <c r="X178" s="604"/>
    </row>
    <row r="179" spans="1:24" x14ac:dyDescent="0.25">
      <c r="A179" s="631" t="s">
        <v>526</v>
      </c>
      <c r="B179" s="649">
        <f>' Plan Energi 2030-S'!AN$14+SUM(' Plan Energi 2030-S'!AN$17:AN$22)+' Plan Energi 2030-S'!AN$10+' Plan Energi 2030-S'!AN$9</f>
        <v>0</v>
      </c>
      <c r="C179" s="650"/>
      <c r="D179" s="649">
        <f>' Plan Energi 2006'!AN$14+SUM(' Plan Energi 2006'!AN$17:AN$22)+' Plan Energi 2006'!AN$10+' Plan Energi 2006'!AN$9</f>
        <v>0</v>
      </c>
      <c r="E179" s="650"/>
      <c r="F179" s="649">
        <f>' Plan Energi 2008'!AN$14+SUM(' Plan Energi 2008'!AN$17:AN$22)+' Plan Energi 2008'!AN$10+' Plan Energi 2008'!AN$9</f>
        <v>0</v>
      </c>
      <c r="G179" s="650">
        <f t="shared" si="53"/>
        <v>0</v>
      </c>
      <c r="H179" s="649">
        <f>' Plan Energi 2009'!AN$14+SUM(' Plan Energi 2009'!AN$17:AN$22)+' Plan Energi 2009'!AN$10+' Plan Energi 2009'!AN$9</f>
        <v>0</v>
      </c>
      <c r="I179" s="650">
        <f t="shared" si="53"/>
        <v>0</v>
      </c>
      <c r="J179" s="649">
        <f>' Plan Energi 2011'!AN$14+SUM(' Plan Energi 2011'!AN$17:AN$22)+' Plan Energi 2011'!AN$10+' Plan Energi 2011'!AN$9</f>
        <v>0</v>
      </c>
      <c r="K179" s="650">
        <f t="shared" si="53"/>
        <v>0</v>
      </c>
      <c r="L179" s="649">
        <f>' Plan Energi 2013'!AN$14+SUM(' Plan Energi 2013'!AN$17:AN$22)+' Plan Energi 2013'!AN$10+' Plan Energi 2013'!AN$9</f>
        <v>0</v>
      </c>
      <c r="M179" s="650">
        <f t="shared" si="53"/>
        <v>0</v>
      </c>
      <c r="N179" s="649">
        <f>' Plan Energi 2015'!AN$14+SUM(' Plan Energi 2015'!AN$17:AN$22)+' Plan Energi 2015'!AN$10+' Plan Energi 2015'!AN$9</f>
        <v>0</v>
      </c>
      <c r="O179" s="650">
        <f t="shared" si="53"/>
        <v>0</v>
      </c>
      <c r="P179" s="649">
        <f>' Plan Energi 2017'!AN$14+SUM(' Plan Energi 2017'!AN$17:AN$22)+' Plan Energi 2017'!AN$10+' Plan Energi 2017'!AN$9</f>
        <v>0</v>
      </c>
      <c r="Q179" s="650">
        <f t="shared" si="53"/>
        <v>0</v>
      </c>
      <c r="R179" s="649">
        <f>' Plan Energi 2019'!AN$14+SUM(' Plan Energi 2019'!AN$17:AN$22)+' Plan Energi 2019'!AN$10+' Plan Energi 2019'!AN$9</f>
        <v>0</v>
      </c>
      <c r="S179" s="650">
        <f t="shared" si="54"/>
        <v>0</v>
      </c>
      <c r="T179" s="649">
        <f>'Fremstilling, Gartneri, Landbru'!R17</f>
        <v>0</v>
      </c>
      <c r="U179" s="724">
        <f>'Fremstilling, Gartneri, Landbru'!S17</f>
        <v>0</v>
      </c>
      <c r="V179" s="649">
        <f>'Fremstilling, Gartneri, Landbru'!T17</f>
        <v>0</v>
      </c>
      <c r="W179" s="725">
        <f>'Fremstilling, Gartneri, Landbru'!U17</f>
        <v>4.6866842988202428E-3</v>
      </c>
      <c r="X179" s="604"/>
    </row>
    <row r="180" spans="1:24" x14ac:dyDescent="0.25">
      <c r="A180" s="631" t="s">
        <v>28</v>
      </c>
      <c r="B180" s="649">
        <f>' Plan Energi 2030-S'!AN$39+' Plan Energi 2030-S'!AN$43+' Plan Energi 2030-S'!$AN$52+' Plan Energi 2030-S'!AN$55+' Plan Energi 2030-S'!AN$62+' Plan Energi 2030-S'!AN$71</f>
        <v>50.963470064640006</v>
      </c>
      <c r="C180" s="650"/>
      <c r="D180" s="649">
        <f>' Plan Energi 2006'!AN$39+' Plan Energi 2006'!AN$43+' Plan Energi 2006'!$AN$52+' Plan Energi 2006'!AN$55+' Plan Energi 2006'!AN$62+' Plan Energi 2006'!AN$71</f>
        <v>100.70557936904856</v>
      </c>
      <c r="E180" s="650"/>
      <c r="F180" s="649">
        <f>' Plan Energi 2008'!AN$39+' Plan Energi 2008'!AN$43+' Plan Energi 2008'!$AN$52+' Plan Energi 2008'!AN$55+' Plan Energi 2008'!AN$62+' Plan Energi 2008'!AN$71</f>
        <v>94.128197755970589</v>
      </c>
      <c r="G180" s="650">
        <f t="shared" si="53"/>
        <v>-3.2656490605025533E-2</v>
      </c>
      <c r="H180" s="649">
        <f>' Plan Energi 2009'!AN$39+' Plan Energi 2009'!AN$43+' Plan Energi 2009'!$AN$52+' Plan Energi 2009'!AN$55+' Plan Energi 2009'!AN$62+' Plan Energi 2009'!AN$71</f>
        <v>98.309842677600017</v>
      </c>
      <c r="I180" s="650">
        <f t="shared" si="53"/>
        <v>4.442499719871864E-2</v>
      </c>
      <c r="J180" s="649">
        <f>' Plan Energi 2011'!AN$39+' Plan Energi 2011'!AN$43+' Plan Energi 2011'!$AN$52+' Plan Energi 2011'!AN$55+' Plan Energi 2011'!AN$62+' Plan Energi 2011'!AN$71</f>
        <v>86.115109491879991</v>
      </c>
      <c r="K180" s="650">
        <f t="shared" si="53"/>
        <v>-6.2021934190820374E-2</v>
      </c>
      <c r="L180" s="649">
        <f>' Plan Energi 2013'!AN$39+' Plan Energi 2013'!AN$43+' Plan Energi 2013'!$AN$52+' Plan Energi 2013'!AN$55+' Plan Energi 2013'!AN$62+' Plan Energi 2013'!AN$71</f>
        <v>71.644421548832028</v>
      </c>
      <c r="M180" s="650">
        <f t="shared" si="53"/>
        <v>-8.4019448087750734E-2</v>
      </c>
      <c r="N180" s="649">
        <f>' Plan Energi 2015'!AN$39+' Plan Energi 2015'!AN$43+' Plan Energi 2015'!$AN$52+' Plan Energi 2015'!AN$55+' Plan Energi 2015'!AN$62+' Plan Energi 2015'!AN$71</f>
        <v>69.27148374801601</v>
      </c>
      <c r="O180" s="650">
        <f t="shared" si="53"/>
        <v>-1.6560520341410326E-2</v>
      </c>
      <c r="P180" s="649">
        <f>' Plan Energi 2017'!AN$39+' Plan Energi 2017'!AN$43+' Plan Energi 2017'!$AN$52+' Plan Energi 2017'!AN$55+' Plan Energi 2017'!AN$62+' Plan Energi 2017'!AN$71</f>
        <v>50.952019695360008</v>
      </c>
      <c r="Q180" s="650">
        <f t="shared" si="53"/>
        <v>-0.1322294764126565</v>
      </c>
      <c r="R180" s="649">
        <f>' Plan Energi 2019'!AN$39+' Plan Energi 2019'!AN$43+' Plan Energi 2019'!$AN$52+' Plan Energi 2019'!AN$55+' Plan Energi 2019'!AN$62+' Plan Energi 2019'!AN$71</f>
        <v>50.952019695360008</v>
      </c>
      <c r="S180" s="650">
        <f t="shared" si="54"/>
        <v>0</v>
      </c>
      <c r="T180" s="649">
        <f>Fjernvarmeprognose!R16</f>
        <v>50.952019695360008</v>
      </c>
      <c r="U180" s="724">
        <f>Fjernvarmeprognose!S16</f>
        <v>0</v>
      </c>
      <c r="V180" s="649">
        <f>Fjernvarmeprognose!T16</f>
        <v>47.614134579549741</v>
      </c>
      <c r="W180" s="725">
        <f>Fjernvarmeprognose!U16</f>
        <v>-5.1983444847796267E-3</v>
      </c>
      <c r="X180" s="604"/>
    </row>
    <row r="181" spans="1:24" x14ac:dyDescent="0.25">
      <c r="A181" s="631" t="s">
        <v>486</v>
      </c>
      <c r="B181" s="649">
        <f>B179+B180</f>
        <v>50.963470064640006</v>
      </c>
      <c r="C181" s="650"/>
      <c r="D181" s="649">
        <f>D179+D180</f>
        <v>100.70557936904856</v>
      </c>
      <c r="E181" s="650"/>
      <c r="F181" s="649">
        <f>F179+F180</f>
        <v>94.128197755970589</v>
      </c>
      <c r="G181" s="650">
        <f t="shared" si="53"/>
        <v>-3.2656490605025533E-2</v>
      </c>
      <c r="H181" s="649">
        <f>H179+H180</f>
        <v>98.309842677600017</v>
      </c>
      <c r="I181" s="650">
        <f t="shared" si="53"/>
        <v>4.442499719871864E-2</v>
      </c>
      <c r="J181" s="649">
        <f>J179+J180</f>
        <v>86.115109491879991</v>
      </c>
      <c r="K181" s="650">
        <f t="shared" si="53"/>
        <v>-6.2021934190820374E-2</v>
      </c>
      <c r="L181" s="649">
        <f>L179+L180</f>
        <v>71.644421548832028</v>
      </c>
      <c r="M181" s="650">
        <f t="shared" si="53"/>
        <v>-8.4019448087750734E-2</v>
      </c>
      <c r="N181" s="649">
        <f>N179+N180</f>
        <v>69.27148374801601</v>
      </c>
      <c r="O181" s="650">
        <f t="shared" si="53"/>
        <v>-1.6560520341410326E-2</v>
      </c>
      <c r="P181" s="649">
        <f>P179+P180</f>
        <v>50.952019695360008</v>
      </c>
      <c r="Q181" s="650">
        <f t="shared" si="53"/>
        <v>-0.1322294764126565</v>
      </c>
      <c r="R181" s="649">
        <f>R179+R180</f>
        <v>50.952019695360008</v>
      </c>
      <c r="S181" s="650">
        <f t="shared" si="54"/>
        <v>0</v>
      </c>
      <c r="T181" s="649">
        <f>T179+T180</f>
        <v>50.952019695360008</v>
      </c>
      <c r="U181" s="650">
        <f>(T181-Nøgletal!P181)/IF(Nøgletal!P181&gt;0,Nøgletal!P181,1)/(T$1-Nøgletal!P$1)</f>
        <v>0</v>
      </c>
      <c r="V181" s="649">
        <f>V179+V180</f>
        <v>47.614134579549741</v>
      </c>
      <c r="W181" s="650">
        <f>(V181-Nøgletal!P181)/IF(T181&gt;0,T181,1)/(V$1-Nøgletal!P$1)</f>
        <v>-5.039258405437631E-3</v>
      </c>
      <c r="X181" s="604"/>
    </row>
    <row r="182" spans="1:24" x14ac:dyDescent="0.25">
      <c r="A182" s="633" t="s">
        <v>487</v>
      </c>
      <c r="B182" s="650">
        <f>B179/IF(B181&gt;0,B181,1)</f>
        <v>0</v>
      </c>
      <c r="C182" s="650"/>
      <c r="D182" s="650">
        <f>D179/IF(D181&gt;0,D181,1)</f>
        <v>0</v>
      </c>
      <c r="E182" s="650"/>
      <c r="F182" s="650">
        <f>F179/IF(F181&gt;0,F181,1)</f>
        <v>0</v>
      </c>
      <c r="G182" s="650"/>
      <c r="H182" s="650">
        <f>H179/IF(H181&gt;0,H181,1)</f>
        <v>0</v>
      </c>
      <c r="I182" s="650"/>
      <c r="J182" s="650">
        <f>J179/IF(J181&gt;0,J181,1)</f>
        <v>0</v>
      </c>
      <c r="K182" s="650"/>
      <c r="L182" s="650">
        <f>L179/IF(L181&gt;0,L181,1)</f>
        <v>0</v>
      </c>
      <c r="M182" s="650"/>
      <c r="N182" s="650">
        <f>N179/IF(N181&gt;0,N181,1)</f>
        <v>0</v>
      </c>
      <c r="O182" s="650"/>
      <c r="P182" s="650">
        <f>P179/IF(P181&gt;0,P181,1)</f>
        <v>0</v>
      </c>
      <c r="Q182" s="650"/>
      <c r="R182" s="650">
        <f>R179/IF(R181&gt;0,R181,1)</f>
        <v>0</v>
      </c>
      <c r="S182" s="650"/>
      <c r="T182" s="650">
        <f>T179/IF(T181&gt;0,T181,1)</f>
        <v>0</v>
      </c>
      <c r="U182" s="645"/>
      <c r="V182" s="650">
        <f>V179/IF(V181&gt;0,V181,1)</f>
        <v>0</v>
      </c>
      <c r="W182" s="645"/>
      <c r="X182" s="604"/>
    </row>
    <row r="183" spans="1:24" x14ac:dyDescent="0.25">
      <c r="A183" s="633" t="s">
        <v>488</v>
      </c>
      <c r="B183" s="650">
        <f>B180/IF(B181&gt;0,B181,1)</f>
        <v>1</v>
      </c>
      <c r="C183" s="650"/>
      <c r="D183" s="650">
        <f>D180/IF(D181&gt;0,D181,1)</f>
        <v>1</v>
      </c>
      <c r="E183" s="650"/>
      <c r="F183" s="650">
        <f>F180/IF(F181&gt;0,F181,1)</f>
        <v>1</v>
      </c>
      <c r="G183" s="650"/>
      <c r="H183" s="650">
        <f>H180/IF(H181&gt;0,H181,1)</f>
        <v>1</v>
      </c>
      <c r="I183" s="650"/>
      <c r="J183" s="650">
        <f>J180/IF(J181&gt;0,J181,1)</f>
        <v>1</v>
      </c>
      <c r="K183" s="650"/>
      <c r="L183" s="650">
        <f>L180/IF(L181&gt;0,L181,1)</f>
        <v>1</v>
      </c>
      <c r="M183" s="650"/>
      <c r="N183" s="650">
        <f>N180/IF(N181&gt;0,N181,1)</f>
        <v>1</v>
      </c>
      <c r="O183" s="650"/>
      <c r="P183" s="650">
        <f>P180/IF(P181&gt;0,P181,1)</f>
        <v>1</v>
      </c>
      <c r="Q183" s="650"/>
      <c r="R183" s="650">
        <f>R180/IF(R181&gt;0,R181,1)</f>
        <v>1</v>
      </c>
      <c r="S183" s="650"/>
      <c r="T183" s="650">
        <f>T180/IF(T181&gt;0,T181,1)</f>
        <v>1</v>
      </c>
      <c r="U183" s="645"/>
      <c r="V183" s="650">
        <f>V180/IF(V181&gt;0,V181,1)</f>
        <v>1</v>
      </c>
      <c r="W183" s="645"/>
      <c r="X183" s="604"/>
    </row>
    <row r="184" spans="1:24" x14ac:dyDescent="0.25">
      <c r="A184" s="633" t="s">
        <v>490</v>
      </c>
      <c r="B184" s="650"/>
      <c r="C184" s="650"/>
      <c r="D184" s="650"/>
      <c r="E184" s="650"/>
      <c r="F184" s="650"/>
      <c r="G184" s="650"/>
      <c r="H184" s="650"/>
      <c r="I184" s="650"/>
      <c r="J184" s="650"/>
      <c r="K184" s="650"/>
      <c r="L184" s="650"/>
      <c r="M184" s="650"/>
      <c r="N184" s="650"/>
      <c r="O184" s="650"/>
      <c r="P184" s="650"/>
      <c r="Q184" s="650"/>
      <c r="R184" s="650"/>
      <c r="S184" s="650"/>
      <c r="T184" s="645"/>
      <c r="U184" s="645"/>
      <c r="V184" s="645"/>
      <c r="W184" s="645"/>
      <c r="X184" s="604"/>
    </row>
    <row r="185" spans="1:24" x14ac:dyDescent="0.25">
      <c r="A185" s="604" t="s">
        <v>344</v>
      </c>
      <c r="B185" s="650">
        <f>' Plan Energi 2030-S'!AN14/IF('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85" s="650"/>
      <c r="D185" s="650">
        <f>' Plan Energi 2006'!AN14/IF('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85" s="650"/>
      <c r="F185" s="650">
        <f>' Plan Energi 2008'!AN14/IF('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85" s="650"/>
      <c r="H185" s="650">
        <f>' Plan Energi 2009'!AN14/IF('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85" s="650"/>
      <c r="J185" s="650">
        <f>' Plan Energi 2011'!AN14/IF('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85" s="650"/>
      <c r="L185" s="650">
        <f>' Plan Energi 2013'!AN14/IF('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85" s="650"/>
      <c r="N185" s="650">
        <f>' Plan Energi 2015'!AN14/IF('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85" s="650"/>
      <c r="P185" s="650">
        <f>' Plan Energi 2017'!AN14/IF('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85" s="650"/>
      <c r="R185" s="650">
        <f>' Plan Energi 2019'!AN14/IF('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85" s="650"/>
      <c r="T185" s="726">
        <f>'Fremstilling, Gartneri, Landbru'!R20</f>
        <v>0</v>
      </c>
      <c r="U185" s="645"/>
      <c r="V185" s="726">
        <f>'Fremstilling, Gartneri, Landbru'!T20</f>
        <v>0</v>
      </c>
      <c r="W185" s="645"/>
      <c r="X185" s="604"/>
    </row>
    <row r="186" spans="1:24" x14ac:dyDescent="0.25">
      <c r="A186" s="604" t="s">
        <v>346</v>
      </c>
      <c r="B186" s="650">
        <f>' Plan Energi 2030-S'!AN17/IF('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86" s="650"/>
      <c r="D186" s="650">
        <f>' Plan Energi 2006'!AN17/IF('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86" s="650"/>
      <c r="F186" s="650">
        <f>' Plan Energi 2008'!AN17/IF('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86" s="650"/>
      <c r="H186" s="650">
        <f>' Plan Energi 2009'!AN17/IF('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86" s="650"/>
      <c r="J186" s="650">
        <f>' Plan Energi 2011'!AN17/IF('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86" s="650"/>
      <c r="L186" s="650">
        <f>' Plan Energi 2013'!AN17/IF('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86" s="650"/>
      <c r="N186" s="650">
        <f>' Plan Energi 2015'!AN17/IF('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86" s="650"/>
      <c r="P186" s="650">
        <f>' Plan Energi 2017'!AN17/IF('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86" s="650"/>
      <c r="R186" s="650">
        <f>' Plan Energi 2019'!AN17/IF('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86" s="650"/>
      <c r="T186" s="726">
        <f>'Fremstilling, Gartneri, Landbru'!R21</f>
        <v>0</v>
      </c>
      <c r="U186" s="645"/>
      <c r="V186" s="726">
        <f>'Fremstilling, Gartneri, Landbru'!T21</f>
        <v>0.26577025232403723</v>
      </c>
      <c r="W186" s="645"/>
      <c r="X186" s="604"/>
    </row>
    <row r="187" spans="1:24" x14ac:dyDescent="0.25">
      <c r="A187" s="604" t="s">
        <v>347</v>
      </c>
      <c r="B187" s="650">
        <f>' Plan Energi 2030-S'!AN18/IF('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87" s="650"/>
      <c r="D187" s="650">
        <f>' Plan Energi 2006'!AN18/IF('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87" s="650"/>
      <c r="F187" s="650">
        <f>' Plan Energi 2008'!AN18/IF('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87" s="650"/>
      <c r="H187" s="650">
        <f>' Plan Energi 2009'!AN18/IF('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87" s="650"/>
      <c r="J187" s="650">
        <f>' Plan Energi 2011'!AN18/IF('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87" s="650"/>
      <c r="L187" s="650">
        <f>' Plan Energi 2013'!AN18/IF('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87" s="650"/>
      <c r="N187" s="650">
        <f>' Plan Energi 2015'!AN18/IF('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87" s="650"/>
      <c r="P187" s="650">
        <f>' Plan Energi 2017'!AN18/IF('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87" s="650"/>
      <c r="R187" s="650">
        <f>' Plan Energi 2019'!AN18/IF('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87" s="650"/>
      <c r="T187" s="726">
        <f>'Fremstilling, Gartneri, Landbru'!R22</f>
        <v>0</v>
      </c>
      <c r="U187" s="645"/>
      <c r="V187" s="726">
        <f>'Fremstilling, Gartneri, Landbru'!T22</f>
        <v>0.38213811420982741</v>
      </c>
      <c r="W187" s="645"/>
      <c r="X187" s="604"/>
    </row>
    <row r="188" spans="1:24" x14ac:dyDescent="0.25">
      <c r="A188" s="604" t="s">
        <v>348</v>
      </c>
      <c r="B188" s="650">
        <f>' Plan Energi 2030-S'!AN19/IF('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88" s="650"/>
      <c r="D188" s="650">
        <f>' Plan Energi 2006'!AN19/IF('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88" s="650"/>
      <c r="F188" s="650">
        <f>' Plan Energi 2008'!AN19/IF('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88" s="650"/>
      <c r="H188" s="650">
        <f>' Plan Energi 2009'!AN19/IF('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88" s="650"/>
      <c r="J188" s="650">
        <f>' Plan Energi 2011'!AN19/IF('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88" s="650"/>
      <c r="L188" s="650">
        <f>' Plan Energi 2013'!AN19/IF('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88" s="650"/>
      <c r="N188" s="650">
        <f>' Plan Energi 2015'!AN19/IF('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88" s="650"/>
      <c r="P188" s="650">
        <f>' Plan Energi 2017'!AN19/IF('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88" s="650"/>
      <c r="R188" s="650">
        <f>' Plan Energi 2019'!AN19/IF('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88" s="650"/>
      <c r="T188" s="726">
        <f>'Fremstilling, Gartneri, Landbru'!R23</f>
        <v>0</v>
      </c>
      <c r="U188" s="645"/>
      <c r="V188" s="726">
        <f>'Fremstilling, Gartneri, Landbru'!T23</f>
        <v>0.25348605577689243</v>
      </c>
      <c r="W188" s="645"/>
      <c r="X188" s="604"/>
    </row>
    <row r="189" spans="1:24" x14ac:dyDescent="0.25">
      <c r="A189" s="604" t="s">
        <v>349</v>
      </c>
      <c r="B189" s="650">
        <f>' Plan Energi 2030-S'!AN20/IF('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89" s="650"/>
      <c r="D189" s="650">
        <f>' Plan Energi 2006'!AN20/IF('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89" s="650"/>
      <c r="F189" s="650">
        <f>' Plan Energi 2008'!AN20/IF('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89" s="650"/>
      <c r="H189" s="650">
        <f>' Plan Energi 2009'!AN20/IF('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89" s="650"/>
      <c r="J189" s="650">
        <f>' Plan Energi 2011'!AN20/IF('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89" s="650"/>
      <c r="L189" s="650">
        <f>' Plan Energi 2013'!AN20/IF('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89" s="650"/>
      <c r="N189" s="650">
        <f>' Plan Energi 2015'!AN20/IF('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89" s="650"/>
      <c r="P189" s="650">
        <f>' Plan Energi 2017'!AN20/IF('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89" s="650"/>
      <c r="R189" s="650">
        <f>' Plan Energi 2019'!AN20/IF('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89" s="650"/>
      <c r="T189" s="726">
        <f>'Fremstilling, Gartneri, Landbru'!R24</f>
        <v>0</v>
      </c>
      <c r="U189" s="645"/>
      <c r="V189" s="726">
        <f>'Fremstilling, Gartneri, Landbru'!T24</f>
        <v>0</v>
      </c>
      <c r="W189" s="645"/>
      <c r="X189" s="604"/>
    </row>
    <row r="190" spans="1:24" x14ac:dyDescent="0.25">
      <c r="A190" s="604" t="s">
        <v>350</v>
      </c>
      <c r="B190" s="650">
        <f>' Plan Energi 2030-S'!AN21/IF('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90" s="650"/>
      <c r="D190" s="650">
        <f>' Plan Energi 2006'!AN21/IF('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90" s="650"/>
      <c r="F190" s="650">
        <f>' Plan Energi 2008'!AN21/IF('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90" s="650"/>
      <c r="H190" s="650">
        <f>' Plan Energi 2009'!AN21/IF('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90" s="650"/>
      <c r="J190" s="650">
        <f>' Plan Energi 2011'!AN21/IF('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90" s="650"/>
      <c r="L190" s="650">
        <f>' Plan Energi 2013'!AN21/IF('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90" s="650"/>
      <c r="N190" s="650">
        <f>' Plan Energi 2015'!AN21/IF('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90" s="650"/>
      <c r="P190" s="650">
        <f>' Plan Energi 2017'!AN21/IF('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90" s="650"/>
      <c r="R190" s="650">
        <f>' Plan Energi 2019'!AN21/IF('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90" s="650"/>
      <c r="T190" s="726">
        <f>'Fremstilling, Gartneri, Landbru'!R25</f>
        <v>0</v>
      </c>
      <c r="U190" s="645"/>
      <c r="V190" s="726">
        <f>'Fremstilling, Gartneri, Landbru'!T25</f>
        <v>0</v>
      </c>
      <c r="W190" s="645"/>
      <c r="X190" s="604"/>
    </row>
    <row r="191" spans="1:24" x14ac:dyDescent="0.25">
      <c r="A191" s="604" t="s">
        <v>331</v>
      </c>
      <c r="B191" s="650">
        <f>' Plan Energi 2030-S'!AN22/IF('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91" s="650"/>
      <c r="D191" s="650">
        <f>' Plan Energi 2006'!AN22/IF('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91" s="650"/>
      <c r="F191" s="650">
        <f>' Plan Energi 2008'!AN22/IF('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91" s="650"/>
      <c r="H191" s="650">
        <f>' Plan Energi 2009'!AN22/IF('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91" s="650"/>
      <c r="J191" s="650">
        <f>' Plan Energi 2011'!AN22/IF('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91" s="650"/>
      <c r="L191" s="650">
        <f>' Plan Energi 2013'!AN22/IF('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91" s="650"/>
      <c r="N191" s="650">
        <f>' Plan Energi 2015'!AN22/IF('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91" s="650"/>
      <c r="P191" s="650">
        <f>' Plan Energi 2017'!AN22/IF('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91" s="650"/>
      <c r="R191" s="650">
        <f>' Plan Energi 2019'!AN22/IF('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91" s="650"/>
      <c r="T191" s="726">
        <f>'Fremstilling, Gartneri, Landbru'!R26</f>
        <v>0</v>
      </c>
      <c r="U191" s="645"/>
      <c r="V191" s="726">
        <f>'Fremstilling, Gartneri, Landbru'!T26</f>
        <v>0</v>
      </c>
      <c r="W191" s="645"/>
      <c r="X191" s="604"/>
    </row>
    <row r="192" spans="1:24" x14ac:dyDescent="0.25">
      <c r="A192" s="604" t="s">
        <v>501</v>
      </c>
      <c r="B192" s="650">
        <f>' Plan Energi 2030-S'!AN10/IF('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92" s="650"/>
      <c r="D192" s="650">
        <f>' Plan Energi 2006'!AN10/IF('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92" s="650"/>
      <c r="F192" s="650">
        <f>' Plan Energi 2008'!AN10/IF('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92" s="650"/>
      <c r="H192" s="650">
        <f>' Plan Energi 2009'!AN10/IF('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92" s="650"/>
      <c r="J192" s="650">
        <f>' Plan Energi 2011'!AN10/IF('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92" s="650"/>
      <c r="L192" s="650">
        <f>' Plan Energi 2013'!AN10/IF('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92" s="650"/>
      <c r="N192" s="650">
        <f>' Plan Energi 2015'!AN10/IF('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92" s="650"/>
      <c r="P192" s="650">
        <f>' Plan Energi 2017'!AN10/IF('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92" s="650"/>
      <c r="R192" s="650">
        <f>' Plan Energi 2019'!AN10/IF('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92" s="650"/>
      <c r="T192" s="726">
        <f>'Fremstilling, Gartneri, Landbru'!R27</f>
        <v>0</v>
      </c>
      <c r="U192" s="645"/>
      <c r="V192" s="726">
        <f>'Fremstilling, Gartneri, Landbru'!T27</f>
        <v>0</v>
      </c>
      <c r="W192" s="645"/>
      <c r="X192" s="604"/>
    </row>
    <row r="193" spans="1:24" x14ac:dyDescent="0.25">
      <c r="A193" s="604" t="s">
        <v>314</v>
      </c>
      <c r="B193" s="650">
        <f>' Plan Energi 2030-S'!AN9/IF(' Plan Energi 2030-S'!AN$14+SUM(' Plan Energi 2030-S'!AN$17:AN$22)+' Plan Energi 2030-S'!AN$9+' Plan Energi 2030-S'!AN$10&gt;0,' Plan Energi 2030-S'!AN$14+SUM(' Plan Energi 2030-S'!AN$17:AN$22)+' Plan Energi 2030-S'!AN$9+' Plan Energi 2030-S'!AN$10,1)</f>
        <v>0</v>
      </c>
      <c r="C193" s="650"/>
      <c r="D193" s="650">
        <f>' Plan Energi 2006'!AN9/IF(' Plan Energi 2006'!AN$14+SUM(' Plan Energi 2006'!AN$17:AN$22)+' Plan Energi 2006'!AN$9+' Plan Energi 2006'!AN$10&gt;0,' Plan Energi 2006'!AN$14+SUM(' Plan Energi 2006'!AN$17:AN$22)+' Plan Energi 2006'!AN$9+' Plan Energi 2006'!AN$10,1)</f>
        <v>0</v>
      </c>
      <c r="E193" s="650"/>
      <c r="F193" s="650">
        <f>' Plan Energi 2008'!AN9/IF(' Plan Energi 2008'!AN$14+SUM(' Plan Energi 2008'!AN$17:AN$22)+' Plan Energi 2008'!AN$9+' Plan Energi 2008'!AN$10&gt;0,' Plan Energi 2008'!AN$14+SUM(' Plan Energi 2008'!AN$17:AN$22)+' Plan Energi 2008'!AN$9+' Plan Energi 2008'!AN$10,1)</f>
        <v>0</v>
      </c>
      <c r="G193" s="650"/>
      <c r="H193" s="650">
        <f>' Plan Energi 2009'!AN9/IF(' Plan Energi 2009'!AN$14+SUM(' Plan Energi 2009'!AN$17:AN$22)+' Plan Energi 2009'!AN$9+' Plan Energi 2009'!AN$10&gt;0,' Plan Energi 2009'!AN$14+SUM(' Plan Energi 2009'!AN$17:AN$22)+' Plan Energi 2009'!AN$9+' Plan Energi 2009'!AN$10,1)</f>
        <v>0</v>
      </c>
      <c r="I193" s="650"/>
      <c r="J193" s="650">
        <f>' Plan Energi 2011'!AN9/IF(' Plan Energi 2011'!AN$14+SUM(' Plan Energi 2011'!AN$17:AN$22)+' Plan Energi 2011'!AN$9+' Plan Energi 2011'!AN$10&gt;0,' Plan Energi 2011'!AN$14+SUM(' Plan Energi 2011'!AN$17:AN$22)+' Plan Energi 2011'!AN$9+' Plan Energi 2011'!AN$10,1)</f>
        <v>0</v>
      </c>
      <c r="K193" s="650"/>
      <c r="L193" s="650">
        <f>' Plan Energi 2013'!AN9/IF(' Plan Energi 2013'!AN$14+SUM(' Plan Energi 2013'!AN$17:AN$22)+' Plan Energi 2013'!AN$9+' Plan Energi 2013'!AN$10&gt;0,' Plan Energi 2013'!AN$14+SUM(' Plan Energi 2013'!AN$17:AN$22)+' Plan Energi 2013'!AN$9+' Plan Energi 2013'!AN$10,1)</f>
        <v>0</v>
      </c>
      <c r="M193" s="650"/>
      <c r="N193" s="650">
        <f>' Plan Energi 2015'!AN9/IF(' Plan Energi 2015'!AN$14+SUM(' Plan Energi 2015'!AN$17:AN$22)+' Plan Energi 2015'!AN$9+' Plan Energi 2015'!AN$10&gt;0,' Plan Energi 2015'!AN$14+SUM(' Plan Energi 2015'!AN$17:AN$22)+' Plan Energi 2015'!AN$9+' Plan Energi 2015'!AN$10,1)</f>
        <v>0</v>
      </c>
      <c r="O193" s="650"/>
      <c r="P193" s="650">
        <f>' Plan Energi 2017'!AN9/IF(' Plan Energi 2017'!AN$14+SUM(' Plan Energi 2017'!AN$17:AN$22)+' Plan Energi 2017'!AN$9+' Plan Energi 2017'!AN$10&gt;0,' Plan Energi 2017'!AN$14+SUM(' Plan Energi 2017'!AN$17:AN$22)+' Plan Energi 2017'!AN$9+' Plan Energi 2017'!AN$10,1)</f>
        <v>0</v>
      </c>
      <c r="Q193" s="650"/>
      <c r="R193" s="650">
        <f>' Plan Energi 2019'!AN9/IF(' Plan Energi 2019'!AN$14+SUM(' Plan Energi 2019'!AN$17:AN$22)+' Plan Energi 2019'!AN$9+' Plan Energi 2019'!AN$10&gt;0,' Plan Energi 2019'!AN$14+SUM(' Plan Energi 2019'!AN$17:AN$22)+' Plan Energi 2019'!AN$9+' Plan Energi 2019'!AN$10,1)</f>
        <v>0</v>
      </c>
      <c r="S193" s="650"/>
      <c r="T193" s="726">
        <f>'Fremstilling, Gartneri, Landbru'!R28</f>
        <v>0</v>
      </c>
      <c r="U193" s="645"/>
      <c r="V193" s="726">
        <f>'Fremstilling, Gartneri, Landbru'!T28</f>
        <v>0</v>
      </c>
      <c r="W193" s="645"/>
      <c r="X193" s="604"/>
    </row>
    <row r="194" spans="1:24" x14ac:dyDescent="0.25">
      <c r="A194" s="633" t="s">
        <v>489</v>
      </c>
      <c r="B194" s="650"/>
      <c r="C194" s="650"/>
      <c r="D194" s="650"/>
      <c r="E194" s="650"/>
      <c r="F194" s="650"/>
      <c r="G194" s="650"/>
      <c r="H194" s="650"/>
      <c r="I194" s="650"/>
      <c r="J194" s="650"/>
      <c r="K194" s="650"/>
      <c r="L194" s="650"/>
      <c r="M194" s="650"/>
      <c r="N194" s="650"/>
      <c r="O194" s="650"/>
      <c r="P194" s="650"/>
      <c r="Q194" s="650"/>
      <c r="R194" s="650"/>
      <c r="S194" s="650"/>
      <c r="T194" s="645"/>
      <c r="U194" s="645"/>
      <c r="V194" s="645"/>
      <c r="W194" s="645"/>
      <c r="X194" s="604"/>
    </row>
    <row r="195" spans="1:24" x14ac:dyDescent="0.25">
      <c r="A195" s="604" t="s">
        <v>351</v>
      </c>
      <c r="B195" s="650">
        <f>' Plan Energi 2030-S'!AN$39/IF(' Plan Energi 2030-S'!AN$39+' Plan Energi 2030-S'!AN$43+' Plan Energi 2030-S'!AN$52+' Plan Energi 2030-S'!AN$55+' Plan Energi 2030-S'!AN$62+' Plan Energi 2030-S'!AN$71&gt;0,' Plan Energi 2030-S'!AN$39+' Plan Energi 2030-S'!AN$43+' Plan Energi 2030-S'!AN$52+' Plan Energi 2030-S'!AN$55+' Plan Energi 2030-S'!AN$62+' Plan Energi 2030-S'!AN$71,1)</f>
        <v>0</v>
      </c>
      <c r="C195" s="650"/>
      <c r="D195" s="650">
        <f>' Plan Energi 2006'!AN$39/IF(' Plan Energi 2006'!AN$39+' Plan Energi 2006'!AN$43+' Plan Energi 2006'!AN$52+' Plan Energi 2006'!AN$55+' Plan Energi 2006'!AN$62+' Plan Energi 2006'!AN$71&gt;0,' Plan Energi 2006'!AN$39+' Plan Energi 2006'!AN$43+' Plan Energi 2006'!AN$52+' Plan Energi 2006'!AN$55+' Plan Energi 2006'!AN$62+' Plan Energi 2006'!AN$71,1)</f>
        <v>0</v>
      </c>
      <c r="E195" s="650"/>
      <c r="F195" s="650">
        <f>' Plan Energi 2008'!AN$39/IF(' Plan Energi 2008'!AN$39+' Plan Energi 2008'!AN$43+' Plan Energi 2008'!AN$52+' Plan Energi 2008'!AN$55+' Plan Energi 2008'!AN$62+' Plan Energi 2008'!AN$71&gt;0,' Plan Energi 2008'!AN$39+' Plan Energi 2008'!AN$43+' Plan Energi 2008'!AN$52+' Plan Energi 2008'!AN$55+' Plan Energi 2008'!AN$62+' Plan Energi 2008'!AN$71,1)</f>
        <v>0</v>
      </c>
      <c r="G195" s="650"/>
      <c r="H195" s="650">
        <f>' Plan Energi 2009'!AN$39/IF(' Plan Energi 2009'!AN$39+' Plan Energi 2009'!AN$43+' Plan Energi 2009'!AN$52+' Plan Energi 2009'!AN$55+' Plan Energi 2009'!AN$62+' Plan Energi 2009'!AN$71&gt;0,' Plan Energi 2009'!AN$39+' Plan Energi 2009'!AN$43+' Plan Energi 2009'!AN$52+' Plan Energi 2009'!AN$55+' Plan Energi 2009'!AN$62+' Plan Energi 2009'!AN$71,1)</f>
        <v>0</v>
      </c>
      <c r="I195" s="650"/>
      <c r="J195" s="650">
        <f>' Plan Energi 2011'!AN$39/IF(' Plan Energi 2011'!AN$39+' Plan Energi 2011'!AN$43+' Plan Energi 2011'!AN$52+' Plan Energi 2011'!AN$55+' Plan Energi 2011'!AN$62+' Plan Energi 2011'!AN$71&gt;0,' Plan Energi 2011'!AN$39+' Plan Energi 2011'!AN$43+' Plan Energi 2011'!AN$52+' Plan Energi 2011'!AN$55+' Plan Energi 2011'!AN$62+' Plan Energi 2011'!AN$71,1)</f>
        <v>0</v>
      </c>
      <c r="K195" s="650"/>
      <c r="L195" s="650">
        <f>' Plan Energi 2013'!AN$39/IF(' Plan Energi 2013'!AN$39+' Plan Energi 2013'!AN$43+' Plan Energi 2013'!AN$52+' Plan Energi 2013'!AN$55+' Plan Energi 2013'!AN$62+' Plan Energi 2013'!AN$71&gt;0,' Plan Energi 2013'!AN$39+' Plan Energi 2013'!AN$43+' Plan Energi 2013'!AN$52+' Plan Energi 2013'!AN$55+' Plan Energi 2013'!AN$62+' Plan Energi 2013'!AN$71,1)</f>
        <v>0</v>
      </c>
      <c r="M195" s="650"/>
      <c r="N195" s="650">
        <f>' Plan Energi 2015'!AN$39/IF(' Plan Energi 2015'!AN$39+' Plan Energi 2015'!AN$43+' Plan Energi 2015'!AN$52+' Plan Energi 2015'!AN$55+' Plan Energi 2015'!AN$62+' Plan Energi 2015'!AN$71&gt;0,' Plan Energi 2015'!AN$39+' Plan Energi 2015'!AN$43+' Plan Energi 2015'!AN$52+' Plan Energi 2015'!AN$55+' Plan Energi 2015'!AN$62+' Plan Energi 2015'!AN$71,1)</f>
        <v>0</v>
      </c>
      <c r="O195" s="650"/>
      <c r="P195" s="650">
        <f>' Plan Energi 2017'!AN$39/IF(' Plan Energi 2017'!AN$39+' Plan Energi 2017'!AN$43+' Plan Energi 2017'!AN$52+' Plan Energi 2017'!AN$55+' Plan Energi 2017'!AN$62+' Plan Energi 2017'!AN$71&gt;0,' Plan Energi 2017'!AN$39+' Plan Energi 2017'!AN$43+' Plan Energi 2017'!AN$52+' Plan Energi 2017'!AN$55+' Plan Energi 2017'!AN$62+' Plan Energi 2017'!AN$71,1)</f>
        <v>0</v>
      </c>
      <c r="Q195" s="650"/>
      <c r="R195" s="650">
        <f>' Plan Energi 2019'!AN$39/IF(' Plan Energi 2019'!AN$39+' Plan Energi 2019'!AN$43+' Plan Energi 2019'!AN$52+' Plan Energi 2019'!AN$55+' Plan Energi 2019'!AN$62+' Plan Energi 2019'!AN$71&gt;0,' Plan Energi 2019'!AN$39+' Plan Energi 2019'!AN$43+' Plan Energi 2019'!AN$52+' Plan Energi 2019'!AN$55+' Plan Energi 2019'!AN$62+' Plan Energi 2019'!AN$71,1)</f>
        <v>0</v>
      </c>
      <c r="S195" s="650"/>
      <c r="T195" s="727">
        <f>Fjernvarme!J7</f>
        <v>0</v>
      </c>
      <c r="U195" s="645"/>
      <c r="V195" s="727">
        <f>Fjernvarme!L7</f>
        <v>0</v>
      </c>
      <c r="W195" s="645"/>
      <c r="X195" s="604"/>
    </row>
    <row r="196" spans="1:24" x14ac:dyDescent="0.25">
      <c r="A196" s="604" t="s">
        <v>352</v>
      </c>
      <c r="B196" s="650">
        <f>' Plan Energi 2030-S'!AN$43/IF(' Plan Energi 2030-S'!AN$39+' Plan Energi 2030-S'!AN$43+' Plan Energi 2030-S'!AN$52+' Plan Energi 2030-S'!AN$55+' Plan Energi 2030-S'!AN$62+' Plan Energi 2030-S'!AN$71&gt;0,' Plan Energi 2030-S'!AN$39+' Plan Energi 2030-S'!AN$43+' Plan Energi 2030-S'!AN$52+' Plan Energi 2030-S'!AN$55+' Plan Energi 2030-S'!AN$62+' Plan Energi 2030-S'!AN$71,1)</f>
        <v>0</v>
      </c>
      <c r="C196" s="650"/>
      <c r="D196" s="650">
        <f>' Plan Energi 2006'!AN$43/IF(' Plan Energi 2006'!AN$39+' Plan Energi 2006'!AN$43+' Plan Energi 2006'!AN$52+' Plan Energi 2006'!AN$55+' Plan Energi 2006'!AN$62+' Plan Energi 2006'!AN$71&gt;0,' Plan Energi 2006'!AN$39+' Plan Energi 2006'!AN$43+' Plan Energi 2006'!AN$52+' Plan Energi 2006'!AN$55+' Plan Energi 2006'!AN$62+' Plan Energi 2006'!AN$71,1)</f>
        <v>0</v>
      </c>
      <c r="E196" s="650"/>
      <c r="F196" s="650">
        <f>' Plan Energi 2008'!AN$43/IF(' Plan Energi 2008'!AN$39+' Plan Energi 2008'!AN$43+' Plan Energi 2008'!AN$52+' Plan Energi 2008'!AN$55+' Plan Energi 2008'!AN$62+' Plan Energi 2008'!AN$71&gt;0,' Plan Energi 2008'!AN$39+' Plan Energi 2008'!AN$43+' Plan Energi 2008'!AN$52+' Plan Energi 2008'!AN$55+' Plan Energi 2008'!AN$62+' Plan Energi 2008'!AN$71,1)</f>
        <v>0</v>
      </c>
      <c r="G196" s="650"/>
      <c r="H196" s="650">
        <f>' Plan Energi 2009'!AN$43/IF(' Plan Energi 2009'!AN$39+' Plan Energi 2009'!AN$43+' Plan Energi 2009'!AN$52+' Plan Energi 2009'!AN$55+' Plan Energi 2009'!AN$62+' Plan Energi 2009'!AN$71&gt;0,' Plan Energi 2009'!AN$39+' Plan Energi 2009'!AN$43+' Plan Energi 2009'!AN$52+' Plan Energi 2009'!AN$55+' Plan Energi 2009'!AN$62+' Plan Energi 2009'!AN$71,1)</f>
        <v>0</v>
      </c>
      <c r="I196" s="650"/>
      <c r="J196" s="650">
        <f>' Plan Energi 2011'!AN$43/IF(' Plan Energi 2011'!AN$39+' Plan Energi 2011'!AN$43+' Plan Energi 2011'!AN$52+' Plan Energi 2011'!AN$55+' Plan Energi 2011'!AN$62+' Plan Energi 2011'!AN$71&gt;0,' Plan Energi 2011'!AN$39+' Plan Energi 2011'!AN$43+' Plan Energi 2011'!AN$52+' Plan Energi 2011'!AN$55+' Plan Energi 2011'!AN$62+' Plan Energi 2011'!AN$71,1)</f>
        <v>0</v>
      </c>
      <c r="K196" s="650"/>
      <c r="L196" s="650">
        <f>' Plan Energi 2013'!AN$43/IF(' Plan Energi 2013'!AN$39+' Plan Energi 2013'!AN$43+' Plan Energi 2013'!AN$52+' Plan Energi 2013'!AN$55+' Plan Energi 2013'!AN$62+' Plan Energi 2013'!AN$71&gt;0,' Plan Energi 2013'!AN$39+' Plan Energi 2013'!AN$43+' Plan Energi 2013'!AN$52+' Plan Energi 2013'!AN$55+' Plan Energi 2013'!AN$62+' Plan Energi 2013'!AN$71,1)</f>
        <v>0</v>
      </c>
      <c r="M196" s="650"/>
      <c r="N196" s="650">
        <f>' Plan Energi 2015'!AN$43/IF(' Plan Energi 2015'!AN$39+' Plan Energi 2015'!AN$43+' Plan Energi 2015'!AN$52+' Plan Energi 2015'!AN$55+' Plan Energi 2015'!AN$62+' Plan Energi 2015'!AN$71&gt;0,' Plan Energi 2015'!AN$39+' Plan Energi 2015'!AN$43+' Plan Energi 2015'!AN$52+' Plan Energi 2015'!AN$55+' Plan Energi 2015'!AN$62+' Plan Energi 2015'!AN$71,1)</f>
        <v>0</v>
      </c>
      <c r="O196" s="650"/>
      <c r="P196" s="650">
        <f>' Plan Energi 2017'!AN$43/IF(' Plan Energi 2017'!AN$39+' Plan Energi 2017'!AN$43+' Plan Energi 2017'!AN$52+' Plan Energi 2017'!AN$55+' Plan Energi 2017'!AN$62+' Plan Energi 2017'!AN$71&gt;0,' Plan Energi 2017'!AN$39+' Plan Energi 2017'!AN$43+' Plan Energi 2017'!AN$52+' Plan Energi 2017'!AN$55+' Plan Energi 2017'!AN$62+' Plan Energi 2017'!AN$71,1)</f>
        <v>0</v>
      </c>
      <c r="Q196" s="650"/>
      <c r="R196" s="650">
        <f>' Plan Energi 2019'!AN$43/IF(' Plan Energi 2019'!AN$39+' Plan Energi 2019'!AN$43+' Plan Energi 2019'!AN$52+' Plan Energi 2019'!AN$55+' Plan Energi 2019'!AN$62+' Plan Energi 2019'!AN$71&gt;0,' Plan Energi 2019'!AN$39+' Plan Energi 2019'!AN$43+' Plan Energi 2019'!AN$52+' Plan Energi 2019'!AN$55+' Plan Energi 2019'!AN$62+' Plan Energi 2019'!AN$71,1)</f>
        <v>0</v>
      </c>
      <c r="S196" s="650"/>
      <c r="T196" s="727">
        <f>Fjernvarme!J8</f>
        <v>0</v>
      </c>
      <c r="U196" s="645"/>
      <c r="V196" s="727">
        <f>Fjernvarme!L8</f>
        <v>0</v>
      </c>
      <c r="W196" s="645"/>
      <c r="X196" s="604"/>
    </row>
    <row r="197" spans="1:24" x14ac:dyDescent="0.25">
      <c r="A197" s="604" t="s">
        <v>353</v>
      </c>
      <c r="B197" s="650">
        <f>' Plan Energi 2030-S'!AN$52/IF(' Plan Energi 2030-S'!AN$39+' Plan Energi 2030-S'!AN$43+' Plan Energi 2030-S'!AN$52+' Plan Energi 2030-S'!AN$55+' Plan Energi 2030-S'!AN$62+' Plan Energi 2030-S'!AN$71&gt;0,' Plan Energi 2030-S'!AN$39+' Plan Energi 2030-S'!AN$43+' Plan Energi 2030-S'!AN$52+' Plan Energi 2030-S'!AN$55+' Plan Energi 2030-S'!AN$62+' Plan Energi 2030-S'!AN$71,1)</f>
        <v>0</v>
      </c>
      <c r="C197" s="650"/>
      <c r="D197" s="650">
        <f>' Plan Energi 2006'!AN$52/IF(' Plan Energi 2006'!AN$39+' Plan Energi 2006'!AN$43+' Plan Energi 2006'!AN$52+' Plan Energi 2006'!AN$55+' Plan Energi 2006'!AN$62+' Plan Energi 2006'!AN$71&gt;0,' Plan Energi 2006'!AN$39+' Plan Energi 2006'!AN$43+' Plan Energi 2006'!AN$52+' Plan Energi 2006'!AN$55+' Plan Energi 2006'!AN$62+' Plan Energi 2006'!AN$71,1)</f>
        <v>0</v>
      </c>
      <c r="E197" s="650"/>
      <c r="F197" s="650">
        <f>' Plan Energi 2008'!AN$52/IF(' Plan Energi 2008'!AN$39+' Plan Energi 2008'!AN$43+' Plan Energi 2008'!AN$52+' Plan Energi 2008'!AN$55+' Plan Energi 2008'!AN$62+' Plan Energi 2008'!AN$71&gt;0,' Plan Energi 2008'!AN$39+' Plan Energi 2008'!AN$43+' Plan Energi 2008'!AN$52+' Plan Energi 2008'!AN$55+' Plan Energi 2008'!AN$62+' Plan Energi 2008'!AN$71,1)</f>
        <v>0</v>
      </c>
      <c r="G197" s="650"/>
      <c r="H197" s="650">
        <f>' Plan Energi 2009'!AN$52/IF(' Plan Energi 2009'!AN$39+' Plan Energi 2009'!AN$43+' Plan Energi 2009'!AN$52+' Plan Energi 2009'!AN$55+' Plan Energi 2009'!AN$62+' Plan Energi 2009'!AN$71&gt;0,' Plan Energi 2009'!AN$39+' Plan Energi 2009'!AN$43+' Plan Energi 2009'!AN$52+' Plan Energi 2009'!AN$55+' Plan Energi 2009'!AN$62+' Plan Energi 2009'!AN$71,1)</f>
        <v>0</v>
      </c>
      <c r="I197" s="650"/>
      <c r="J197" s="650">
        <f>' Plan Energi 2011'!AN$52/IF(' Plan Energi 2011'!AN$39+' Plan Energi 2011'!AN$43+' Plan Energi 2011'!AN$52+' Plan Energi 2011'!AN$55+' Plan Energi 2011'!AN$62+' Plan Energi 2011'!AN$71&gt;0,' Plan Energi 2011'!AN$39+' Plan Energi 2011'!AN$43+' Plan Energi 2011'!AN$52+' Plan Energi 2011'!AN$55+' Plan Energi 2011'!AN$62+' Plan Energi 2011'!AN$71,1)</f>
        <v>0</v>
      </c>
      <c r="K197" s="650"/>
      <c r="L197" s="650">
        <f>' Plan Energi 2013'!AN$52/IF(' Plan Energi 2013'!AN$39+' Plan Energi 2013'!AN$43+' Plan Energi 2013'!AN$52+' Plan Energi 2013'!AN$55+' Plan Energi 2013'!AN$62+' Plan Energi 2013'!AN$71&gt;0,' Plan Energi 2013'!AN$39+' Plan Energi 2013'!AN$43+' Plan Energi 2013'!AN$52+' Plan Energi 2013'!AN$55+' Plan Energi 2013'!AN$62+' Plan Energi 2013'!AN$71,1)</f>
        <v>0</v>
      </c>
      <c r="M197" s="650"/>
      <c r="N197" s="650">
        <f>' Plan Energi 2015'!AN$52/IF(' Plan Energi 2015'!AN$39+' Plan Energi 2015'!AN$43+' Plan Energi 2015'!AN$52+' Plan Energi 2015'!AN$55+' Plan Energi 2015'!AN$62+' Plan Energi 2015'!AN$71&gt;0,' Plan Energi 2015'!AN$39+' Plan Energi 2015'!AN$43+' Plan Energi 2015'!AN$52+' Plan Energi 2015'!AN$55+' Plan Energi 2015'!AN$62+' Plan Energi 2015'!AN$71,1)</f>
        <v>0</v>
      </c>
      <c r="O197" s="650"/>
      <c r="P197" s="650">
        <f>' Plan Energi 2017'!AN$52/IF(' Plan Energi 2017'!AN$39+' Plan Energi 2017'!AN$43+' Plan Energi 2017'!AN$52+' Plan Energi 2017'!AN$55+' Plan Energi 2017'!AN$62+' Plan Energi 2017'!AN$71&gt;0,' Plan Energi 2017'!AN$39+' Plan Energi 2017'!AN$43+' Plan Energi 2017'!AN$52+' Plan Energi 2017'!AN$55+' Plan Energi 2017'!AN$62+' Plan Energi 2017'!AN$71,1)</f>
        <v>0</v>
      </c>
      <c r="Q197" s="650"/>
      <c r="R197" s="650">
        <f>' Plan Energi 2019'!AN$52/IF(' Plan Energi 2019'!AN$39+' Plan Energi 2019'!AN$43+' Plan Energi 2019'!AN$52+' Plan Energi 2019'!AN$55+' Plan Energi 2019'!AN$62+' Plan Energi 2019'!AN$71&gt;0,' Plan Energi 2019'!AN$39+' Plan Energi 2019'!AN$43+' Plan Energi 2019'!AN$52+' Plan Energi 2019'!AN$55+' Plan Energi 2019'!AN$62+' Plan Energi 2019'!AN$71,1)</f>
        <v>0</v>
      </c>
      <c r="S197" s="650"/>
      <c r="T197" s="727">
        <f>Fjernvarme!J9</f>
        <v>0</v>
      </c>
      <c r="U197" s="645"/>
      <c r="V197" s="727">
        <f>Fjernvarme!L9</f>
        <v>0</v>
      </c>
      <c r="W197" s="645"/>
      <c r="X197" s="604"/>
    </row>
    <row r="198" spans="1:24" x14ac:dyDescent="0.25">
      <c r="A198" s="604" t="s">
        <v>354</v>
      </c>
      <c r="B198" s="650">
        <f>' Plan Energi 2030-S'!AN$55/IF(' Plan Energi 2030-S'!AN$39+' Plan Energi 2030-S'!AN$43+' Plan Energi 2030-S'!AN$52+' Plan Energi 2030-S'!AN$55+' Plan Energi 2030-S'!AN$62+' Plan Energi 2030-S'!AN$71&gt;0,' Plan Energi 2030-S'!AN$39+' Plan Energi 2030-S'!AN$43+' Plan Energi 2030-S'!AN$52+' Plan Energi 2030-S'!AN$55+' Plan Energi 2030-S'!AN$62+' Plan Energi 2030-S'!AN$71,1)</f>
        <v>0</v>
      </c>
      <c r="C198" s="650"/>
      <c r="D198" s="650">
        <f>' Plan Energi 2006'!AN$55/IF(' Plan Energi 2006'!AN$39+' Plan Energi 2006'!AN$43+' Plan Energi 2006'!AN$52+' Plan Energi 2006'!AN$55+' Plan Energi 2006'!AN$62+' Plan Energi 2006'!AN$71&gt;0,' Plan Energi 2006'!AN$39+' Plan Energi 2006'!AN$43+' Plan Energi 2006'!AN$52+' Plan Energi 2006'!AN$55+' Plan Energi 2006'!AN$62+' Plan Energi 2006'!AN$71,1)</f>
        <v>0</v>
      </c>
      <c r="E198" s="650"/>
      <c r="F198" s="650">
        <f>' Plan Energi 2008'!AN$55/IF(' Plan Energi 2008'!AN$39+' Plan Energi 2008'!AN$43+' Plan Energi 2008'!AN$52+' Plan Energi 2008'!AN$55+' Plan Energi 2008'!AN$62+' Plan Energi 2008'!AN$71&gt;0,' Plan Energi 2008'!AN$39+' Plan Energi 2008'!AN$43+' Plan Energi 2008'!AN$52+' Plan Energi 2008'!AN$55+' Plan Energi 2008'!AN$62+' Plan Energi 2008'!AN$71,1)</f>
        <v>0</v>
      </c>
      <c r="G198" s="650"/>
      <c r="H198" s="650">
        <f>' Plan Energi 2009'!AN$55/IF(' Plan Energi 2009'!AN$39+' Plan Energi 2009'!AN$43+' Plan Energi 2009'!AN$52+' Plan Energi 2009'!AN$55+' Plan Energi 2009'!AN$62+' Plan Energi 2009'!AN$71&gt;0,' Plan Energi 2009'!AN$39+' Plan Energi 2009'!AN$43+' Plan Energi 2009'!AN$52+' Plan Energi 2009'!AN$55+' Plan Energi 2009'!AN$62+' Plan Energi 2009'!AN$71,1)</f>
        <v>0</v>
      </c>
      <c r="I198" s="650"/>
      <c r="J198" s="650">
        <f>' Plan Energi 2011'!AN$55/IF(' Plan Energi 2011'!AN$39+' Plan Energi 2011'!AN$43+' Plan Energi 2011'!AN$52+' Plan Energi 2011'!AN$55+' Plan Energi 2011'!AN$62+' Plan Energi 2011'!AN$71&gt;0,' Plan Energi 2011'!AN$39+' Plan Energi 2011'!AN$43+' Plan Energi 2011'!AN$52+' Plan Energi 2011'!AN$55+' Plan Energi 2011'!AN$62+' Plan Energi 2011'!AN$71,1)</f>
        <v>0</v>
      </c>
      <c r="K198" s="650"/>
      <c r="L198" s="650">
        <f>' Plan Energi 2013'!AN$55/IF(' Plan Energi 2013'!AN$39+' Plan Energi 2013'!AN$43+' Plan Energi 2013'!AN$52+' Plan Energi 2013'!AN$55+' Plan Energi 2013'!AN$62+' Plan Energi 2013'!AN$71&gt;0,' Plan Energi 2013'!AN$39+' Plan Energi 2013'!AN$43+' Plan Energi 2013'!AN$52+' Plan Energi 2013'!AN$55+' Plan Energi 2013'!AN$62+' Plan Energi 2013'!AN$71,1)</f>
        <v>0</v>
      </c>
      <c r="M198" s="650"/>
      <c r="N198" s="650">
        <f>' Plan Energi 2015'!AN$55/IF(' Plan Energi 2015'!AN$39+' Plan Energi 2015'!AN$43+' Plan Energi 2015'!AN$52+' Plan Energi 2015'!AN$55+' Plan Energi 2015'!AN$62+' Plan Energi 2015'!AN$71&gt;0,' Plan Energi 2015'!AN$39+' Plan Energi 2015'!AN$43+' Plan Energi 2015'!AN$52+' Plan Energi 2015'!AN$55+' Plan Energi 2015'!AN$62+' Plan Energi 2015'!AN$71,1)</f>
        <v>0</v>
      </c>
      <c r="O198" s="650"/>
      <c r="P198" s="650">
        <f>' Plan Energi 2017'!AN$55/IF(' Plan Energi 2017'!AN$39+' Plan Energi 2017'!AN$43+' Plan Energi 2017'!AN$52+' Plan Energi 2017'!AN$55+' Plan Energi 2017'!AN$62+' Plan Energi 2017'!AN$71&gt;0,' Plan Energi 2017'!AN$39+' Plan Energi 2017'!AN$43+' Plan Energi 2017'!AN$52+' Plan Energi 2017'!AN$55+' Plan Energi 2017'!AN$62+' Plan Energi 2017'!AN$71,1)</f>
        <v>0</v>
      </c>
      <c r="Q198" s="650"/>
      <c r="R198" s="650">
        <f>' Plan Energi 2019'!AN$55/IF(' Plan Energi 2019'!AN$39+' Plan Energi 2019'!AN$43+' Plan Energi 2019'!AN$52+' Plan Energi 2019'!AN$55+' Plan Energi 2019'!AN$62+' Plan Energi 2019'!AN$71&gt;0,' Plan Energi 2019'!AN$39+' Plan Energi 2019'!AN$43+' Plan Energi 2019'!AN$52+' Plan Energi 2019'!AN$55+' Plan Energi 2019'!AN$62+' Plan Energi 2019'!AN$71,1)</f>
        <v>0</v>
      </c>
      <c r="S198" s="650"/>
      <c r="T198" s="727">
        <f>Fjernvarme!J10</f>
        <v>0</v>
      </c>
      <c r="U198" s="645"/>
      <c r="V198" s="727">
        <f>Fjernvarme!L10</f>
        <v>0</v>
      </c>
      <c r="W198" s="645"/>
      <c r="X198" s="604"/>
    </row>
    <row r="199" spans="1:24" x14ac:dyDescent="0.25">
      <c r="A199" s="604" t="s">
        <v>199</v>
      </c>
      <c r="B199" s="650">
        <f>' Plan Energi 2030-S'!AN$62/IF(' Plan Energi 2030-S'!AN$39+' Plan Energi 2030-S'!AN$43+' Plan Energi 2030-S'!AN$52+' Plan Energi 2030-S'!AN$55+' Plan Energi 2030-S'!AN$62+' Plan Energi 2030-S'!AN$71&gt;0,' Plan Energi 2030-S'!AN$39+' Plan Energi 2030-S'!AN$43+' Plan Energi 2030-S'!AN$52+' Plan Energi 2030-S'!AN$55+' Plan Energi 2030-S'!AN$62+' Plan Energi 2030-S'!AN$71,1)</f>
        <v>0.81422293248102273</v>
      </c>
      <c r="C199" s="650"/>
      <c r="D199" s="650">
        <f>' Plan Energi 2006'!AN$62/IF(' Plan Energi 2006'!AN$39+' Plan Energi 2006'!AN$43+' Plan Energi 2006'!AN$52+' Plan Energi 2006'!AN$55+' Plan Energi 2006'!AN$62+' Plan Energi 2006'!AN$71&gt;0,' Plan Energi 2006'!AN$39+' Plan Energi 2006'!AN$43+' Plan Energi 2006'!AN$52+' Plan Energi 2006'!AN$55+' Plan Energi 2006'!AN$62+' Plan Energi 2006'!AN$71,1)</f>
        <v>0.80201498808706606</v>
      </c>
      <c r="E199" s="650"/>
      <c r="F199" s="650">
        <f>' Plan Energi 2008'!AN$62/IF(' Plan Energi 2008'!AN$39+' Plan Energi 2008'!AN$43+' Plan Energi 2008'!AN$52+' Plan Energi 2008'!AN$55+' Plan Energi 2008'!AN$62+' Plan Energi 2008'!AN$71&gt;0,' Plan Energi 2008'!AN$39+' Plan Energi 2008'!AN$43+' Plan Energi 2008'!AN$52+' Plan Energi 2008'!AN$55+' Plan Energi 2008'!AN$62+' Plan Energi 2008'!AN$71,1)</f>
        <v>0.82968314293276568</v>
      </c>
      <c r="G199" s="650"/>
      <c r="H199" s="650">
        <f>' Plan Energi 2009'!AN$62/IF(' Plan Energi 2009'!AN$39+' Plan Energi 2009'!AN$43+' Plan Energi 2009'!AN$52+' Plan Energi 2009'!AN$55+' Plan Energi 2009'!AN$62+' Plan Energi 2009'!AN$71&gt;0,' Plan Energi 2009'!AN$39+' Plan Energi 2009'!AN$43+' Plan Energi 2009'!AN$52+' Plan Energi 2009'!AN$55+' Plan Energi 2009'!AN$62+' Plan Energi 2009'!AN$71,1)</f>
        <v>0.84029857568292787</v>
      </c>
      <c r="I199" s="650"/>
      <c r="J199" s="650">
        <f>' Plan Energi 2011'!AN$62/IF(' Plan Energi 2011'!AN$39+' Plan Energi 2011'!AN$43+' Plan Energi 2011'!AN$52+' Plan Energi 2011'!AN$55+' Plan Energi 2011'!AN$62+' Plan Energi 2011'!AN$71&gt;0,' Plan Energi 2011'!AN$39+' Plan Energi 2011'!AN$43+' Plan Energi 2011'!AN$52+' Plan Energi 2011'!AN$55+' Plan Energi 2011'!AN$62+' Plan Energi 2011'!AN$71,1)</f>
        <v>0.84428002689279003</v>
      </c>
      <c r="K199" s="650"/>
      <c r="L199" s="650">
        <f>' Plan Energi 2013'!AN$62/IF(' Plan Energi 2013'!AN$39+' Plan Energi 2013'!AN$43+' Plan Energi 2013'!AN$52+' Plan Energi 2013'!AN$55+' Plan Energi 2013'!AN$62+' Plan Energi 2013'!AN$71&gt;0,' Plan Energi 2013'!AN$39+' Plan Energi 2013'!AN$43+' Plan Energi 2013'!AN$52+' Plan Energi 2013'!AN$55+' Plan Energi 2013'!AN$62+' Plan Energi 2013'!AN$71,1)</f>
        <v>0.84952884213808333</v>
      </c>
      <c r="M199" s="650"/>
      <c r="N199" s="650">
        <f>' Plan Energi 2015'!AN$62/IF(' Plan Energi 2015'!AN$39+' Plan Energi 2015'!AN$43+' Plan Energi 2015'!AN$52+' Plan Energi 2015'!AN$55+' Plan Energi 2015'!AN$62+' Plan Energi 2015'!AN$71&gt;0,' Plan Energi 2015'!AN$39+' Plan Energi 2015'!AN$43+' Plan Energi 2015'!AN$52+' Plan Energi 2015'!AN$55+' Plan Energi 2015'!AN$62+' Plan Energi 2015'!AN$71,1)</f>
        <v>0.80918601530058065</v>
      </c>
      <c r="O199" s="650"/>
      <c r="P199" s="650">
        <f>' Plan Energi 2017'!AN$62/IF(' Plan Energi 2017'!AN$39+' Plan Energi 2017'!AN$43+' Plan Energi 2017'!AN$52+' Plan Energi 2017'!AN$55+' Plan Energi 2017'!AN$62+' Plan Energi 2017'!AN$71&gt;0,' Plan Energi 2017'!AN$39+' Plan Energi 2017'!AN$43+' Plan Energi 2017'!AN$52+' Plan Energi 2017'!AN$55+' Plan Energi 2017'!AN$62+' Plan Energi 2017'!AN$71,1)</f>
        <v>0.81418118308542342</v>
      </c>
      <c r="Q199" s="650"/>
      <c r="R199" s="650">
        <f>' Plan Energi 2019'!AN$62/IF(' Plan Energi 2019'!AN$39+' Plan Energi 2019'!AN$43+' Plan Energi 2019'!AN$52+' Plan Energi 2019'!AN$55+' Plan Energi 2019'!AN$62+' Plan Energi 2019'!AN$71&gt;0,' Plan Energi 2019'!AN$39+' Plan Energi 2019'!AN$43+' Plan Energi 2019'!AN$52+' Plan Energi 2019'!AN$55+' Plan Energi 2019'!AN$62+' Plan Energi 2019'!AN$71,1)</f>
        <v>0.81418118308542342</v>
      </c>
      <c r="S199" s="650"/>
      <c r="T199" s="727">
        <f>Fjernvarme!J11</f>
        <v>0.81422293248102273</v>
      </c>
      <c r="U199" s="645"/>
      <c r="V199" s="727">
        <f>Fjernvarme!L11</f>
        <v>0.81422293248102273</v>
      </c>
      <c r="W199" s="645"/>
      <c r="X199" s="604"/>
    </row>
    <row r="200" spans="1:24" x14ac:dyDescent="0.25">
      <c r="A200" s="604" t="s">
        <v>356</v>
      </c>
      <c r="B200" s="650">
        <f>' Plan Energi 2030-S'!AN$71/IF(' Plan Energi 2030-S'!AN$39+' Plan Energi 2030-S'!AN$43+' Plan Energi 2030-S'!AN$52+' Plan Energi 2030-S'!AN$55+' Plan Energi 2030-S'!AN$62+' Plan Energi 2030-S'!AN$71&gt;0,' Plan Energi 2030-S'!AN$39+' Plan Energi 2030-S'!AN$43+' Plan Energi 2030-S'!AN$52+' Plan Energi 2030-S'!AN$55+' Plan Energi 2030-S'!AN$62+' Plan Energi 2030-S'!AN$71,1)</f>
        <v>0.18577706751897721</v>
      </c>
      <c r="C200" s="650"/>
      <c r="D200" s="650">
        <f>' Plan Energi 2006'!AN$71/IF(' Plan Energi 2006'!AN$39+' Plan Energi 2006'!AN$43+' Plan Energi 2006'!AN$52+' Plan Energi 2006'!AN$55+' Plan Energi 2006'!AN$62+' Plan Energi 2006'!AN$71&gt;0,' Plan Energi 2006'!AN$39+' Plan Energi 2006'!AN$43+' Plan Energi 2006'!AN$52+' Plan Energi 2006'!AN$55+' Plan Energi 2006'!AN$62+' Plan Energi 2006'!AN$71,1)</f>
        <v>0.19798501191293399</v>
      </c>
      <c r="E200" s="650"/>
      <c r="F200" s="650">
        <f>' Plan Energi 2008'!AN$71/IF(' Plan Energi 2008'!AN$39+' Plan Energi 2008'!AN$43+' Plan Energi 2008'!AN$52+' Plan Energi 2008'!AN$55+' Plan Energi 2008'!AN$62+' Plan Energi 2008'!AN$71&gt;0,' Plan Energi 2008'!AN$39+' Plan Energi 2008'!AN$43+' Plan Energi 2008'!AN$52+' Plan Energi 2008'!AN$55+' Plan Energi 2008'!AN$62+' Plan Energi 2008'!AN$71,1)</f>
        <v>0.17031685706723423</v>
      </c>
      <c r="G200" s="650"/>
      <c r="H200" s="650">
        <f>' Plan Energi 2009'!AN$71/IF(' Plan Energi 2009'!AN$39+' Plan Energi 2009'!AN$43+' Plan Energi 2009'!AN$52+' Plan Energi 2009'!AN$55+' Plan Energi 2009'!AN$62+' Plan Energi 2009'!AN$71&gt;0,' Plan Energi 2009'!AN$39+' Plan Energi 2009'!AN$43+' Plan Energi 2009'!AN$52+' Plan Energi 2009'!AN$55+' Plan Energi 2009'!AN$62+' Plan Energi 2009'!AN$71,1)</f>
        <v>0.1597014243170721</v>
      </c>
      <c r="I200" s="650"/>
      <c r="J200" s="650">
        <f>' Plan Energi 2011'!AN$71/IF(' Plan Energi 2011'!AN$39+' Plan Energi 2011'!AN$43+' Plan Energi 2011'!AN$52+' Plan Energi 2011'!AN$55+' Plan Energi 2011'!AN$62+' Plan Energi 2011'!AN$71&gt;0,' Plan Energi 2011'!AN$39+' Plan Energi 2011'!AN$43+' Plan Energi 2011'!AN$52+' Plan Energi 2011'!AN$55+' Plan Energi 2011'!AN$62+' Plan Energi 2011'!AN$71,1)</f>
        <v>0.15571997310721006</v>
      </c>
      <c r="K200" s="650"/>
      <c r="L200" s="650">
        <f>' Plan Energi 2013'!AN$71/IF(' Plan Energi 2013'!AN$39+' Plan Energi 2013'!AN$43+' Plan Energi 2013'!AN$52+' Plan Energi 2013'!AN$55+' Plan Energi 2013'!AN$62+' Plan Energi 2013'!AN$71&gt;0,' Plan Energi 2013'!AN$39+' Plan Energi 2013'!AN$43+' Plan Energi 2013'!AN$52+' Plan Energi 2013'!AN$55+' Plan Energi 2013'!AN$62+' Plan Energi 2013'!AN$71,1)</f>
        <v>0.15047115786191659</v>
      </c>
      <c r="M200" s="650"/>
      <c r="N200" s="650">
        <f>' Plan Energi 2015'!AN$71/IF(' Plan Energi 2015'!AN$39+' Plan Energi 2015'!AN$43+' Plan Energi 2015'!AN$52+' Plan Energi 2015'!AN$55+' Plan Energi 2015'!AN$62+' Plan Energi 2015'!AN$71&gt;0,' Plan Energi 2015'!AN$39+' Plan Energi 2015'!AN$43+' Plan Energi 2015'!AN$52+' Plan Energi 2015'!AN$55+' Plan Energi 2015'!AN$62+' Plan Energi 2015'!AN$71,1)</f>
        <v>0.19081398469941932</v>
      </c>
      <c r="O200" s="650"/>
      <c r="P200" s="650">
        <f>' Plan Energi 2017'!AN$71/IF(' Plan Energi 2017'!AN$39+' Plan Energi 2017'!AN$43+' Plan Energi 2017'!AN$52+' Plan Energi 2017'!AN$55+' Plan Energi 2017'!AN$62+' Plan Energi 2017'!AN$71&gt;0,' Plan Energi 2017'!AN$39+' Plan Energi 2017'!AN$43+' Plan Energi 2017'!AN$52+' Plan Energi 2017'!AN$55+' Plan Energi 2017'!AN$62+' Plan Energi 2017'!AN$71,1)</f>
        <v>0.18581881691457658</v>
      </c>
      <c r="Q200" s="650"/>
      <c r="R200" s="650">
        <f>' Plan Energi 2019'!AN$71/IF(' Plan Energi 2019'!AN$39+' Plan Energi 2019'!AN$43+' Plan Energi 2019'!AN$52+' Plan Energi 2019'!AN$55+' Plan Energi 2019'!AN$62+' Plan Energi 2019'!AN$71&gt;0,' Plan Energi 2019'!AN$39+' Plan Energi 2019'!AN$43+' Plan Energi 2019'!AN$52+' Plan Energi 2019'!AN$55+' Plan Energi 2019'!AN$62+' Plan Energi 2019'!AN$71,1)</f>
        <v>0.18581881691457658</v>
      </c>
      <c r="S200" s="650"/>
      <c r="T200" s="727">
        <f>Fjernvarme!J12</f>
        <v>0.18577706751897727</v>
      </c>
      <c r="U200" s="645"/>
      <c r="V200" s="727">
        <f>Fjernvarme!L12</f>
        <v>0.18577706751897727</v>
      </c>
      <c r="W200" s="645"/>
      <c r="X200" s="604"/>
    </row>
    <row r="201" spans="1:24" x14ac:dyDescent="0.25">
      <c r="A201" s="631" t="s">
        <v>227</v>
      </c>
      <c r="B201" s="649">
        <f>' Plan Energi 2030-S'!AN69</f>
        <v>142.40040000000002</v>
      </c>
      <c r="C201" s="650"/>
      <c r="D201" s="649">
        <f>' Plan Energi 2006'!AN69</f>
        <v>0</v>
      </c>
      <c r="E201" s="650"/>
      <c r="F201" s="649">
        <f>' Plan Energi 2008'!AN69</f>
        <v>189.82320000000001</v>
      </c>
      <c r="G201" s="650">
        <f t="shared" ref="G201:Q211" si="55">(F201-D201)/IF(D201&gt;0,D201,1)/(F$1-D$1)</f>
        <v>94.911600000000007</v>
      </c>
      <c r="H201" s="649">
        <f>' Plan Energi 2009'!AN69</f>
        <v>188.70390000000003</v>
      </c>
      <c r="I201" s="650">
        <f t="shared" si="55"/>
        <v>-5.8965395167712969E-3</v>
      </c>
      <c r="J201" s="649">
        <f>' Plan Energi 2011'!AN69</f>
        <v>145.10808</v>
      </c>
      <c r="K201" s="650">
        <f t="shared" si="55"/>
        <v>-0.11551382880798973</v>
      </c>
      <c r="L201" s="649">
        <f>' Plan Energi 2013'!AN69</f>
        <v>153.1884474</v>
      </c>
      <c r="M201" s="650">
        <f t="shared" si="55"/>
        <v>2.7842582577069452E-2</v>
      </c>
      <c r="N201" s="649">
        <f>' Plan Energi 2015'!AN69</f>
        <v>153.1884474</v>
      </c>
      <c r="O201" s="650">
        <f t="shared" si="55"/>
        <v>0</v>
      </c>
      <c r="P201" s="649">
        <f>' Plan Energi 2017'!AN69</f>
        <v>142.40040000000002</v>
      </c>
      <c r="Q201" s="650">
        <f t="shared" si="55"/>
        <v>-3.5211687248943233E-2</v>
      </c>
      <c r="R201" s="649">
        <f>' Plan Energi 2019'!AN69</f>
        <v>142.40040000000002</v>
      </c>
      <c r="S201" s="650">
        <f t="shared" ref="S201:S211" si="56">(R201-P201)/IF(P201&gt;0,P201,1)/IF(R$1-P$1&gt;0,R$1-P$1,1)</f>
        <v>0</v>
      </c>
      <c r="T201" s="649">
        <f>'Fremstilling, Gartneri, Landbru'!R29</f>
        <v>142.40040000000002</v>
      </c>
      <c r="U201" s="724">
        <f>'Fremstilling, Gartneri, Landbru'!S29</f>
        <v>0</v>
      </c>
      <c r="V201" s="649">
        <f>'Fremstilling, Gartneri, Landbru'!T29</f>
        <v>154.2187045550657</v>
      </c>
      <c r="W201" s="725">
        <f>'Fremstilling, Gartneri, Landbru'!U29</f>
        <v>6.1518412046075444E-3</v>
      </c>
      <c r="X201" s="604"/>
    </row>
    <row r="202" spans="1:24" x14ac:dyDescent="0.25">
      <c r="A202" s="631" t="s">
        <v>525</v>
      </c>
      <c r="B202" s="649">
        <f>' Plan Energi 2030-S'!AN70</f>
        <v>0</v>
      </c>
      <c r="C202" s="650"/>
      <c r="D202" s="649">
        <f>' Plan Energi 2006'!AN70</f>
        <v>0</v>
      </c>
      <c r="E202" s="650"/>
      <c r="F202" s="649">
        <f>' Plan Energi 2008'!AN70</f>
        <v>0</v>
      </c>
      <c r="G202" s="650">
        <f t="shared" si="55"/>
        <v>0</v>
      </c>
      <c r="H202" s="649">
        <f>' Plan Energi 2009'!AN70</f>
        <v>0</v>
      </c>
      <c r="I202" s="650">
        <f t="shared" si="55"/>
        <v>0</v>
      </c>
      <c r="J202" s="649">
        <f>' Plan Energi 2011'!AN70</f>
        <v>0</v>
      </c>
      <c r="K202" s="650">
        <f t="shared" si="55"/>
        <v>0</v>
      </c>
      <c r="L202" s="649">
        <f>' Plan Energi 2013'!AN70</f>
        <v>0</v>
      </c>
      <c r="M202" s="650">
        <f t="shared" si="55"/>
        <v>0</v>
      </c>
      <c r="N202" s="649">
        <f>' Plan Energi 2015'!AN70</f>
        <v>0</v>
      </c>
      <c r="O202" s="650">
        <f t="shared" si="55"/>
        <v>0</v>
      </c>
      <c r="P202" s="649">
        <f>' Plan Energi 2017'!AN70</f>
        <v>0</v>
      </c>
      <c r="Q202" s="650">
        <f t="shared" si="55"/>
        <v>0</v>
      </c>
      <c r="R202" s="649">
        <f>' Plan Energi 2019'!AN70</f>
        <v>0</v>
      </c>
      <c r="S202" s="650">
        <f t="shared" si="56"/>
        <v>0</v>
      </c>
      <c r="T202" s="649">
        <f>'Fremstilling, Gartneri, Landbru'!R30</f>
        <v>0</v>
      </c>
      <c r="U202" s="724">
        <f>'Fremstilling, Gartneri, Landbru'!S30</f>
        <v>0</v>
      </c>
      <c r="V202" s="649">
        <f>'Fremstilling, Gartneri, Landbru'!T30</f>
        <v>0</v>
      </c>
      <c r="W202" s="725">
        <f>'Fremstilling, Gartneri, Landbru'!U30</f>
        <v>-5.1983444847796267E-3</v>
      </c>
      <c r="X202" s="604"/>
    </row>
    <row r="203" spans="1:24" x14ac:dyDescent="0.25">
      <c r="A203" s="629" t="s">
        <v>270</v>
      </c>
      <c r="B203" s="649">
        <f>B204+B208+B211</f>
        <v>24.289126592799999</v>
      </c>
      <c r="C203" s="650"/>
      <c r="D203" s="649">
        <f>D204+D208+D211</f>
        <v>32.406826252410355</v>
      </c>
      <c r="E203" s="650"/>
      <c r="F203" s="649">
        <f>F204+F208+F211</f>
        <v>37.375274124665609</v>
      </c>
      <c r="G203" s="650">
        <f t="shared" si="55"/>
        <v>7.6657427567219896E-2</v>
      </c>
      <c r="H203" s="649">
        <f>H204+H208+H211</f>
        <v>38.531084898288</v>
      </c>
      <c r="I203" s="650">
        <f t="shared" si="55"/>
        <v>3.0924476159483755E-2</v>
      </c>
      <c r="J203" s="649">
        <f>J204+J208+J211</f>
        <v>27.469615553919599</v>
      </c>
      <c r="K203" s="650">
        <f t="shared" si="55"/>
        <v>-0.14353955220269285</v>
      </c>
      <c r="L203" s="649">
        <f>L204+L208+L211</f>
        <v>25.745772455844008</v>
      </c>
      <c r="M203" s="650">
        <f t="shared" si="55"/>
        <v>-3.1377270182247202E-2</v>
      </c>
      <c r="N203" s="649">
        <f>N204+N208+N211</f>
        <v>24.715278550459999</v>
      </c>
      <c r="O203" s="650">
        <f t="shared" si="55"/>
        <v>-2.0012876039190244E-2</v>
      </c>
      <c r="P203" s="649">
        <f>P204+P208+P211</f>
        <v>24.283759232200001</v>
      </c>
      <c r="Q203" s="650">
        <f t="shared" si="55"/>
        <v>-8.729808919187081E-3</v>
      </c>
      <c r="R203" s="649">
        <f>R204+R208+R211</f>
        <v>24.283759232200001</v>
      </c>
      <c r="S203" s="650">
        <f t="shared" si="56"/>
        <v>0</v>
      </c>
      <c r="T203" s="649">
        <f>T204+T208+T211</f>
        <v>24.283759232200001</v>
      </c>
      <c r="U203" s="650">
        <f>(T203-Nøgletal!P203)/IF(Nøgletal!P203&gt;0,Nøgletal!P203,1)/(T$1-Nøgletal!P$1)</f>
        <v>0</v>
      </c>
      <c r="V203" s="649">
        <f>V204+V208+V211</f>
        <v>20.227831689871451</v>
      </c>
      <c r="W203" s="650">
        <f>(V203-Nøgletal!P203)/IF(T203&gt;0,T203,1)/(V$1-Nøgletal!P$1)</f>
        <v>-1.2847863600923213E-2</v>
      </c>
      <c r="X203" s="604"/>
    </row>
    <row r="204" spans="1:24" x14ac:dyDescent="0.25">
      <c r="A204" s="631" t="s">
        <v>485</v>
      </c>
      <c r="B204" s="649">
        <f>SUM(B205:B207)</f>
        <v>0.4</v>
      </c>
      <c r="C204" s="650"/>
      <c r="D204" s="649">
        <f>SUM(D205:D207)</f>
        <v>1.1150295083999999</v>
      </c>
      <c r="E204" s="650"/>
      <c r="F204" s="649">
        <f>SUM(F205:F207)</f>
        <v>1.1721211415999999</v>
      </c>
      <c r="G204" s="650">
        <f t="shared" si="55"/>
        <v>2.5600951710203185E-2</v>
      </c>
      <c r="H204" s="649">
        <f>SUM(H205:H207)</f>
        <v>1.1733446808000001</v>
      </c>
      <c r="I204" s="650">
        <f t="shared" si="55"/>
        <v>1.0438675291958226E-3</v>
      </c>
      <c r="J204" s="649">
        <f>SUM(J205:J207)</f>
        <v>1.1078473421196</v>
      </c>
      <c r="K204" s="650">
        <f t="shared" si="55"/>
        <v>-2.7910527806604635E-2</v>
      </c>
      <c r="L204" s="649">
        <f>SUM(L205:L207)</f>
        <v>1.3215378369240005</v>
      </c>
      <c r="M204" s="650">
        <f t="shared" si="55"/>
        <v>9.6444016553560094E-2</v>
      </c>
      <c r="N204" s="649">
        <f>SUM(N205:N207)</f>
        <v>1.1000000000000001</v>
      </c>
      <c r="O204" s="650">
        <f t="shared" si="55"/>
        <v>-8.381819677582969E-2</v>
      </c>
      <c r="P204" s="649">
        <f>SUM(P205:P207)</f>
        <v>0.4</v>
      </c>
      <c r="Q204" s="650">
        <f t="shared" si="55"/>
        <v>-0.31818181818181818</v>
      </c>
      <c r="R204" s="649">
        <f>SUM(R205:R207)</f>
        <v>0.4</v>
      </c>
      <c r="S204" s="650">
        <f t="shared" si="56"/>
        <v>0</v>
      </c>
      <c r="T204" s="649">
        <f>'Fremstilling, Gartneri, Landbru'!R32</f>
        <v>0.4</v>
      </c>
      <c r="U204" s="724">
        <f>'Fremstilling, Gartneri, Landbru'!S32</f>
        <v>0</v>
      </c>
      <c r="V204" s="649">
        <f>'Fremstilling, Gartneri, Landbru'!T32</f>
        <v>0.39626866443752484</v>
      </c>
      <c r="W204" s="725">
        <f>'Fremstilling, Gartneri, Landbru'!U32</f>
        <v>-7.2067252490326528E-4</v>
      </c>
      <c r="X204" s="604"/>
    </row>
    <row r="205" spans="1:24" ht="15" customHeight="1" x14ac:dyDescent="0.25">
      <c r="A205" s="604" t="s">
        <v>305</v>
      </c>
      <c r="B205" s="649">
        <f>' Plan Energi 2030-S'!AO11</f>
        <v>0</v>
      </c>
      <c r="C205" s="650"/>
      <c r="D205" s="649">
        <f>' Plan Energi 2006'!AO11</f>
        <v>0.10235888999999999</v>
      </c>
      <c r="E205" s="650"/>
      <c r="F205" s="649">
        <f>' Plan Energi 2008'!AO11</f>
        <v>0.10759985999999999</v>
      </c>
      <c r="G205" s="650">
        <f t="shared" si="55"/>
        <v>2.5600951710203178E-2</v>
      </c>
      <c r="H205" s="649">
        <f>' Plan Energi 2009'!AO11</f>
        <v>0.10771218</v>
      </c>
      <c r="I205" s="650">
        <f t="shared" si="55"/>
        <v>1.0438675291957905E-3</v>
      </c>
      <c r="J205" s="649">
        <f>' Plan Energi 2011'!AO11</f>
        <v>0.10169957241000001</v>
      </c>
      <c r="K205" s="650">
        <f t="shared" si="55"/>
        <v>-2.7910527806604583E-2</v>
      </c>
      <c r="L205" s="649">
        <f>' Plan Energi 2013'!AO11</f>
        <v>0.1213162029</v>
      </c>
      <c r="M205" s="650">
        <f t="shared" si="55"/>
        <v>9.644401655355983E-2</v>
      </c>
      <c r="N205" s="649">
        <f>' Plan Energi 2015'!AO11</f>
        <v>0.1</v>
      </c>
      <c r="O205" s="650">
        <f t="shared" si="55"/>
        <v>-8.7853899110124548E-2</v>
      </c>
      <c r="P205" s="649">
        <f>' Plan Energi 2017'!AO11</f>
        <v>0</v>
      </c>
      <c r="Q205" s="650">
        <f t="shared" si="55"/>
        <v>-0.5</v>
      </c>
      <c r="R205" s="649">
        <f>' Plan Energi 2019'!AO11</f>
        <v>0</v>
      </c>
      <c r="S205" s="650">
        <f t="shared" si="56"/>
        <v>0</v>
      </c>
      <c r="T205" s="649">
        <f>'Fremstilling, Gartneri, Landbru'!R33</f>
        <v>0</v>
      </c>
      <c r="U205" s="724">
        <f>'Fremstilling, Gartneri, Landbru'!S33</f>
        <v>0</v>
      </c>
      <c r="V205" s="649">
        <f>'Fremstilling, Gartneri, Landbru'!T33</f>
        <v>0</v>
      </c>
      <c r="W205" s="725">
        <f>'Fremstilling, Gartneri, Landbru'!U33</f>
        <v>-7.2067252490326528E-4</v>
      </c>
      <c r="X205" s="604"/>
    </row>
    <row r="206" spans="1:24" ht="15" customHeight="1" x14ac:dyDescent="0.25">
      <c r="A206" s="604" t="s">
        <v>309</v>
      </c>
      <c r="B206" s="649">
        <f>' Plan Energi 2030-S'!AO12</f>
        <v>0</v>
      </c>
      <c r="C206" s="650"/>
      <c r="D206" s="649">
        <f>' Plan Energi 2006'!AO12</f>
        <v>6.1415333999999995E-2</v>
      </c>
      <c r="E206" s="650"/>
      <c r="F206" s="649">
        <f>' Plan Energi 2008'!AO12</f>
        <v>6.4559915999999995E-2</v>
      </c>
      <c r="G206" s="650">
        <f t="shared" si="55"/>
        <v>2.5600951710203188E-2</v>
      </c>
      <c r="H206" s="649">
        <f>' Plan Energi 2009'!AO12</f>
        <v>6.4627307999999994E-2</v>
      </c>
      <c r="I206" s="650">
        <f t="shared" si="55"/>
        <v>1.0438675291956617E-3</v>
      </c>
      <c r="J206" s="649">
        <f>' Plan Energi 2011'!AO12</f>
        <v>6.1019743446000009E-2</v>
      </c>
      <c r="K206" s="650">
        <f t="shared" si="55"/>
        <v>-2.7910527806604489E-2</v>
      </c>
      <c r="L206" s="649">
        <f>' Plan Energi 2013'!AO12</f>
        <v>7.2789721740000021E-2</v>
      </c>
      <c r="M206" s="650">
        <f t="shared" si="55"/>
        <v>9.6444016553559955E-2</v>
      </c>
      <c r="N206" s="649">
        <f>' Plan Energi 2015'!AO12</f>
        <v>0.1</v>
      </c>
      <c r="O206" s="650">
        <f t="shared" si="55"/>
        <v>0.18691016814979225</v>
      </c>
      <c r="P206" s="649">
        <f>' Plan Energi 2017'!AO12</f>
        <v>0</v>
      </c>
      <c r="Q206" s="650">
        <f t="shared" si="55"/>
        <v>-0.5</v>
      </c>
      <c r="R206" s="649">
        <f>' Plan Energi 2019'!AO12</f>
        <v>0</v>
      </c>
      <c r="S206" s="650">
        <f t="shared" si="56"/>
        <v>0</v>
      </c>
      <c r="T206" s="649">
        <f>'Fremstilling, Gartneri, Landbru'!R34</f>
        <v>0</v>
      </c>
      <c r="U206" s="724">
        <f>'Fremstilling, Gartneri, Landbru'!S34</f>
        <v>0</v>
      </c>
      <c r="V206" s="649">
        <f>'Fremstilling, Gartneri, Landbru'!T34</f>
        <v>0</v>
      </c>
      <c r="W206" s="725">
        <f>'Fremstilling, Gartneri, Landbru'!U34</f>
        <v>-7.2067252490326528E-4</v>
      </c>
      <c r="X206" s="604"/>
    </row>
    <row r="207" spans="1:24" ht="15" customHeight="1" x14ac:dyDescent="0.25">
      <c r="A207" s="604" t="s">
        <v>290</v>
      </c>
      <c r="B207" s="649">
        <f>' Plan Energi 2030-S'!AO13</f>
        <v>0.4</v>
      </c>
      <c r="C207" s="650"/>
      <c r="D207" s="649">
        <f>' Plan Energi 2006'!AO13</f>
        <v>0.95125528439999985</v>
      </c>
      <c r="E207" s="650"/>
      <c r="F207" s="649">
        <f>' Plan Energi 2008'!AO13</f>
        <v>0.99996136559999993</v>
      </c>
      <c r="G207" s="650">
        <f t="shared" si="55"/>
        <v>2.5600951710203237E-2</v>
      </c>
      <c r="H207" s="649">
        <f>' Plan Energi 2009'!AO13</f>
        <v>1.0010051928000001</v>
      </c>
      <c r="I207" s="650">
        <f t="shared" si="55"/>
        <v>1.0438675291958503E-3</v>
      </c>
      <c r="J207" s="649">
        <f>' Plan Energi 2011'!AO13</f>
        <v>0.94512802626360004</v>
      </c>
      <c r="K207" s="650">
        <f t="shared" si="55"/>
        <v>-2.7910527806604631E-2</v>
      </c>
      <c r="L207" s="649">
        <f>' Plan Energi 2013'!AO13</f>
        <v>1.1274319122840004</v>
      </c>
      <c r="M207" s="650">
        <f t="shared" si="55"/>
        <v>9.6444016553560052E-2</v>
      </c>
      <c r="N207" s="649">
        <f>' Plan Energi 2015'!AO13</f>
        <v>0.9</v>
      </c>
      <c r="O207" s="650">
        <f t="shared" si="55"/>
        <v>-0.10086281477666309</v>
      </c>
      <c r="P207" s="649">
        <f>' Plan Energi 2017'!AO13</f>
        <v>0.4</v>
      </c>
      <c r="Q207" s="650">
        <f t="shared" si="55"/>
        <v>-0.27777777777777779</v>
      </c>
      <c r="R207" s="649">
        <f>' Plan Energi 2019'!AO13</f>
        <v>0.4</v>
      </c>
      <c r="S207" s="650">
        <f t="shared" si="56"/>
        <v>0</v>
      </c>
      <c r="T207" s="649">
        <f>'Fremstilling, Gartneri, Landbru'!R35</f>
        <v>0.4</v>
      </c>
      <c r="U207" s="724">
        <f>'Fremstilling, Gartneri, Landbru'!S35</f>
        <v>0</v>
      </c>
      <c r="V207" s="649">
        <f>'Fremstilling, Gartneri, Landbru'!T35</f>
        <v>0.39626866443752484</v>
      </c>
      <c r="W207" s="725">
        <f>'Fremstilling, Gartneri, Landbru'!U35</f>
        <v>-7.2067252490326528E-4</v>
      </c>
      <c r="X207" s="604"/>
    </row>
    <row r="208" spans="1:24" x14ac:dyDescent="0.25">
      <c r="A208" s="631" t="s">
        <v>345</v>
      </c>
      <c r="B208" s="649">
        <f>' Plan Energi 2030-S'!AO16</f>
        <v>0</v>
      </c>
      <c r="C208" s="650"/>
      <c r="D208" s="649">
        <f>' Plan Energi 2006'!AO16</f>
        <v>0</v>
      </c>
      <c r="E208" s="650"/>
      <c r="F208" s="649">
        <f>' Plan Energi 2008'!AO16</f>
        <v>0</v>
      </c>
      <c r="G208" s="650">
        <f t="shared" si="55"/>
        <v>0</v>
      </c>
      <c r="H208" s="649">
        <f>' Plan Energi 2009'!AO16</f>
        <v>0</v>
      </c>
      <c r="I208" s="650">
        <f t="shared" si="55"/>
        <v>0</v>
      </c>
      <c r="J208" s="649">
        <f>' Plan Energi 2011'!AO16</f>
        <v>0</v>
      </c>
      <c r="K208" s="650">
        <f t="shared" si="55"/>
        <v>0</v>
      </c>
      <c r="L208" s="649">
        <f>' Plan Energi 2013'!AO16</f>
        <v>0</v>
      </c>
      <c r="M208" s="650">
        <f t="shared" si="55"/>
        <v>0</v>
      </c>
      <c r="N208" s="649">
        <f>' Plan Energi 2015'!AO16</f>
        <v>0</v>
      </c>
      <c r="O208" s="650">
        <f t="shared" si="55"/>
        <v>0</v>
      </c>
      <c r="P208" s="649">
        <f>' Plan Energi 2017'!AO16</f>
        <v>0</v>
      </c>
      <c r="Q208" s="650">
        <f t="shared" si="55"/>
        <v>0</v>
      </c>
      <c r="R208" s="649">
        <f>' Plan Energi 2019'!AO16</f>
        <v>0</v>
      </c>
      <c r="S208" s="650">
        <f t="shared" si="56"/>
        <v>0</v>
      </c>
      <c r="T208" s="649">
        <f>'Fremstilling, Gartneri, Landbru'!R36</f>
        <v>0</v>
      </c>
      <c r="U208" s="724">
        <f>'Fremstilling, Gartneri, Landbru'!S36</f>
        <v>0</v>
      </c>
      <c r="V208" s="649">
        <f>'Fremstilling, Gartneri, Landbru'!T36</f>
        <v>0</v>
      </c>
      <c r="W208" s="725">
        <f>'Fremstilling, Gartneri, Landbru'!U36</f>
        <v>-0.11140759433466829</v>
      </c>
      <c r="X208" s="604"/>
    </row>
    <row r="209" spans="1:24" x14ac:dyDescent="0.25">
      <c r="A209" s="631" t="s">
        <v>526</v>
      </c>
      <c r="B209" s="649">
        <f>' Plan Energi 2030-S'!AO$14+SUM(' Plan Energi 2030-S'!AO$17:AO$22)+' Plan Energi 2030-S'!AO$10+' Plan Energi 2030-S'!AO$9</f>
        <v>0</v>
      </c>
      <c r="C209" s="650"/>
      <c r="D209" s="649">
        <f>' Plan Energi 2006'!AO$14+SUM(' Plan Energi 2006'!AO$17:AO$22)+' Plan Energi 2006'!AO$10+' Plan Energi 2006'!AO$9</f>
        <v>0</v>
      </c>
      <c r="E209" s="650"/>
      <c r="F209" s="649">
        <f>' Plan Energi 2008'!AO$14+SUM(' Plan Energi 2008'!AO$17:AO$22)+' Plan Energi 2008'!AO$10+' Plan Energi 2008'!AO$9</f>
        <v>0</v>
      </c>
      <c r="G209" s="650">
        <f t="shared" si="55"/>
        <v>0</v>
      </c>
      <c r="H209" s="649">
        <f>' Plan Energi 2009'!AO$14+SUM(' Plan Energi 2009'!AO$17:AO$22)+' Plan Energi 2009'!AO$10+' Plan Energi 2009'!AO$9</f>
        <v>0</v>
      </c>
      <c r="I209" s="650">
        <f t="shared" si="55"/>
        <v>0</v>
      </c>
      <c r="J209" s="649">
        <f>' Plan Energi 2011'!AO$14+SUM(' Plan Energi 2011'!AO$17:AO$22)+' Plan Energi 2011'!AO$10+' Plan Energi 2011'!AO$9</f>
        <v>0</v>
      </c>
      <c r="K209" s="650">
        <f t="shared" si="55"/>
        <v>0</v>
      </c>
      <c r="L209" s="649">
        <f>' Plan Energi 2013'!AO$14+SUM(' Plan Energi 2013'!AO$17:AO$22)+' Plan Energi 2013'!AO$10+' Plan Energi 2013'!AO$9</f>
        <v>0</v>
      </c>
      <c r="M209" s="650">
        <f t="shared" si="55"/>
        <v>0</v>
      </c>
      <c r="N209" s="649">
        <f>' Plan Energi 2015'!AO$14+SUM(' Plan Energi 2015'!AO$17:AO$22)+' Plan Energi 2015'!AO$10+' Plan Energi 2015'!AO$9</f>
        <v>0</v>
      </c>
      <c r="O209" s="650">
        <f t="shared" si="55"/>
        <v>0</v>
      </c>
      <c r="P209" s="649">
        <f>' Plan Energi 2017'!AO$14+SUM(' Plan Energi 2017'!AO$17:AO$22)+' Plan Energi 2017'!AO$10+' Plan Energi 2017'!AO$9</f>
        <v>0</v>
      </c>
      <c r="Q209" s="650">
        <f t="shared" si="55"/>
        <v>0</v>
      </c>
      <c r="R209" s="649">
        <f>' Plan Energi 2019'!AO$14+SUM(' Plan Energi 2019'!AO$17:AO$22)+' Plan Energi 2019'!AO$10+' Plan Energi 2019'!AO$9</f>
        <v>0</v>
      </c>
      <c r="S209" s="650">
        <f t="shared" si="56"/>
        <v>0</v>
      </c>
      <c r="T209" s="649">
        <f>'Fremstilling, Gartneri, Landbru'!R37</f>
        <v>0</v>
      </c>
      <c r="U209" s="724">
        <f>'Fremstilling, Gartneri, Landbru'!S37</f>
        <v>0</v>
      </c>
      <c r="V209" s="649">
        <f>'Fremstilling, Gartneri, Landbru'!T37</f>
        <v>0</v>
      </c>
      <c r="W209" s="725">
        <f>'Fremstilling, Gartneri, Landbru'!U37</f>
        <v>2.9635694192420292E-3</v>
      </c>
      <c r="X209" s="604"/>
    </row>
    <row r="210" spans="1:24" x14ac:dyDescent="0.25">
      <c r="A210" s="631" t="s">
        <v>28</v>
      </c>
      <c r="B210" s="649">
        <f>' Plan Energi 2030-S'!AO$39+' Plan Energi 2030-S'!AO$43+' Plan Energi 2030-S'!$AO$52+' Plan Energi 2030-S'!AO$55+' Plan Energi 2030-S'!AO$62+' Plan Energi 2030-S'!AO$71</f>
        <v>23.8891265928</v>
      </c>
      <c r="C210" s="650"/>
      <c r="D210" s="649">
        <f>' Plan Energi 2006'!AO$39+' Plan Energi 2006'!AO$43+' Plan Energi 2006'!$AO$52+' Plan Energi 2006'!AO$55+' Plan Energi 2006'!AO$62+' Plan Energi 2006'!AO$71</f>
        <v>31.291796744010355</v>
      </c>
      <c r="E210" s="650"/>
      <c r="F210" s="649">
        <f>' Plan Energi 2008'!AO$39+' Plan Energi 2008'!AO$43+' Plan Energi 2008'!$AO$52+' Plan Energi 2008'!AO$55+' Plan Energi 2008'!AO$62+' Plan Energi 2008'!AO$71</f>
        <v>36.203152983065607</v>
      </c>
      <c r="G210" s="650">
        <f t="shared" si="55"/>
        <v>7.8476737517402972E-2</v>
      </c>
      <c r="H210" s="649">
        <f>' Plan Energi 2009'!AO$39+' Plan Energi 2009'!AO$43+' Plan Energi 2009'!$AO$52+' Plan Energi 2009'!AO$55+' Plan Energi 2009'!AO$62+' Plan Energi 2009'!AO$71</f>
        <v>37.357740217488001</v>
      </c>
      <c r="I210" s="650">
        <f t="shared" si="55"/>
        <v>3.1891897232333981E-2</v>
      </c>
      <c r="J210" s="649">
        <f>' Plan Energi 2011'!AO$39+' Plan Energi 2011'!AO$43+' Plan Energi 2011'!$AO$52+' Plan Energi 2011'!AO$55+' Plan Energi 2011'!AO$62+' Plan Energi 2011'!AO$71</f>
        <v>26.361768211799998</v>
      </c>
      <c r="K210" s="650">
        <f t="shared" si="55"/>
        <v>-0.14717126814512915</v>
      </c>
      <c r="L210" s="649">
        <f>' Plan Energi 2013'!AO$39+' Plan Energi 2013'!AO$43+' Plan Energi 2013'!$AO$52+' Plan Energi 2013'!AO$55+' Plan Energi 2013'!AO$62+' Plan Energi 2013'!AO$71</f>
        <v>24.424234618920007</v>
      </c>
      <c r="M210" s="650">
        <f t="shared" si="55"/>
        <v>-3.6748930824995189E-2</v>
      </c>
      <c r="N210" s="649">
        <f>' Plan Energi 2015'!AO$39+' Plan Energi 2015'!AO$43+' Plan Energi 2015'!$AO$52+' Plan Energi 2015'!AO$55+' Plan Energi 2015'!AO$62+' Plan Energi 2015'!AO$71</f>
        <v>23.615278550459998</v>
      </c>
      <c r="O210" s="650">
        <f t="shared" si="55"/>
        <v>-1.6560520341410395E-2</v>
      </c>
      <c r="P210" s="649">
        <f>' Plan Energi 2017'!AO$39+' Plan Energi 2017'!AO$43+' Plan Energi 2017'!$AO$52+' Plan Energi 2017'!AO$55+' Plan Energi 2017'!AO$62+' Plan Energi 2017'!AO$71</f>
        <v>23.883759232200003</v>
      </c>
      <c r="Q210" s="650">
        <f t="shared" si="55"/>
        <v>5.6844699325974178E-3</v>
      </c>
      <c r="R210" s="649">
        <f>' Plan Energi 2019'!AO$39+' Plan Energi 2019'!AO$43+' Plan Energi 2019'!$AO$52+' Plan Energi 2019'!AO$55+' Plan Energi 2019'!AO$62+' Plan Energi 2019'!AO$71</f>
        <v>23.883759232200003</v>
      </c>
      <c r="S210" s="650">
        <f t="shared" si="56"/>
        <v>0</v>
      </c>
      <c r="T210" s="649">
        <f>Fjernvarmeprognose!R18</f>
        <v>23.883759232200003</v>
      </c>
      <c r="U210" s="724">
        <f>Fjernvarmeprognose!S18</f>
        <v>0</v>
      </c>
      <c r="V210" s="649">
        <f>Fjernvarmeprognose!T18</f>
        <v>19.831563025433926</v>
      </c>
      <c r="W210" s="725">
        <f>Fjernvarmeprognose!U18</f>
        <v>-1.4200055811431134E-2</v>
      </c>
      <c r="X210" s="604"/>
    </row>
    <row r="211" spans="1:24" x14ac:dyDescent="0.25">
      <c r="A211" s="631" t="s">
        <v>486</v>
      </c>
      <c r="B211" s="649">
        <f>B209+B210</f>
        <v>23.8891265928</v>
      </c>
      <c r="C211" s="650"/>
      <c r="D211" s="649">
        <f>D209+D210</f>
        <v>31.291796744010355</v>
      </c>
      <c r="E211" s="650"/>
      <c r="F211" s="649">
        <f>F209+F210</f>
        <v>36.203152983065607</v>
      </c>
      <c r="G211" s="650">
        <f t="shared" si="55"/>
        <v>7.8476737517402972E-2</v>
      </c>
      <c r="H211" s="649">
        <f>H209+H210</f>
        <v>37.357740217488001</v>
      </c>
      <c r="I211" s="650">
        <f t="shared" si="55"/>
        <v>3.1891897232333981E-2</v>
      </c>
      <c r="J211" s="649">
        <f>J209+J210</f>
        <v>26.361768211799998</v>
      </c>
      <c r="K211" s="650">
        <f t="shared" si="55"/>
        <v>-0.14717126814512915</v>
      </c>
      <c r="L211" s="649">
        <f>L209+L210</f>
        <v>24.424234618920007</v>
      </c>
      <c r="M211" s="650">
        <f t="shared" si="55"/>
        <v>-3.6748930824995189E-2</v>
      </c>
      <c r="N211" s="649">
        <f>N209+N210</f>
        <v>23.615278550459998</v>
      </c>
      <c r="O211" s="650">
        <f t="shared" si="55"/>
        <v>-1.6560520341410395E-2</v>
      </c>
      <c r="P211" s="649">
        <f>P209+P210</f>
        <v>23.883759232200003</v>
      </c>
      <c r="Q211" s="650">
        <f t="shared" si="55"/>
        <v>5.6844699325974178E-3</v>
      </c>
      <c r="R211" s="649">
        <f>R209+R210</f>
        <v>23.883759232200003</v>
      </c>
      <c r="S211" s="650">
        <f t="shared" si="56"/>
        <v>0</v>
      </c>
      <c r="T211" s="649">
        <f>T209+T210</f>
        <v>23.883759232200003</v>
      </c>
      <c r="U211" s="650">
        <f>(T211-Nøgletal!P211)/IF(Nøgletal!P211&gt;0,Nøgletal!P211,1)/(T$1-Nøgletal!P$1)</f>
        <v>0</v>
      </c>
      <c r="V211" s="649">
        <f>V209+V210</f>
        <v>19.831563025433926</v>
      </c>
      <c r="W211" s="650">
        <f>(V211-Nøgletal!P211)/IF(T211&gt;0,T211,1)/(V$1-Nøgletal!P$1)</f>
        <v>-1.3051019208911828E-2</v>
      </c>
      <c r="X211" s="604"/>
    </row>
    <row r="212" spans="1:24" x14ac:dyDescent="0.25">
      <c r="A212" s="633" t="s">
        <v>487</v>
      </c>
      <c r="B212" s="650">
        <f>B209/IF(B211&gt;0,B211,1)</f>
        <v>0</v>
      </c>
      <c r="C212" s="650"/>
      <c r="D212" s="650">
        <f>D209/IF(D211&gt;0,D211,1)</f>
        <v>0</v>
      </c>
      <c r="E212" s="650"/>
      <c r="F212" s="650">
        <f>F209/IF(F211&gt;0,F211,1)</f>
        <v>0</v>
      </c>
      <c r="G212" s="650"/>
      <c r="H212" s="650">
        <f>H209/IF(H211&gt;0,H211,1)</f>
        <v>0</v>
      </c>
      <c r="I212" s="650"/>
      <c r="J212" s="650">
        <f>J209/IF(J211&gt;0,J211,1)</f>
        <v>0</v>
      </c>
      <c r="K212" s="650"/>
      <c r="L212" s="650">
        <f>L209/IF(L211&gt;0,L211,1)</f>
        <v>0</v>
      </c>
      <c r="M212" s="650"/>
      <c r="N212" s="650">
        <f>N209/IF(N211&gt;0,N211,1)</f>
        <v>0</v>
      </c>
      <c r="O212" s="650"/>
      <c r="P212" s="650">
        <f>P209/IF(P211&gt;0,P211,1)</f>
        <v>0</v>
      </c>
      <c r="Q212" s="650"/>
      <c r="R212" s="650">
        <f>R209/IF(R211&gt;0,R211,1)</f>
        <v>0</v>
      </c>
      <c r="S212" s="650"/>
      <c r="T212" s="650">
        <f>T209/IF(T211&gt;0,T211,1)</f>
        <v>0</v>
      </c>
      <c r="U212" s="650"/>
      <c r="V212" s="650">
        <f>V209/IF(V211&gt;0,V211,1)</f>
        <v>0</v>
      </c>
      <c r="W212" s="650"/>
      <c r="X212" s="604"/>
    </row>
    <row r="213" spans="1:24" x14ac:dyDescent="0.25">
      <c r="A213" s="633" t="s">
        <v>488</v>
      </c>
      <c r="B213" s="650">
        <f>B210/IF(B211&gt;0,B211,1)</f>
        <v>1</v>
      </c>
      <c r="C213" s="650"/>
      <c r="D213" s="650">
        <f>D210/IF(D211&gt;0,D211,1)</f>
        <v>1</v>
      </c>
      <c r="E213" s="650"/>
      <c r="F213" s="650">
        <f>F210/IF(F211&gt;0,F211,1)</f>
        <v>1</v>
      </c>
      <c r="G213" s="650"/>
      <c r="H213" s="650">
        <f>H210/IF(H211&gt;0,H211,1)</f>
        <v>1</v>
      </c>
      <c r="I213" s="650"/>
      <c r="J213" s="650">
        <f>J210/IF(J211&gt;0,J211,1)</f>
        <v>1</v>
      </c>
      <c r="K213" s="650"/>
      <c r="L213" s="650">
        <f>L210/IF(L211&gt;0,L211,1)</f>
        <v>1</v>
      </c>
      <c r="M213" s="650"/>
      <c r="N213" s="650">
        <f>N210/IF(N211&gt;0,N211,1)</f>
        <v>1</v>
      </c>
      <c r="O213" s="650"/>
      <c r="P213" s="650">
        <f>P210/IF(P211&gt;0,P211,1)</f>
        <v>1</v>
      </c>
      <c r="Q213" s="650"/>
      <c r="R213" s="650">
        <f>R210/IF(R211&gt;0,R211,1)</f>
        <v>1</v>
      </c>
      <c r="S213" s="650"/>
      <c r="T213" s="650">
        <f>T210/IF(T211&gt;0,T211,1)</f>
        <v>1</v>
      </c>
      <c r="U213" s="650"/>
      <c r="V213" s="650">
        <f>V210/IF(V211&gt;0,V211,1)</f>
        <v>1</v>
      </c>
      <c r="W213" s="650"/>
      <c r="X213" s="604"/>
    </row>
    <row r="214" spans="1:24" ht="15" customHeight="1" x14ac:dyDescent="0.25">
      <c r="A214" s="633" t="s">
        <v>490</v>
      </c>
      <c r="B214" s="650"/>
      <c r="C214" s="650"/>
      <c r="D214" s="650"/>
      <c r="E214" s="650"/>
      <c r="F214" s="650"/>
      <c r="G214" s="650"/>
      <c r="H214" s="650"/>
      <c r="I214" s="650"/>
      <c r="J214" s="650"/>
      <c r="K214" s="650"/>
      <c r="L214" s="650"/>
      <c r="M214" s="650"/>
      <c r="N214" s="650"/>
      <c r="O214" s="650"/>
      <c r="P214" s="650"/>
      <c r="Q214" s="650"/>
      <c r="R214" s="650"/>
      <c r="S214" s="650"/>
      <c r="T214" s="650"/>
      <c r="U214" s="650"/>
      <c r="V214" s="650"/>
      <c r="W214" s="650"/>
      <c r="X214" s="604"/>
    </row>
    <row r="215" spans="1:24" ht="15" customHeight="1" x14ac:dyDescent="0.25">
      <c r="A215" s="604" t="s">
        <v>344</v>
      </c>
      <c r="B215" s="650">
        <f>' Plan Energi 2030-S'!AO14/IF('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15" s="650"/>
      <c r="D215" s="650">
        <f>' Plan Energi 2006'!AO14/IF('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15" s="650"/>
      <c r="F215" s="650">
        <f>' Plan Energi 2008'!AO14/IF('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15" s="650"/>
      <c r="H215" s="650">
        <f>' Plan Energi 2009'!AO14/IF('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15" s="650"/>
      <c r="J215" s="650">
        <f>' Plan Energi 2011'!AO14/IF('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15" s="650"/>
      <c r="L215" s="650">
        <f>' Plan Energi 2013'!AO14/IF('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15" s="650"/>
      <c r="N215" s="650">
        <f>' Plan Energi 2015'!AO14/IF('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15" s="650"/>
      <c r="P215" s="650">
        <f>' Plan Energi 2017'!AO14/IF('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15" s="650"/>
      <c r="R215" s="650">
        <f>' Plan Energi 2019'!AO14/IF('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15" s="650"/>
      <c r="T215" s="726">
        <f>'Fremstilling, Gartneri, Landbru'!R40</f>
        <v>0</v>
      </c>
      <c r="U215" s="650"/>
      <c r="V215" s="726">
        <f>'Fremstilling, Gartneri, Landbru'!T40</f>
        <v>0</v>
      </c>
      <c r="W215" s="650"/>
      <c r="X215" s="604"/>
    </row>
    <row r="216" spans="1:24" ht="15" customHeight="1" x14ac:dyDescent="0.25">
      <c r="A216" s="604" t="s">
        <v>346</v>
      </c>
      <c r="B216" s="650">
        <f>' Plan Energi 2030-S'!AO17/IF('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16" s="650"/>
      <c r="D216" s="650">
        <f>' Plan Energi 2006'!AO17/IF('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16" s="650"/>
      <c r="F216" s="650">
        <f>' Plan Energi 2008'!AO17/IF('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16" s="650"/>
      <c r="H216" s="650">
        <f>' Plan Energi 2009'!AO17/IF('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16" s="650"/>
      <c r="J216" s="650">
        <f>' Plan Energi 2011'!AO17/IF('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16" s="650"/>
      <c r="L216" s="650">
        <f>' Plan Energi 2013'!AO17/IF('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16" s="650"/>
      <c r="N216" s="650">
        <f>' Plan Energi 2015'!AO17/IF('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16" s="650"/>
      <c r="P216" s="650">
        <f>' Plan Energi 2017'!AO17/IF('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16" s="650"/>
      <c r="R216" s="650">
        <f>' Plan Energi 2019'!AO17/IF('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16" s="650"/>
      <c r="T216" s="726">
        <f>'Fremstilling, Gartneri, Landbru'!R41</f>
        <v>0</v>
      </c>
      <c r="U216" s="650"/>
      <c r="V216" s="726">
        <f>'Fremstilling, Gartneri, Landbru'!T41</f>
        <v>0.76991150442477885</v>
      </c>
      <c r="W216" s="650"/>
      <c r="X216" s="604"/>
    </row>
    <row r="217" spans="1:24" ht="15" customHeight="1" x14ac:dyDescent="0.25">
      <c r="A217" s="604" t="s">
        <v>347</v>
      </c>
      <c r="B217" s="650">
        <f>' Plan Energi 2030-S'!AO18/IF('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17" s="650"/>
      <c r="D217" s="650">
        <f>' Plan Energi 2006'!AO18/IF('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17" s="650"/>
      <c r="F217" s="650">
        <f>' Plan Energi 2008'!AO18/IF('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17" s="650"/>
      <c r="H217" s="650">
        <f>' Plan Energi 2009'!AO18/IF('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17" s="650"/>
      <c r="J217" s="650">
        <f>' Plan Energi 2011'!AO18/IF('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17" s="650"/>
      <c r="L217" s="650">
        <f>' Plan Energi 2013'!AO18/IF('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17" s="650"/>
      <c r="N217" s="650">
        <f>' Plan Energi 2015'!AO18/IF('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17" s="650"/>
      <c r="P217" s="650">
        <f>' Plan Energi 2017'!AO18/IF('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17" s="650"/>
      <c r="R217" s="650">
        <f>' Plan Energi 2019'!AO18/IF('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17" s="650"/>
      <c r="T217" s="726">
        <f>'Fremstilling, Gartneri, Landbru'!R42</f>
        <v>0</v>
      </c>
      <c r="U217" s="650"/>
      <c r="V217" s="726">
        <f>'Fremstilling, Gartneri, Landbru'!T42</f>
        <v>6.6582385166455968E-2</v>
      </c>
      <c r="W217" s="650"/>
      <c r="X217" s="604"/>
    </row>
    <row r="218" spans="1:24" ht="15" customHeight="1" x14ac:dyDescent="0.25">
      <c r="A218" s="604" t="s">
        <v>348</v>
      </c>
      <c r="B218" s="650">
        <f>' Plan Energi 2030-S'!AO19/IF('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18" s="650"/>
      <c r="D218" s="650">
        <f>' Plan Energi 2006'!AO19/IF('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18" s="650"/>
      <c r="F218" s="650">
        <f>' Plan Energi 2008'!AO19/IF('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18" s="650"/>
      <c r="H218" s="650">
        <f>' Plan Energi 2009'!AO19/IF('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18" s="650"/>
      <c r="J218" s="650">
        <f>' Plan Energi 2011'!AO19/IF('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18" s="650"/>
      <c r="L218" s="650">
        <f>' Plan Energi 2013'!AO19/IF('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18" s="650"/>
      <c r="N218" s="650">
        <f>' Plan Energi 2015'!AO19/IF('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18" s="650"/>
      <c r="P218" s="650">
        <f>' Plan Energi 2017'!AO19/IF('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18" s="650"/>
      <c r="R218" s="650">
        <f>' Plan Energi 2019'!AO19/IF('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18" s="650"/>
      <c r="T218" s="726">
        <f>'Fremstilling, Gartneri, Landbru'!R43</f>
        <v>0</v>
      </c>
      <c r="U218" s="650"/>
      <c r="V218" s="726">
        <f>'Fremstilling, Gartneri, Landbru'!T43</f>
        <v>0.12389380530973453</v>
      </c>
      <c r="W218" s="650"/>
      <c r="X218" s="604"/>
    </row>
    <row r="219" spans="1:24" ht="15" customHeight="1" x14ac:dyDescent="0.25">
      <c r="A219" s="604" t="s">
        <v>349</v>
      </c>
      <c r="B219" s="650">
        <f>' Plan Energi 2030-S'!AO20/IF('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19" s="650"/>
      <c r="D219" s="650">
        <f>' Plan Energi 2006'!AO20/IF('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19" s="650"/>
      <c r="F219" s="650">
        <f>' Plan Energi 2008'!AO20/IF('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19" s="650"/>
      <c r="H219" s="650">
        <f>' Plan Energi 2009'!AO20/IF('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19" s="650"/>
      <c r="J219" s="650">
        <f>' Plan Energi 2011'!AO20/IF('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19" s="650"/>
      <c r="L219" s="650">
        <f>' Plan Energi 2013'!AO20/IF('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19" s="650"/>
      <c r="N219" s="650">
        <f>' Plan Energi 2015'!AO20/IF('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19" s="650"/>
      <c r="P219" s="650">
        <f>' Plan Energi 2017'!AO20/IF('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19" s="650"/>
      <c r="R219" s="650">
        <f>' Plan Energi 2019'!AO20/IF('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19" s="650"/>
      <c r="T219" s="726">
        <f>'Fremstilling, Gartneri, Landbru'!R44</f>
        <v>0</v>
      </c>
      <c r="U219" s="650"/>
      <c r="V219" s="726">
        <f>'Fremstilling, Gartneri, Landbru'!T44</f>
        <v>0</v>
      </c>
      <c r="W219" s="650"/>
      <c r="X219" s="604"/>
    </row>
    <row r="220" spans="1:24" ht="15" customHeight="1" x14ac:dyDescent="0.25">
      <c r="A220" s="604" t="s">
        <v>350</v>
      </c>
      <c r="B220" s="650">
        <f>' Plan Energi 2030-S'!AO21/IF('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20" s="650"/>
      <c r="D220" s="650">
        <f>' Plan Energi 2006'!AO21/IF('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20" s="650"/>
      <c r="F220" s="650">
        <f>' Plan Energi 2008'!AO21/IF('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20" s="650"/>
      <c r="H220" s="650">
        <f>' Plan Energi 2009'!AO21/IF('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20" s="650"/>
      <c r="J220" s="650">
        <f>' Plan Energi 2011'!AO21/IF('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20" s="650"/>
      <c r="L220" s="650">
        <f>' Plan Energi 2013'!AO21/IF('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20" s="650"/>
      <c r="N220" s="650">
        <f>' Plan Energi 2015'!AO21/IF('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20" s="650"/>
      <c r="P220" s="650">
        <f>' Plan Energi 2017'!AO21/IF('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20" s="650"/>
      <c r="R220" s="650">
        <f>' Plan Energi 2019'!AO21/IF('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20" s="650"/>
      <c r="T220" s="726">
        <f>'Fremstilling, Gartneri, Landbru'!R45</f>
        <v>0</v>
      </c>
      <c r="U220" s="650"/>
      <c r="V220" s="726">
        <f>'Fremstilling, Gartneri, Landbru'!T45</f>
        <v>0</v>
      </c>
      <c r="W220" s="650"/>
      <c r="X220" s="604"/>
    </row>
    <row r="221" spans="1:24" ht="15" customHeight="1" x14ac:dyDescent="0.25">
      <c r="A221" s="604" t="s">
        <v>331</v>
      </c>
      <c r="B221" s="650">
        <f>' Plan Energi 2030-S'!AO22/IF('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21" s="650"/>
      <c r="D221" s="650">
        <f>' Plan Energi 2006'!AO22/IF('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21" s="650"/>
      <c r="F221" s="650">
        <f>' Plan Energi 2008'!AO22/IF('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21" s="650"/>
      <c r="H221" s="650">
        <f>' Plan Energi 2009'!AO22/IF('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21" s="650"/>
      <c r="J221" s="650">
        <f>' Plan Energi 2011'!AO22/IF('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21" s="650"/>
      <c r="L221" s="650">
        <f>' Plan Energi 2013'!AO22/IF('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21" s="650"/>
      <c r="N221" s="650">
        <f>' Plan Energi 2015'!AO22/IF('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21" s="650"/>
      <c r="P221" s="650">
        <f>' Plan Energi 2017'!AO22/IF('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21" s="650"/>
      <c r="R221" s="650">
        <f>' Plan Energi 2019'!AO22/IF('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21" s="650"/>
      <c r="T221" s="726">
        <f>'Fremstilling, Gartneri, Landbru'!R46</f>
        <v>0</v>
      </c>
      <c r="U221" s="650"/>
      <c r="V221" s="726">
        <f>'Fremstilling, Gartneri, Landbru'!T46</f>
        <v>0</v>
      </c>
      <c r="W221" s="650"/>
      <c r="X221" s="604"/>
    </row>
    <row r="222" spans="1:24" ht="15" customHeight="1" x14ac:dyDescent="0.25">
      <c r="A222" s="604" t="s">
        <v>501</v>
      </c>
      <c r="B222" s="650">
        <f>' Plan Energi 2030-S'!AO10/IF('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22" s="650"/>
      <c r="D222" s="650">
        <f>' Plan Energi 2006'!AO10/IF('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22" s="650"/>
      <c r="F222" s="650">
        <f>' Plan Energi 2008'!AO10/IF('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22" s="650"/>
      <c r="H222" s="650">
        <f>' Plan Energi 2009'!AO10/IF('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22" s="650"/>
      <c r="J222" s="650">
        <f>' Plan Energi 2011'!AO10/IF('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22" s="650"/>
      <c r="L222" s="650">
        <f>' Plan Energi 2013'!AO10/IF('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22" s="650"/>
      <c r="N222" s="650">
        <f>' Plan Energi 2015'!AO10/IF('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22" s="650"/>
      <c r="P222" s="650">
        <f>' Plan Energi 2017'!AO10/IF('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22" s="650"/>
      <c r="R222" s="650">
        <f>' Plan Energi 2019'!AO10/IF('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22" s="650"/>
      <c r="T222" s="726">
        <f>'Fremstilling, Gartneri, Landbru'!R47</f>
        <v>0</v>
      </c>
      <c r="U222" s="650"/>
      <c r="V222" s="726">
        <f>'Fremstilling, Gartneri, Landbru'!T47</f>
        <v>0</v>
      </c>
      <c r="W222" s="650"/>
      <c r="X222" s="604"/>
    </row>
    <row r="223" spans="1:24" ht="15" customHeight="1" x14ac:dyDescent="0.25">
      <c r="A223" s="604" t="s">
        <v>314</v>
      </c>
      <c r="B223" s="650">
        <f>' Plan Energi 2030-S'!AO9/IF(' Plan Energi 2030-S'!AO$14+SUM(' Plan Energi 2030-S'!AO$17:AO$22)+' Plan Energi 2030-S'!AO$9+' Plan Energi 2030-S'!AO$10&gt;0,' Plan Energi 2030-S'!AO$14+SUM(' Plan Energi 2030-S'!AO$17:AO$22)+' Plan Energi 2030-S'!AO$9+' Plan Energi 2030-S'!AO$10,1)</f>
        <v>0</v>
      </c>
      <c r="C223" s="650"/>
      <c r="D223" s="650">
        <f>' Plan Energi 2006'!AO9/IF(' Plan Energi 2006'!AO$14+SUM(' Plan Energi 2006'!AO$17:AO$22)+' Plan Energi 2006'!AO$9+' Plan Energi 2006'!AO$10&gt;0,' Plan Energi 2006'!AO$14+SUM(' Plan Energi 2006'!AO$17:AO$22)+' Plan Energi 2006'!AO$9+' Plan Energi 2006'!AO$10,1)</f>
        <v>0</v>
      </c>
      <c r="E223" s="650"/>
      <c r="F223" s="650">
        <f>' Plan Energi 2008'!AO9/IF(' Plan Energi 2008'!AO$14+SUM(' Plan Energi 2008'!AO$17:AO$22)+' Plan Energi 2008'!AO$9+' Plan Energi 2008'!AO$10&gt;0,' Plan Energi 2008'!AO$14+SUM(' Plan Energi 2008'!AO$17:AO$22)+' Plan Energi 2008'!AO$9+' Plan Energi 2008'!AO$10,1)</f>
        <v>0</v>
      </c>
      <c r="G223" s="650"/>
      <c r="H223" s="650">
        <f>' Plan Energi 2009'!AO9/IF(' Plan Energi 2009'!AO$14+SUM(' Plan Energi 2009'!AO$17:AO$22)+' Plan Energi 2009'!AO$9+' Plan Energi 2009'!AO$10&gt;0,' Plan Energi 2009'!AO$14+SUM(' Plan Energi 2009'!AO$17:AO$22)+' Plan Energi 2009'!AO$9+' Plan Energi 2009'!AO$10,1)</f>
        <v>0</v>
      </c>
      <c r="I223" s="650"/>
      <c r="J223" s="650">
        <f>' Plan Energi 2011'!AO9/IF(' Plan Energi 2011'!AO$14+SUM(' Plan Energi 2011'!AO$17:AO$22)+' Plan Energi 2011'!AO$9+' Plan Energi 2011'!AO$10&gt;0,' Plan Energi 2011'!AO$14+SUM(' Plan Energi 2011'!AO$17:AO$22)+' Plan Energi 2011'!AO$9+' Plan Energi 2011'!AO$10,1)</f>
        <v>0</v>
      </c>
      <c r="K223" s="650"/>
      <c r="L223" s="650">
        <f>' Plan Energi 2013'!AO9/IF(' Plan Energi 2013'!AO$14+SUM(' Plan Energi 2013'!AO$17:AO$22)+' Plan Energi 2013'!AO$9+' Plan Energi 2013'!AO$10&gt;0,' Plan Energi 2013'!AO$14+SUM(' Plan Energi 2013'!AO$17:AO$22)+' Plan Energi 2013'!AO$9+' Plan Energi 2013'!AO$10,1)</f>
        <v>0</v>
      </c>
      <c r="M223" s="650"/>
      <c r="N223" s="650">
        <f>' Plan Energi 2015'!AO9/IF(' Plan Energi 2015'!AO$14+SUM(' Plan Energi 2015'!AO$17:AO$22)+' Plan Energi 2015'!AO$9+' Plan Energi 2015'!AO$10&gt;0,' Plan Energi 2015'!AO$14+SUM(' Plan Energi 2015'!AO$17:AO$22)+' Plan Energi 2015'!AO$9+' Plan Energi 2015'!AO$10,1)</f>
        <v>0</v>
      </c>
      <c r="O223" s="650"/>
      <c r="P223" s="650">
        <f>' Plan Energi 2017'!AO9/IF(' Plan Energi 2017'!AO$14+SUM(' Plan Energi 2017'!AO$17:AO$22)+' Plan Energi 2017'!AO$9+' Plan Energi 2017'!AO$10&gt;0,' Plan Energi 2017'!AO$14+SUM(' Plan Energi 2017'!AO$17:AO$22)+' Plan Energi 2017'!AO$9+' Plan Energi 2017'!AO$10,1)</f>
        <v>0</v>
      </c>
      <c r="Q223" s="650"/>
      <c r="R223" s="650">
        <f>' Plan Energi 2019'!AO9/IF(' Plan Energi 2019'!AO$14+SUM(' Plan Energi 2019'!AO$17:AO$22)+' Plan Energi 2019'!AO$9+' Plan Energi 2019'!AO$10&gt;0,' Plan Energi 2019'!AO$14+SUM(' Plan Energi 2019'!AO$17:AO$22)+' Plan Energi 2019'!AO$9+' Plan Energi 2019'!AO$10,1)</f>
        <v>0</v>
      </c>
      <c r="S223" s="650"/>
      <c r="T223" s="726">
        <f>'Fremstilling, Gartneri, Landbru'!R48</f>
        <v>0</v>
      </c>
      <c r="U223" s="650"/>
      <c r="V223" s="726">
        <f>'Fremstilling, Gartneri, Landbru'!T48</f>
        <v>0</v>
      </c>
      <c r="W223" s="650"/>
      <c r="X223" s="604"/>
    </row>
    <row r="224" spans="1:24" x14ac:dyDescent="0.25">
      <c r="A224" s="633" t="s">
        <v>489</v>
      </c>
      <c r="B224" s="650"/>
      <c r="C224" s="650"/>
      <c r="D224" s="650"/>
      <c r="E224" s="650"/>
      <c r="F224" s="650"/>
      <c r="G224" s="650"/>
      <c r="H224" s="650"/>
      <c r="I224" s="650"/>
      <c r="J224" s="650"/>
      <c r="K224" s="650"/>
      <c r="L224" s="650"/>
      <c r="M224" s="650"/>
      <c r="N224" s="650"/>
      <c r="O224" s="650"/>
      <c r="P224" s="650"/>
      <c r="Q224" s="650"/>
      <c r="R224" s="650"/>
      <c r="S224" s="650"/>
      <c r="T224" s="650"/>
      <c r="U224" s="650"/>
      <c r="V224" s="650"/>
      <c r="W224" s="650"/>
      <c r="X224" s="604"/>
    </row>
    <row r="225" spans="1:24" x14ac:dyDescent="0.25">
      <c r="A225" s="604" t="s">
        <v>351</v>
      </c>
      <c r="B225" s="650">
        <f>' Plan Energi 2030-S'!AO$39/IF(' Plan Energi 2030-S'!AO$39+' Plan Energi 2030-S'!AO$43+' Plan Energi 2030-S'!AO$52+' Plan Energi 2030-S'!AO$55+' Plan Energi 2030-S'!AO$62+' Plan Energi 2030-S'!AO$71&gt;0,' Plan Energi 2030-S'!AO$39+' Plan Energi 2030-S'!AO$43+' Plan Energi 2030-S'!AO$52+' Plan Energi 2030-S'!AO$55+' Plan Energi 2030-S'!AO$62+' Plan Energi 2030-S'!AO$71,1)</f>
        <v>0</v>
      </c>
      <c r="C225" s="650"/>
      <c r="D225" s="650">
        <f>' Plan Energi 2006'!AO$39/IF(' Plan Energi 2006'!AO$39+' Plan Energi 2006'!AO$43+' Plan Energi 2006'!AO$52+' Plan Energi 2006'!AO$55+' Plan Energi 2006'!AO$62+' Plan Energi 2006'!AO$71&gt;0,' Plan Energi 2006'!AO$39+' Plan Energi 2006'!AO$43+' Plan Energi 2006'!AO$52+' Plan Energi 2006'!AO$55+' Plan Energi 2006'!AO$62+' Plan Energi 2006'!AO$71,1)</f>
        <v>0</v>
      </c>
      <c r="E225" s="650"/>
      <c r="F225" s="650">
        <f>' Plan Energi 2008'!AO$39/IF(' Plan Energi 2008'!AO$39+' Plan Energi 2008'!AO$43+' Plan Energi 2008'!AO$52+' Plan Energi 2008'!AO$55+' Plan Energi 2008'!AO$62+' Plan Energi 2008'!AO$71&gt;0,' Plan Energi 2008'!AO$39+' Plan Energi 2008'!AO$43+' Plan Energi 2008'!AO$52+' Plan Energi 2008'!AO$55+' Plan Energi 2008'!AO$62+' Plan Energi 2008'!AO$71,1)</f>
        <v>0</v>
      </c>
      <c r="G225" s="650"/>
      <c r="H225" s="650">
        <f>' Plan Energi 2009'!AO$39/IF(' Plan Energi 2009'!AO$39+' Plan Energi 2009'!AO$43+' Plan Energi 2009'!AO$52+' Plan Energi 2009'!AO$55+' Plan Energi 2009'!AO$62+' Plan Energi 2009'!AO$71&gt;0,' Plan Energi 2009'!AO$39+' Plan Energi 2009'!AO$43+' Plan Energi 2009'!AO$52+' Plan Energi 2009'!AO$55+' Plan Energi 2009'!AO$62+' Plan Energi 2009'!AO$71,1)</f>
        <v>0</v>
      </c>
      <c r="I225" s="650"/>
      <c r="J225" s="650">
        <f>' Plan Energi 2011'!AO$39/IF(' Plan Energi 2011'!AO$39+' Plan Energi 2011'!AO$43+' Plan Energi 2011'!AO$52+' Plan Energi 2011'!AO$55+' Plan Energi 2011'!AO$62+' Plan Energi 2011'!AO$71&gt;0,' Plan Energi 2011'!AO$39+' Plan Energi 2011'!AO$43+' Plan Energi 2011'!AO$52+' Plan Energi 2011'!AO$55+' Plan Energi 2011'!AO$62+' Plan Energi 2011'!AO$71,1)</f>
        <v>0</v>
      </c>
      <c r="K225" s="650"/>
      <c r="L225" s="650">
        <f>' Plan Energi 2013'!AO$39/IF(' Plan Energi 2013'!AO$39+' Plan Energi 2013'!AO$43+' Plan Energi 2013'!AO$52+' Plan Energi 2013'!AO$55+' Plan Energi 2013'!AO$62+' Plan Energi 2013'!AO$71&gt;0,' Plan Energi 2013'!AO$39+' Plan Energi 2013'!AO$43+' Plan Energi 2013'!AO$52+' Plan Energi 2013'!AO$55+' Plan Energi 2013'!AO$62+' Plan Energi 2013'!AO$71,1)</f>
        <v>0</v>
      </c>
      <c r="M225" s="650"/>
      <c r="N225" s="650">
        <f>' Plan Energi 2015'!AO$39/IF(' Plan Energi 2015'!AO$39+' Plan Energi 2015'!AO$43+' Plan Energi 2015'!AO$52+' Plan Energi 2015'!AO$55+' Plan Energi 2015'!AO$62+' Plan Energi 2015'!AO$71&gt;0,' Plan Energi 2015'!AO$39+' Plan Energi 2015'!AO$43+' Plan Energi 2015'!AO$52+' Plan Energi 2015'!AO$55+' Plan Energi 2015'!AO$62+' Plan Energi 2015'!AO$71,1)</f>
        <v>0</v>
      </c>
      <c r="O225" s="650"/>
      <c r="P225" s="650">
        <f>' Plan Energi 2017'!AO$39/IF(' Plan Energi 2017'!AO$39+' Plan Energi 2017'!AO$43+' Plan Energi 2017'!AO$52+' Plan Energi 2017'!AO$55+' Plan Energi 2017'!AO$62+' Plan Energi 2017'!AO$71&gt;0,' Plan Energi 2017'!AO$39+' Plan Energi 2017'!AO$43+' Plan Energi 2017'!AO$52+' Plan Energi 2017'!AO$55+' Plan Energi 2017'!AO$62+' Plan Energi 2017'!AO$71,1)</f>
        <v>0</v>
      </c>
      <c r="Q225" s="650"/>
      <c r="R225" s="650">
        <f>' Plan Energi 2019'!AO$39/IF(' Plan Energi 2019'!AO$39+' Plan Energi 2019'!AO$43+' Plan Energi 2019'!AO$52+' Plan Energi 2019'!AO$55+' Plan Energi 2019'!AO$62+' Plan Energi 2019'!AO$71&gt;0,' Plan Energi 2019'!AO$39+' Plan Energi 2019'!AO$43+' Plan Energi 2019'!AO$52+' Plan Energi 2019'!AO$55+' Plan Energi 2019'!AO$62+' Plan Energi 2019'!AO$71,1)</f>
        <v>0</v>
      </c>
      <c r="S225" s="650"/>
      <c r="T225" s="727">
        <f>Fjernvarme!J7</f>
        <v>0</v>
      </c>
      <c r="U225" s="650"/>
      <c r="V225" s="727">
        <f>Fjernvarme!L7</f>
        <v>0</v>
      </c>
      <c r="W225" s="650"/>
      <c r="X225" s="604"/>
    </row>
    <row r="226" spans="1:24" x14ac:dyDescent="0.25">
      <c r="A226" s="604" t="s">
        <v>352</v>
      </c>
      <c r="B226" s="650">
        <f>' Plan Energi 2030-S'!AO$43/IF(' Plan Energi 2030-S'!AO$39+' Plan Energi 2030-S'!AO$43+' Plan Energi 2030-S'!AO$52+' Plan Energi 2030-S'!AO$55+' Plan Energi 2030-S'!AO$62+' Plan Energi 2030-S'!AO$71&gt;0,' Plan Energi 2030-S'!AO$39+' Plan Energi 2030-S'!AO$43+' Plan Energi 2030-S'!AO$52+' Plan Energi 2030-S'!AO$55+' Plan Energi 2030-S'!AO$62+' Plan Energi 2030-S'!AO$71,1)</f>
        <v>0</v>
      </c>
      <c r="C226" s="650"/>
      <c r="D226" s="650">
        <f>' Plan Energi 2006'!AO$43/IF(' Plan Energi 2006'!AO$39+' Plan Energi 2006'!AO$43+' Plan Energi 2006'!AO$52+' Plan Energi 2006'!AO$55+' Plan Energi 2006'!AO$62+' Plan Energi 2006'!AO$71&gt;0,' Plan Energi 2006'!AO$39+' Plan Energi 2006'!AO$43+' Plan Energi 2006'!AO$52+' Plan Energi 2006'!AO$55+' Plan Energi 2006'!AO$62+' Plan Energi 2006'!AO$71,1)</f>
        <v>0</v>
      </c>
      <c r="E226" s="650"/>
      <c r="F226" s="650">
        <f>' Plan Energi 2008'!AO$43/IF(' Plan Energi 2008'!AO$39+' Plan Energi 2008'!AO$43+' Plan Energi 2008'!AO$52+' Plan Energi 2008'!AO$55+' Plan Energi 2008'!AO$62+' Plan Energi 2008'!AO$71&gt;0,' Plan Energi 2008'!AO$39+' Plan Energi 2008'!AO$43+' Plan Energi 2008'!AO$52+' Plan Energi 2008'!AO$55+' Plan Energi 2008'!AO$62+' Plan Energi 2008'!AO$71,1)</f>
        <v>0</v>
      </c>
      <c r="G226" s="650"/>
      <c r="H226" s="650">
        <f>' Plan Energi 2009'!AO$43/IF(' Plan Energi 2009'!AO$39+' Plan Energi 2009'!AO$43+' Plan Energi 2009'!AO$52+' Plan Energi 2009'!AO$55+' Plan Energi 2009'!AO$62+' Plan Energi 2009'!AO$71&gt;0,' Plan Energi 2009'!AO$39+' Plan Energi 2009'!AO$43+' Plan Energi 2009'!AO$52+' Plan Energi 2009'!AO$55+' Plan Energi 2009'!AO$62+' Plan Energi 2009'!AO$71,1)</f>
        <v>0</v>
      </c>
      <c r="I226" s="650"/>
      <c r="J226" s="650">
        <f>' Plan Energi 2011'!AO$43/IF(' Plan Energi 2011'!AO$39+' Plan Energi 2011'!AO$43+' Plan Energi 2011'!AO$52+' Plan Energi 2011'!AO$55+' Plan Energi 2011'!AO$62+' Plan Energi 2011'!AO$71&gt;0,' Plan Energi 2011'!AO$39+' Plan Energi 2011'!AO$43+' Plan Energi 2011'!AO$52+' Plan Energi 2011'!AO$55+' Plan Energi 2011'!AO$62+' Plan Energi 2011'!AO$71,1)</f>
        <v>0</v>
      </c>
      <c r="K226" s="650"/>
      <c r="L226" s="650">
        <f>' Plan Energi 2013'!AO$43/IF(' Plan Energi 2013'!AO$39+' Plan Energi 2013'!AO$43+' Plan Energi 2013'!AO$52+' Plan Energi 2013'!AO$55+' Plan Energi 2013'!AO$62+' Plan Energi 2013'!AO$71&gt;0,' Plan Energi 2013'!AO$39+' Plan Energi 2013'!AO$43+' Plan Energi 2013'!AO$52+' Plan Energi 2013'!AO$55+' Plan Energi 2013'!AO$62+' Plan Energi 2013'!AO$71,1)</f>
        <v>0</v>
      </c>
      <c r="M226" s="650"/>
      <c r="N226" s="650">
        <f>' Plan Energi 2015'!AO$43/IF(' Plan Energi 2015'!AO$39+' Plan Energi 2015'!AO$43+' Plan Energi 2015'!AO$52+' Plan Energi 2015'!AO$55+' Plan Energi 2015'!AO$62+' Plan Energi 2015'!AO$71&gt;0,' Plan Energi 2015'!AO$39+' Plan Energi 2015'!AO$43+' Plan Energi 2015'!AO$52+' Plan Energi 2015'!AO$55+' Plan Energi 2015'!AO$62+' Plan Energi 2015'!AO$71,1)</f>
        <v>0</v>
      </c>
      <c r="O226" s="650"/>
      <c r="P226" s="650">
        <f>' Plan Energi 2017'!AO$43/IF(' Plan Energi 2017'!AO$39+' Plan Energi 2017'!AO$43+' Plan Energi 2017'!AO$52+' Plan Energi 2017'!AO$55+' Plan Energi 2017'!AO$62+' Plan Energi 2017'!AO$71&gt;0,' Plan Energi 2017'!AO$39+' Plan Energi 2017'!AO$43+' Plan Energi 2017'!AO$52+' Plan Energi 2017'!AO$55+' Plan Energi 2017'!AO$62+' Plan Energi 2017'!AO$71,1)</f>
        <v>0</v>
      </c>
      <c r="Q226" s="650"/>
      <c r="R226" s="650">
        <f>' Plan Energi 2019'!AO$43/IF(' Plan Energi 2019'!AO$39+' Plan Energi 2019'!AO$43+' Plan Energi 2019'!AO$52+' Plan Energi 2019'!AO$55+' Plan Energi 2019'!AO$62+' Plan Energi 2019'!AO$71&gt;0,' Plan Energi 2019'!AO$39+' Plan Energi 2019'!AO$43+' Plan Energi 2019'!AO$52+' Plan Energi 2019'!AO$55+' Plan Energi 2019'!AO$62+' Plan Energi 2019'!AO$71,1)</f>
        <v>0</v>
      </c>
      <c r="S226" s="650"/>
      <c r="T226" s="727">
        <f>Fjernvarme!J8</f>
        <v>0</v>
      </c>
      <c r="U226" s="650"/>
      <c r="V226" s="727">
        <f>Fjernvarme!L8</f>
        <v>0</v>
      </c>
      <c r="W226" s="650"/>
      <c r="X226" s="604"/>
    </row>
    <row r="227" spans="1:24" x14ac:dyDescent="0.25">
      <c r="A227" s="604" t="s">
        <v>353</v>
      </c>
      <c r="B227" s="650">
        <f>' Plan Energi 2030-S'!AO$52/IF(' Plan Energi 2030-S'!AO$39+' Plan Energi 2030-S'!AO$43+' Plan Energi 2030-S'!AO$52+' Plan Energi 2030-S'!AO$55+' Plan Energi 2030-S'!AO$62+' Plan Energi 2030-S'!AO$71&gt;0,' Plan Energi 2030-S'!AO$39+' Plan Energi 2030-S'!AO$43+' Plan Energi 2030-S'!AO$52+' Plan Energi 2030-S'!AO$55+' Plan Energi 2030-S'!AO$62+' Plan Energi 2030-S'!AO$71,1)</f>
        <v>0</v>
      </c>
      <c r="C227" s="650"/>
      <c r="D227" s="650">
        <f>' Plan Energi 2006'!AO$52/IF(' Plan Energi 2006'!AO$39+' Plan Energi 2006'!AO$43+' Plan Energi 2006'!AO$52+' Plan Energi 2006'!AO$55+' Plan Energi 2006'!AO$62+' Plan Energi 2006'!AO$71&gt;0,' Plan Energi 2006'!AO$39+' Plan Energi 2006'!AO$43+' Plan Energi 2006'!AO$52+' Plan Energi 2006'!AO$55+' Plan Energi 2006'!AO$62+' Plan Energi 2006'!AO$71,1)</f>
        <v>0</v>
      </c>
      <c r="E227" s="650"/>
      <c r="F227" s="650">
        <f>' Plan Energi 2008'!AO$52/IF(' Plan Energi 2008'!AO$39+' Plan Energi 2008'!AO$43+' Plan Energi 2008'!AO$52+' Plan Energi 2008'!AO$55+' Plan Energi 2008'!AO$62+' Plan Energi 2008'!AO$71&gt;0,' Plan Energi 2008'!AO$39+' Plan Energi 2008'!AO$43+' Plan Energi 2008'!AO$52+' Plan Energi 2008'!AO$55+' Plan Energi 2008'!AO$62+' Plan Energi 2008'!AO$71,1)</f>
        <v>0</v>
      </c>
      <c r="G227" s="650"/>
      <c r="H227" s="650">
        <f>' Plan Energi 2009'!AO$52/IF(' Plan Energi 2009'!AO$39+' Plan Energi 2009'!AO$43+' Plan Energi 2009'!AO$52+' Plan Energi 2009'!AO$55+' Plan Energi 2009'!AO$62+' Plan Energi 2009'!AO$71&gt;0,' Plan Energi 2009'!AO$39+' Plan Energi 2009'!AO$43+' Plan Energi 2009'!AO$52+' Plan Energi 2009'!AO$55+' Plan Energi 2009'!AO$62+' Plan Energi 2009'!AO$71,1)</f>
        <v>0</v>
      </c>
      <c r="I227" s="650"/>
      <c r="J227" s="650">
        <f>' Plan Energi 2011'!AO$52/IF(' Plan Energi 2011'!AO$39+' Plan Energi 2011'!AO$43+' Plan Energi 2011'!AO$52+' Plan Energi 2011'!AO$55+' Plan Energi 2011'!AO$62+' Plan Energi 2011'!AO$71&gt;0,' Plan Energi 2011'!AO$39+' Plan Energi 2011'!AO$43+' Plan Energi 2011'!AO$52+' Plan Energi 2011'!AO$55+' Plan Energi 2011'!AO$62+' Plan Energi 2011'!AO$71,1)</f>
        <v>0</v>
      </c>
      <c r="K227" s="650"/>
      <c r="L227" s="650">
        <f>' Plan Energi 2013'!AO$52/IF(' Plan Energi 2013'!AO$39+' Plan Energi 2013'!AO$43+' Plan Energi 2013'!AO$52+' Plan Energi 2013'!AO$55+' Plan Energi 2013'!AO$62+' Plan Energi 2013'!AO$71&gt;0,' Plan Energi 2013'!AO$39+' Plan Energi 2013'!AO$43+' Plan Energi 2013'!AO$52+' Plan Energi 2013'!AO$55+' Plan Energi 2013'!AO$62+' Plan Energi 2013'!AO$71,1)</f>
        <v>0</v>
      </c>
      <c r="M227" s="650"/>
      <c r="N227" s="650">
        <f>' Plan Energi 2015'!AO$52/IF(' Plan Energi 2015'!AO$39+' Plan Energi 2015'!AO$43+' Plan Energi 2015'!AO$52+' Plan Energi 2015'!AO$55+' Plan Energi 2015'!AO$62+' Plan Energi 2015'!AO$71&gt;0,' Plan Energi 2015'!AO$39+' Plan Energi 2015'!AO$43+' Plan Energi 2015'!AO$52+' Plan Energi 2015'!AO$55+' Plan Energi 2015'!AO$62+' Plan Energi 2015'!AO$71,1)</f>
        <v>0</v>
      </c>
      <c r="O227" s="650"/>
      <c r="P227" s="650">
        <f>' Plan Energi 2017'!AO$52/IF(' Plan Energi 2017'!AO$39+' Plan Energi 2017'!AO$43+' Plan Energi 2017'!AO$52+' Plan Energi 2017'!AO$55+' Plan Energi 2017'!AO$62+' Plan Energi 2017'!AO$71&gt;0,' Plan Energi 2017'!AO$39+' Plan Energi 2017'!AO$43+' Plan Energi 2017'!AO$52+' Plan Energi 2017'!AO$55+' Plan Energi 2017'!AO$62+' Plan Energi 2017'!AO$71,1)</f>
        <v>0</v>
      </c>
      <c r="Q227" s="650"/>
      <c r="R227" s="650">
        <f>' Plan Energi 2019'!AO$52/IF(' Plan Energi 2019'!AO$39+' Plan Energi 2019'!AO$43+' Plan Energi 2019'!AO$52+' Plan Energi 2019'!AO$55+' Plan Energi 2019'!AO$62+' Plan Energi 2019'!AO$71&gt;0,' Plan Energi 2019'!AO$39+' Plan Energi 2019'!AO$43+' Plan Energi 2019'!AO$52+' Plan Energi 2019'!AO$55+' Plan Energi 2019'!AO$62+' Plan Energi 2019'!AO$71,1)</f>
        <v>0</v>
      </c>
      <c r="S227" s="650"/>
      <c r="T227" s="727">
        <f>Fjernvarme!J9</f>
        <v>0</v>
      </c>
      <c r="U227" s="650"/>
      <c r="V227" s="727">
        <f>Fjernvarme!L9</f>
        <v>0</v>
      </c>
      <c r="W227" s="650"/>
      <c r="X227" s="604"/>
    </row>
    <row r="228" spans="1:24" x14ac:dyDescent="0.25">
      <c r="A228" s="604" t="s">
        <v>354</v>
      </c>
      <c r="B228" s="650">
        <f>' Plan Energi 2030-S'!AO$55/IF(' Plan Energi 2030-S'!AO$39+' Plan Energi 2030-S'!AO$43+' Plan Energi 2030-S'!AO$52+' Plan Energi 2030-S'!AO$55+' Plan Energi 2030-S'!AO$62+' Plan Energi 2030-S'!AO$71&gt;0,' Plan Energi 2030-S'!AO$39+' Plan Energi 2030-S'!AO$43+' Plan Energi 2030-S'!AO$52+' Plan Energi 2030-S'!AO$55+' Plan Energi 2030-S'!AO$62+' Plan Energi 2030-S'!AO$71,1)</f>
        <v>0</v>
      </c>
      <c r="C228" s="650"/>
      <c r="D228" s="650">
        <f>' Plan Energi 2006'!AO$55/IF(' Plan Energi 2006'!AO$39+' Plan Energi 2006'!AO$43+' Plan Energi 2006'!AO$52+' Plan Energi 2006'!AO$55+' Plan Energi 2006'!AO$62+' Plan Energi 2006'!AO$71&gt;0,' Plan Energi 2006'!AO$39+' Plan Energi 2006'!AO$43+' Plan Energi 2006'!AO$52+' Plan Energi 2006'!AO$55+' Plan Energi 2006'!AO$62+' Plan Energi 2006'!AO$71,1)</f>
        <v>0</v>
      </c>
      <c r="E228" s="650"/>
      <c r="F228" s="650">
        <f>' Plan Energi 2008'!AO$55/IF(' Plan Energi 2008'!AO$39+' Plan Energi 2008'!AO$43+' Plan Energi 2008'!AO$52+' Plan Energi 2008'!AO$55+' Plan Energi 2008'!AO$62+' Plan Energi 2008'!AO$71&gt;0,' Plan Energi 2008'!AO$39+' Plan Energi 2008'!AO$43+' Plan Energi 2008'!AO$52+' Plan Energi 2008'!AO$55+' Plan Energi 2008'!AO$62+' Plan Energi 2008'!AO$71,1)</f>
        <v>0</v>
      </c>
      <c r="G228" s="650"/>
      <c r="H228" s="650">
        <f>' Plan Energi 2009'!AO$55/IF(' Plan Energi 2009'!AO$39+' Plan Energi 2009'!AO$43+' Plan Energi 2009'!AO$52+' Plan Energi 2009'!AO$55+' Plan Energi 2009'!AO$62+' Plan Energi 2009'!AO$71&gt;0,' Plan Energi 2009'!AO$39+' Plan Energi 2009'!AO$43+' Plan Energi 2009'!AO$52+' Plan Energi 2009'!AO$55+' Plan Energi 2009'!AO$62+' Plan Energi 2009'!AO$71,1)</f>
        <v>0</v>
      </c>
      <c r="I228" s="650"/>
      <c r="J228" s="650">
        <f>' Plan Energi 2011'!AO$55/IF(' Plan Energi 2011'!AO$39+' Plan Energi 2011'!AO$43+' Plan Energi 2011'!AO$52+' Plan Energi 2011'!AO$55+' Plan Energi 2011'!AO$62+' Plan Energi 2011'!AO$71&gt;0,' Plan Energi 2011'!AO$39+' Plan Energi 2011'!AO$43+' Plan Energi 2011'!AO$52+' Plan Energi 2011'!AO$55+' Plan Energi 2011'!AO$62+' Plan Energi 2011'!AO$71,1)</f>
        <v>0</v>
      </c>
      <c r="K228" s="650"/>
      <c r="L228" s="650">
        <f>' Plan Energi 2013'!AO$55/IF(' Plan Energi 2013'!AO$39+' Plan Energi 2013'!AO$43+' Plan Energi 2013'!AO$52+' Plan Energi 2013'!AO$55+' Plan Energi 2013'!AO$62+' Plan Energi 2013'!AO$71&gt;0,' Plan Energi 2013'!AO$39+' Plan Energi 2013'!AO$43+' Plan Energi 2013'!AO$52+' Plan Energi 2013'!AO$55+' Plan Energi 2013'!AO$62+' Plan Energi 2013'!AO$71,1)</f>
        <v>0</v>
      </c>
      <c r="M228" s="650"/>
      <c r="N228" s="650">
        <f>' Plan Energi 2015'!AO$55/IF(' Plan Energi 2015'!AO$39+' Plan Energi 2015'!AO$43+' Plan Energi 2015'!AO$52+' Plan Energi 2015'!AO$55+' Plan Energi 2015'!AO$62+' Plan Energi 2015'!AO$71&gt;0,' Plan Energi 2015'!AO$39+' Plan Energi 2015'!AO$43+' Plan Energi 2015'!AO$52+' Plan Energi 2015'!AO$55+' Plan Energi 2015'!AO$62+' Plan Energi 2015'!AO$71,1)</f>
        <v>0</v>
      </c>
      <c r="O228" s="650"/>
      <c r="P228" s="650">
        <f>' Plan Energi 2017'!AO$55/IF(' Plan Energi 2017'!AO$39+' Plan Energi 2017'!AO$43+' Plan Energi 2017'!AO$52+' Plan Energi 2017'!AO$55+' Plan Energi 2017'!AO$62+' Plan Energi 2017'!AO$71&gt;0,' Plan Energi 2017'!AO$39+' Plan Energi 2017'!AO$43+' Plan Energi 2017'!AO$52+' Plan Energi 2017'!AO$55+' Plan Energi 2017'!AO$62+' Plan Energi 2017'!AO$71,1)</f>
        <v>0</v>
      </c>
      <c r="Q228" s="650"/>
      <c r="R228" s="650">
        <f>' Plan Energi 2019'!AO$55/IF(' Plan Energi 2019'!AO$39+' Plan Energi 2019'!AO$43+' Plan Energi 2019'!AO$52+' Plan Energi 2019'!AO$55+' Plan Energi 2019'!AO$62+' Plan Energi 2019'!AO$71&gt;0,' Plan Energi 2019'!AO$39+' Plan Energi 2019'!AO$43+' Plan Energi 2019'!AO$52+' Plan Energi 2019'!AO$55+' Plan Energi 2019'!AO$62+' Plan Energi 2019'!AO$71,1)</f>
        <v>0</v>
      </c>
      <c r="S228" s="650"/>
      <c r="T228" s="727">
        <f>Fjernvarme!J10</f>
        <v>0</v>
      </c>
      <c r="U228" s="650"/>
      <c r="V228" s="727">
        <f>Fjernvarme!L10</f>
        <v>0</v>
      </c>
      <c r="W228" s="650"/>
      <c r="X228" s="604"/>
    </row>
    <row r="229" spans="1:24" x14ac:dyDescent="0.25">
      <c r="A229" s="604" t="s">
        <v>199</v>
      </c>
      <c r="B229" s="650">
        <f>' Plan Energi 2030-S'!AO$62/IF(' Plan Energi 2030-S'!AO$39+' Plan Energi 2030-S'!AO$43+' Plan Energi 2030-S'!AO$52+' Plan Energi 2030-S'!AO$55+' Plan Energi 2030-S'!AO$62+' Plan Energi 2030-S'!AO$71&gt;0,' Plan Energi 2030-S'!AO$39+' Plan Energi 2030-S'!AO$43+' Plan Energi 2030-S'!AO$52+' Plan Energi 2030-S'!AO$55+' Plan Energi 2030-S'!AO$62+' Plan Energi 2030-S'!AO$71,1)</f>
        <v>0.81422293248102273</v>
      </c>
      <c r="C229" s="650"/>
      <c r="D229" s="650">
        <f>' Plan Energi 2006'!AO$62/IF(' Plan Energi 2006'!AO$39+' Plan Energi 2006'!AO$43+' Plan Energi 2006'!AO$52+' Plan Energi 2006'!AO$55+' Plan Energi 2006'!AO$62+' Plan Energi 2006'!AO$71&gt;0,' Plan Energi 2006'!AO$39+' Plan Energi 2006'!AO$43+' Plan Energi 2006'!AO$52+' Plan Energi 2006'!AO$55+' Plan Energi 2006'!AO$62+' Plan Energi 2006'!AO$71,1)</f>
        <v>0.80201498808706606</v>
      </c>
      <c r="E229" s="650"/>
      <c r="F229" s="650">
        <f>' Plan Energi 2008'!AO$62/IF(' Plan Energi 2008'!AO$39+' Plan Energi 2008'!AO$43+' Plan Energi 2008'!AO$52+' Plan Energi 2008'!AO$55+' Plan Energi 2008'!AO$62+' Plan Energi 2008'!AO$71&gt;0,' Plan Energi 2008'!AO$39+' Plan Energi 2008'!AO$43+' Plan Energi 2008'!AO$52+' Plan Energi 2008'!AO$55+' Plan Energi 2008'!AO$62+' Plan Energi 2008'!AO$71,1)</f>
        <v>0.82968314293276568</v>
      </c>
      <c r="G229" s="650"/>
      <c r="H229" s="650">
        <f>' Plan Energi 2009'!AO$62/IF(' Plan Energi 2009'!AO$39+' Plan Energi 2009'!AO$43+' Plan Energi 2009'!AO$52+' Plan Energi 2009'!AO$55+' Plan Energi 2009'!AO$62+' Plan Energi 2009'!AO$71&gt;0,' Plan Energi 2009'!AO$39+' Plan Energi 2009'!AO$43+' Plan Energi 2009'!AO$52+' Plan Energi 2009'!AO$55+' Plan Energi 2009'!AO$62+' Plan Energi 2009'!AO$71,1)</f>
        <v>0.84029857568292787</v>
      </c>
      <c r="I229" s="650"/>
      <c r="J229" s="650">
        <f>' Plan Energi 2011'!AO$62/IF(' Plan Energi 2011'!AO$39+' Plan Energi 2011'!AO$43+' Plan Energi 2011'!AO$52+' Plan Energi 2011'!AO$55+' Plan Energi 2011'!AO$62+' Plan Energi 2011'!AO$71&gt;0,' Plan Energi 2011'!AO$39+' Plan Energi 2011'!AO$43+' Plan Energi 2011'!AO$52+' Plan Energi 2011'!AO$55+' Plan Energi 2011'!AO$62+' Plan Energi 2011'!AO$71,1)</f>
        <v>0.84428002689279003</v>
      </c>
      <c r="K229" s="650"/>
      <c r="L229" s="650">
        <f>' Plan Energi 2013'!AO$62/IF(' Plan Energi 2013'!AO$39+' Plan Energi 2013'!AO$43+' Plan Energi 2013'!AO$52+' Plan Energi 2013'!AO$55+' Plan Energi 2013'!AO$62+' Plan Energi 2013'!AO$71&gt;0,' Plan Energi 2013'!AO$39+' Plan Energi 2013'!AO$43+' Plan Energi 2013'!AO$52+' Plan Energi 2013'!AO$55+' Plan Energi 2013'!AO$62+' Plan Energi 2013'!AO$71,1)</f>
        <v>0.84952884213808333</v>
      </c>
      <c r="M229" s="650"/>
      <c r="N229" s="650">
        <f>' Plan Energi 2015'!AO$62/IF(' Plan Energi 2015'!AO$39+' Plan Energi 2015'!AO$43+' Plan Energi 2015'!AO$52+' Plan Energi 2015'!AO$55+' Plan Energi 2015'!AO$62+' Plan Energi 2015'!AO$71&gt;0,' Plan Energi 2015'!AO$39+' Plan Energi 2015'!AO$43+' Plan Energi 2015'!AO$52+' Plan Energi 2015'!AO$55+' Plan Energi 2015'!AO$62+' Plan Energi 2015'!AO$71,1)</f>
        <v>0.80918601530058076</v>
      </c>
      <c r="O229" s="650"/>
      <c r="P229" s="650">
        <f>' Plan Energi 2017'!AO$62/IF(' Plan Energi 2017'!AO$39+' Plan Energi 2017'!AO$43+' Plan Energi 2017'!AO$52+' Plan Energi 2017'!AO$55+' Plan Energi 2017'!AO$62+' Plan Energi 2017'!AO$71&gt;0,' Plan Energi 2017'!AO$39+' Plan Energi 2017'!AO$43+' Plan Energi 2017'!AO$52+' Plan Energi 2017'!AO$55+' Plan Energi 2017'!AO$62+' Plan Energi 2017'!AO$71,1)</f>
        <v>0.81418118308542342</v>
      </c>
      <c r="Q229" s="650"/>
      <c r="R229" s="650">
        <f>' Plan Energi 2019'!AO$62/IF(' Plan Energi 2019'!AO$39+' Plan Energi 2019'!AO$43+' Plan Energi 2019'!AO$52+' Plan Energi 2019'!AO$55+' Plan Energi 2019'!AO$62+' Plan Energi 2019'!AO$71&gt;0,' Plan Energi 2019'!AO$39+' Plan Energi 2019'!AO$43+' Plan Energi 2019'!AO$52+' Plan Energi 2019'!AO$55+' Plan Energi 2019'!AO$62+' Plan Energi 2019'!AO$71,1)</f>
        <v>0.81418118308542342</v>
      </c>
      <c r="S229" s="650"/>
      <c r="T229" s="727">
        <f>Fjernvarme!J11</f>
        <v>0.81422293248102273</v>
      </c>
      <c r="U229" s="650"/>
      <c r="V229" s="727">
        <f>Fjernvarme!L11</f>
        <v>0.81422293248102273</v>
      </c>
      <c r="W229" s="650"/>
      <c r="X229" s="604"/>
    </row>
    <row r="230" spans="1:24" x14ac:dyDescent="0.25">
      <c r="A230" s="604" t="s">
        <v>493</v>
      </c>
      <c r="B230" s="650">
        <f>' Plan Energi 2030-S'!AO$71/IF(' Plan Energi 2030-S'!AO$39+' Plan Energi 2030-S'!AO$43+' Plan Energi 2030-S'!AO$52+' Plan Energi 2030-S'!AO$55+' Plan Energi 2030-S'!AO$62+' Plan Energi 2030-S'!AO$71&gt;0,' Plan Energi 2030-S'!AO$39+' Plan Energi 2030-S'!AO$43+' Plan Energi 2030-S'!AO$52+' Plan Energi 2030-S'!AO$55+' Plan Energi 2030-S'!AO$62+' Plan Energi 2030-S'!AO$71,1)</f>
        <v>0.18577706751897727</v>
      </c>
      <c r="C230" s="650"/>
      <c r="D230" s="650">
        <f>' Plan Energi 2006'!AO$71/IF(' Plan Energi 2006'!AO$39+' Plan Energi 2006'!AO$43+' Plan Energi 2006'!AO$52+' Plan Energi 2006'!AO$55+' Plan Energi 2006'!AO$62+' Plan Energi 2006'!AO$71&gt;0,' Plan Energi 2006'!AO$39+' Plan Energi 2006'!AO$43+' Plan Energi 2006'!AO$52+' Plan Energi 2006'!AO$55+' Plan Energi 2006'!AO$62+' Plan Energi 2006'!AO$71,1)</f>
        <v>0.19798501191293399</v>
      </c>
      <c r="E230" s="650"/>
      <c r="F230" s="650">
        <f>' Plan Energi 2008'!AO$71/IF(' Plan Energi 2008'!AO$39+' Plan Energi 2008'!AO$43+' Plan Energi 2008'!AO$52+' Plan Energi 2008'!AO$55+' Plan Energi 2008'!AO$62+' Plan Energi 2008'!AO$71&gt;0,' Plan Energi 2008'!AO$39+' Plan Energi 2008'!AO$43+' Plan Energi 2008'!AO$52+' Plan Energi 2008'!AO$55+' Plan Energi 2008'!AO$62+' Plan Energi 2008'!AO$71,1)</f>
        <v>0.17031685706723423</v>
      </c>
      <c r="G230" s="650"/>
      <c r="H230" s="650">
        <f>' Plan Energi 2009'!AO$71/IF(' Plan Energi 2009'!AO$39+' Plan Energi 2009'!AO$43+' Plan Energi 2009'!AO$52+' Plan Energi 2009'!AO$55+' Plan Energi 2009'!AO$62+' Plan Energi 2009'!AO$71&gt;0,' Plan Energi 2009'!AO$39+' Plan Energi 2009'!AO$43+' Plan Energi 2009'!AO$52+' Plan Energi 2009'!AO$55+' Plan Energi 2009'!AO$62+' Plan Energi 2009'!AO$71,1)</f>
        <v>0.1597014243170721</v>
      </c>
      <c r="I230" s="650"/>
      <c r="J230" s="650">
        <f>' Plan Energi 2011'!AO$71/IF(' Plan Energi 2011'!AO$39+' Plan Energi 2011'!AO$43+' Plan Energi 2011'!AO$52+' Plan Energi 2011'!AO$55+' Plan Energi 2011'!AO$62+' Plan Energi 2011'!AO$71&gt;0,' Plan Energi 2011'!AO$39+' Plan Energi 2011'!AO$43+' Plan Energi 2011'!AO$52+' Plan Energi 2011'!AO$55+' Plan Energi 2011'!AO$62+' Plan Energi 2011'!AO$71,1)</f>
        <v>0.15571997310721003</v>
      </c>
      <c r="K230" s="650"/>
      <c r="L230" s="650">
        <f>' Plan Energi 2013'!AO$71/IF(' Plan Energi 2013'!AO$39+' Plan Energi 2013'!AO$43+' Plan Energi 2013'!AO$52+' Plan Energi 2013'!AO$55+' Plan Energi 2013'!AO$62+' Plan Energi 2013'!AO$71&gt;0,' Plan Energi 2013'!AO$39+' Plan Energi 2013'!AO$43+' Plan Energi 2013'!AO$52+' Plan Energi 2013'!AO$55+' Plan Energi 2013'!AO$62+' Plan Energi 2013'!AO$71,1)</f>
        <v>0.15047115786191656</v>
      </c>
      <c r="M230" s="650"/>
      <c r="N230" s="650">
        <f>' Plan Energi 2015'!AO$71/IF(' Plan Energi 2015'!AO$39+' Plan Energi 2015'!AO$43+' Plan Energi 2015'!AO$52+' Plan Energi 2015'!AO$55+' Plan Energi 2015'!AO$62+' Plan Energi 2015'!AO$71&gt;0,' Plan Energi 2015'!AO$39+' Plan Energi 2015'!AO$43+' Plan Energi 2015'!AO$52+' Plan Energi 2015'!AO$55+' Plan Energi 2015'!AO$62+' Plan Energi 2015'!AO$71,1)</f>
        <v>0.19081398469941935</v>
      </c>
      <c r="O230" s="650"/>
      <c r="P230" s="650">
        <f>' Plan Energi 2017'!AO$71/IF(' Plan Energi 2017'!AO$39+' Plan Energi 2017'!AO$43+' Plan Energi 2017'!AO$52+' Plan Energi 2017'!AO$55+' Plan Energi 2017'!AO$62+' Plan Energi 2017'!AO$71&gt;0,' Plan Energi 2017'!AO$39+' Plan Energi 2017'!AO$43+' Plan Energi 2017'!AO$52+' Plan Energi 2017'!AO$55+' Plan Energi 2017'!AO$62+' Plan Energi 2017'!AO$71,1)</f>
        <v>0.18581881691457661</v>
      </c>
      <c r="Q230" s="650"/>
      <c r="R230" s="650">
        <f>' Plan Energi 2019'!AO$71/IF(' Plan Energi 2019'!AO$39+' Plan Energi 2019'!AO$43+' Plan Energi 2019'!AO$52+' Plan Energi 2019'!AO$55+' Plan Energi 2019'!AO$62+' Plan Energi 2019'!AO$71&gt;0,' Plan Energi 2019'!AO$39+' Plan Energi 2019'!AO$43+' Plan Energi 2019'!AO$52+' Plan Energi 2019'!AO$55+' Plan Energi 2019'!AO$62+' Plan Energi 2019'!AO$71,1)</f>
        <v>0.18581881691457661</v>
      </c>
      <c r="S230" s="650"/>
      <c r="T230" s="727">
        <f>Fjernvarme!J12</f>
        <v>0.18577706751897727</v>
      </c>
      <c r="U230" s="650"/>
      <c r="V230" s="727">
        <f>Fjernvarme!L12</f>
        <v>0.18577706751897727</v>
      </c>
      <c r="W230" s="650"/>
      <c r="X230" s="604"/>
    </row>
    <row r="231" spans="1:24" x14ac:dyDescent="0.25">
      <c r="A231" s="629" t="s">
        <v>272</v>
      </c>
      <c r="B231" s="649">
        <f>B232+B236+B237+B240</f>
        <v>19.220299999999998</v>
      </c>
      <c r="C231" s="650"/>
      <c r="D231" s="649">
        <f>D232+D236+D237+D240</f>
        <v>25.6070331588</v>
      </c>
      <c r="E231" s="650"/>
      <c r="F231" s="649">
        <f>F232+F236+F237+F240</f>
        <v>27.855903220799998</v>
      </c>
      <c r="G231" s="650">
        <f t="shared" ref="G231:Q240" si="57">(F231-D231)/IF(D231&gt;0,D231,1)/(F$1-D$1)</f>
        <v>4.3911179558635466E-2</v>
      </c>
      <c r="H231" s="649">
        <f>H232+H236+H237+H240</f>
        <v>28.445016757199998</v>
      </c>
      <c r="I231" s="650">
        <f t="shared" si="57"/>
        <v>2.1148606517275244E-2</v>
      </c>
      <c r="J231" s="649">
        <f>J232+J236+J237+J240</f>
        <v>38.595408886975207</v>
      </c>
      <c r="K231" s="650">
        <f t="shared" si="57"/>
        <v>0.17842127175414554</v>
      </c>
      <c r="L231" s="649">
        <f>L232+L236+L237+L240</f>
        <v>38.641465156437789</v>
      </c>
      <c r="M231" s="650">
        <f t="shared" si="57"/>
        <v>5.9665476789552468E-4</v>
      </c>
      <c r="N231" s="649">
        <f>N232+N236+N237+N240</f>
        <v>27.013000000000002</v>
      </c>
      <c r="O231" s="650">
        <f t="shared" si="57"/>
        <v>-0.15046615221965062</v>
      </c>
      <c r="P231" s="649">
        <f>P232+P236+P237+P240</f>
        <v>19.220299999999998</v>
      </c>
      <c r="Q231" s="650">
        <f t="shared" si="57"/>
        <v>-0.14423981046162965</v>
      </c>
      <c r="R231" s="649">
        <f>R232+R236+R237+R240</f>
        <v>19.220299999999998</v>
      </c>
      <c r="S231" s="650">
        <f t="shared" ref="S231:S240" si="58">(R231-P231)/IF(P231&gt;0,P231,1)/IF(R$1-P$1&gt;0,R$1-P$1,1)</f>
        <v>0</v>
      </c>
      <c r="T231" s="649">
        <f>T232+T236+T237+T240</f>
        <v>19.220299999999998</v>
      </c>
      <c r="U231" s="650">
        <f>(T231-Nøgletal!P231)/IF(Nøgletal!P231&gt;0,Nøgletal!P231,1)/(T$1-Nøgletal!P$1)</f>
        <v>0</v>
      </c>
      <c r="V231" s="649">
        <f>V232+V236+V237+V240</f>
        <v>19.390452032339883</v>
      </c>
      <c r="W231" s="650">
        <f>(V231-Nøgletal!P231)/IF(T231&gt;0,T231,1)/(V$1-Nøgletal!P$1)</f>
        <v>6.8097885424779376E-4</v>
      </c>
      <c r="X231" s="604"/>
    </row>
    <row r="232" spans="1:24" x14ac:dyDescent="0.25">
      <c r="A232" s="631" t="s">
        <v>485</v>
      </c>
      <c r="B232" s="649">
        <f>SUM(B233:B235)</f>
        <v>7.6999999999999993</v>
      </c>
      <c r="C232" s="650"/>
      <c r="D232" s="649">
        <f>SUM(D233:D235)</f>
        <v>15.542033158799999</v>
      </c>
      <c r="E232" s="650"/>
      <c r="F232" s="649">
        <f>SUM(F233:F235)</f>
        <v>15.843903220799998</v>
      </c>
      <c r="G232" s="650">
        <f t="shared" si="57"/>
        <v>9.7114083761003379E-3</v>
      </c>
      <c r="H232" s="649">
        <f>SUM(H233:H235)</f>
        <v>16.433016757200001</v>
      </c>
      <c r="I232" s="650">
        <f t="shared" si="57"/>
        <v>3.718234883097557E-2</v>
      </c>
      <c r="J232" s="649">
        <f>SUM(J233:J235)</f>
        <v>26.68240888697521</v>
      </c>
      <c r="K232" s="650">
        <f t="shared" si="57"/>
        <v>0.31185363835537128</v>
      </c>
      <c r="L232" s="649">
        <f>SUM(L233:L235)</f>
        <v>26.232970273847993</v>
      </c>
      <c r="M232" s="650">
        <f t="shared" si="57"/>
        <v>-8.4220022081028609E-3</v>
      </c>
      <c r="N232" s="649">
        <f>SUM(N233:N235)</f>
        <v>15.100000000000001</v>
      </c>
      <c r="O232" s="650">
        <f t="shared" si="57"/>
        <v>-0.21219423796905304</v>
      </c>
      <c r="P232" s="649">
        <f>SUM(P233:P235)</f>
        <v>7.6999999999999993</v>
      </c>
      <c r="Q232" s="650">
        <f t="shared" si="57"/>
        <v>-0.24503311258278151</v>
      </c>
      <c r="R232" s="649">
        <f>SUM(R233:R235)</f>
        <v>7.6999999999999993</v>
      </c>
      <c r="S232" s="650">
        <f t="shared" si="58"/>
        <v>0</v>
      </c>
      <c r="T232" s="649">
        <f>'Fremstilling, Gartneri, Landbru'!R50</f>
        <v>7.6999999999999993</v>
      </c>
      <c r="U232" s="724">
        <f>'Fremstilling, Gartneri, Landbru'!S50</f>
        <v>0</v>
      </c>
      <c r="V232" s="649">
        <f>'Fremstilling, Gartneri, Landbru'!T50</f>
        <v>7.6281717904223516</v>
      </c>
      <c r="W232" s="725">
        <f>'Fremstilling, Gartneri, Landbru'!U50</f>
        <v>-7.2067252490326528E-4</v>
      </c>
      <c r="X232" s="604"/>
    </row>
    <row r="233" spans="1:24" ht="15" customHeight="1" x14ac:dyDescent="0.25">
      <c r="A233" s="604" t="s">
        <v>305</v>
      </c>
      <c r="B233" s="649">
        <f>' Plan Energi 2030-S'!AP11</f>
        <v>0.7</v>
      </c>
      <c r="C233" s="650"/>
      <c r="D233" s="649">
        <f>' Plan Energi 2006'!AP11</f>
        <v>1.4267472300000001</v>
      </c>
      <c r="E233" s="650"/>
      <c r="F233" s="649">
        <f>' Plan Energi 2008'!AP11</f>
        <v>1.4544586800000001</v>
      </c>
      <c r="G233" s="650">
        <f t="shared" si="57"/>
        <v>9.7114083761003587E-3</v>
      </c>
      <c r="H233" s="649">
        <f>' Plan Energi 2009'!AP11</f>
        <v>1.5085388700000002</v>
      </c>
      <c r="I233" s="650">
        <f t="shared" si="57"/>
        <v>3.7182348830975438E-2</v>
      </c>
      <c r="J233" s="649">
        <f>' Plan Energi 2011'!AP11</f>
        <v>2.4494255404200009</v>
      </c>
      <c r="K233" s="650">
        <f t="shared" si="57"/>
        <v>0.31185363835537117</v>
      </c>
      <c r="L233" s="649">
        <f>' Plan Energi 2013'!AP11</f>
        <v>2.4081674057999991</v>
      </c>
      <c r="M233" s="650">
        <f t="shared" si="57"/>
        <v>-8.4220022081029113E-3</v>
      </c>
      <c r="N233" s="649">
        <f>' Plan Energi 2015'!AP11</f>
        <v>1.4</v>
      </c>
      <c r="O233" s="650">
        <f t="shared" si="57"/>
        <v>-0.20932253367682374</v>
      </c>
      <c r="P233" s="649">
        <f>' Plan Energi 2017'!AP11</f>
        <v>0.7</v>
      </c>
      <c r="Q233" s="650">
        <f t="shared" si="57"/>
        <v>-0.25</v>
      </c>
      <c r="R233" s="649">
        <f>' Plan Energi 2019'!AP11</f>
        <v>0.7</v>
      </c>
      <c r="S233" s="650">
        <f t="shared" si="58"/>
        <v>0</v>
      </c>
      <c r="T233" s="649">
        <f>'Fremstilling, Gartneri, Landbru'!R51</f>
        <v>0.7</v>
      </c>
      <c r="U233" s="724">
        <f>'Fremstilling, Gartneri, Landbru'!S51</f>
        <v>0</v>
      </c>
      <c r="V233" s="649">
        <f>'Fremstilling, Gartneri, Landbru'!T51</f>
        <v>0.69347016276566831</v>
      </c>
      <c r="W233" s="725">
        <f>'Fremstilling, Gartneri, Landbru'!U51</f>
        <v>-7.2067252490326528E-4</v>
      </c>
      <c r="X233" s="604"/>
    </row>
    <row r="234" spans="1:24" ht="15" customHeight="1" x14ac:dyDescent="0.25">
      <c r="A234" s="604" t="s">
        <v>309</v>
      </c>
      <c r="B234" s="649">
        <f>' Plan Energi 2030-S'!AP12</f>
        <v>0.4</v>
      </c>
      <c r="C234" s="650"/>
      <c r="D234" s="649">
        <f>' Plan Energi 2006'!AP12</f>
        <v>0.85604833800000002</v>
      </c>
      <c r="E234" s="650"/>
      <c r="F234" s="649">
        <f>' Plan Energi 2008'!AP12</f>
        <v>0.87267520799999987</v>
      </c>
      <c r="G234" s="650">
        <f t="shared" si="57"/>
        <v>9.7114083761002806E-3</v>
      </c>
      <c r="H234" s="649">
        <f>' Plan Energi 2009'!AP12</f>
        <v>0.90512332200000012</v>
      </c>
      <c r="I234" s="650">
        <f t="shared" si="57"/>
        <v>3.7182348830975674E-2</v>
      </c>
      <c r="J234" s="649">
        <f>' Plan Energi 2011'!AP12</f>
        <v>1.4696553242520005</v>
      </c>
      <c r="K234" s="650">
        <f t="shared" si="57"/>
        <v>0.31185363835537117</v>
      </c>
      <c r="L234" s="649">
        <f>' Plan Energi 2013'!AP12</f>
        <v>1.4449004434799995</v>
      </c>
      <c r="M234" s="650">
        <f t="shared" si="57"/>
        <v>-8.4220022081028956E-3</v>
      </c>
      <c r="N234" s="649">
        <f>' Plan Energi 2015'!AP12</f>
        <v>0.8</v>
      </c>
      <c r="O234" s="650">
        <f t="shared" si="57"/>
        <v>-0.22316431778745116</v>
      </c>
      <c r="P234" s="649">
        <f>' Plan Energi 2017'!AP12</f>
        <v>0.4</v>
      </c>
      <c r="Q234" s="650">
        <f t="shared" si="57"/>
        <v>-0.25</v>
      </c>
      <c r="R234" s="649">
        <f>' Plan Energi 2019'!AP12</f>
        <v>0.4</v>
      </c>
      <c r="S234" s="650">
        <f t="shared" si="58"/>
        <v>0</v>
      </c>
      <c r="T234" s="649">
        <f>'Fremstilling, Gartneri, Landbru'!R52</f>
        <v>0.4</v>
      </c>
      <c r="U234" s="724">
        <f>'Fremstilling, Gartneri, Landbru'!S52</f>
        <v>0</v>
      </c>
      <c r="V234" s="649">
        <f>'Fremstilling, Gartneri, Landbru'!T52</f>
        <v>0.39626866443752484</v>
      </c>
      <c r="W234" s="725">
        <f>'Fremstilling, Gartneri, Landbru'!U52</f>
        <v>-7.2067252490326528E-4</v>
      </c>
      <c r="X234" s="604"/>
    </row>
    <row r="235" spans="1:24" ht="15" customHeight="1" x14ac:dyDescent="0.25">
      <c r="A235" s="604" t="s">
        <v>290</v>
      </c>
      <c r="B235" s="649">
        <f>' Plan Energi 2030-S'!AP13</f>
        <v>6.6</v>
      </c>
      <c r="C235" s="650"/>
      <c r="D235" s="649">
        <f>' Plan Energi 2006'!AP13</f>
        <v>13.2592375908</v>
      </c>
      <c r="E235" s="650"/>
      <c r="F235" s="649">
        <f>' Plan Energi 2008'!AP13</f>
        <v>13.516769332799997</v>
      </c>
      <c r="G235" s="650">
        <f t="shared" si="57"/>
        <v>9.7114083761002789E-3</v>
      </c>
      <c r="H235" s="649">
        <f>' Plan Energi 2009'!AP13</f>
        <v>14.019354565199999</v>
      </c>
      <c r="I235" s="650">
        <f t="shared" si="57"/>
        <v>3.7182348830975487E-2</v>
      </c>
      <c r="J235" s="649">
        <f>' Plan Energi 2011'!AP13</f>
        <v>22.76332802230321</v>
      </c>
      <c r="K235" s="650">
        <f t="shared" si="57"/>
        <v>0.31185363835537139</v>
      </c>
      <c r="L235" s="649">
        <f>' Plan Energi 2013'!AP13</f>
        <v>22.379902424567995</v>
      </c>
      <c r="M235" s="650">
        <f t="shared" si="57"/>
        <v>-8.4220022081028679E-3</v>
      </c>
      <c r="N235" s="649">
        <f>' Plan Energi 2015'!AP13</f>
        <v>12.9</v>
      </c>
      <c r="O235" s="650">
        <f t="shared" si="57"/>
        <v>-0.21179499009256711</v>
      </c>
      <c r="P235" s="649">
        <f>' Plan Energi 2017'!AP13</f>
        <v>6.6</v>
      </c>
      <c r="Q235" s="650">
        <f t="shared" si="57"/>
        <v>-0.24418604651162792</v>
      </c>
      <c r="R235" s="649">
        <f>' Plan Energi 2019'!AP13</f>
        <v>6.6</v>
      </c>
      <c r="S235" s="650">
        <f t="shared" si="58"/>
        <v>0</v>
      </c>
      <c r="T235" s="649">
        <f>'Fremstilling, Gartneri, Landbru'!R53</f>
        <v>6.6</v>
      </c>
      <c r="U235" s="724">
        <f>'Fremstilling, Gartneri, Landbru'!S53</f>
        <v>0</v>
      </c>
      <c r="V235" s="649">
        <f>'Fremstilling, Gartneri, Landbru'!T53</f>
        <v>6.5384329632191589</v>
      </c>
      <c r="W235" s="725">
        <f>'Fremstilling, Gartneri, Landbru'!U53</f>
        <v>-7.2067252490326528E-4</v>
      </c>
      <c r="X235" s="604"/>
    </row>
    <row r="236" spans="1:24" x14ac:dyDescent="0.25">
      <c r="A236" s="631" t="s">
        <v>239</v>
      </c>
      <c r="B236" s="649">
        <f>' Plan Energi 2030-S'!AP77</f>
        <v>11.520299999999999</v>
      </c>
      <c r="C236" s="650"/>
      <c r="D236" s="649">
        <f>' Plan Energi 2006'!AP77</f>
        <v>10.065000000000001</v>
      </c>
      <c r="E236" s="650"/>
      <c r="F236" s="649">
        <f>' Plan Energi 2008'!AP77</f>
        <v>12.012</v>
      </c>
      <c r="G236" s="650">
        <f t="shared" si="57"/>
        <v>9.6721311475409785E-2</v>
      </c>
      <c r="H236" s="649">
        <f>' Plan Energi 2009'!AP77</f>
        <v>12.011999999999997</v>
      </c>
      <c r="I236" s="650">
        <f t="shared" si="57"/>
        <v>-2.9576370952385122E-16</v>
      </c>
      <c r="J236" s="649">
        <f>' Plan Energi 2011'!AP77</f>
        <v>11.913</v>
      </c>
      <c r="K236" s="650">
        <f t="shared" si="57"/>
        <v>-4.1208791208789822E-3</v>
      </c>
      <c r="L236" s="649">
        <f>' Plan Energi 2013'!AP77</f>
        <v>12.408494882589794</v>
      </c>
      <c r="M236" s="650">
        <f t="shared" si="57"/>
        <v>2.0796393964148157E-2</v>
      </c>
      <c r="N236" s="649">
        <f>' Plan Energi 2015'!AP77</f>
        <v>11.913</v>
      </c>
      <c r="O236" s="650">
        <f t="shared" si="57"/>
        <v>-1.9965954262713068E-2</v>
      </c>
      <c r="P236" s="649">
        <f>' Plan Energi 2017'!AP77</f>
        <v>11.520299999999999</v>
      </c>
      <c r="Q236" s="650">
        <f t="shared" si="57"/>
        <v>-1.6481994459833851E-2</v>
      </c>
      <c r="R236" s="649">
        <f>' Plan Energi 2019'!AP77</f>
        <v>11.520299999999999</v>
      </c>
      <c r="S236" s="650">
        <f t="shared" si="58"/>
        <v>0</v>
      </c>
      <c r="T236" s="649">
        <f>'Fremstilling, Gartneri, Landbru'!R54</f>
        <v>11.520299999999999</v>
      </c>
      <c r="U236" s="724">
        <f>'Fremstilling, Gartneri, Landbru'!S54</f>
        <v>0</v>
      </c>
      <c r="V236" s="649">
        <f>'Fremstilling, Gartneri, Landbru'!T54</f>
        <v>11.762280241917532</v>
      </c>
      <c r="W236" s="725">
        <f>'Fremstilling, Gartneri, Landbru'!U54</f>
        <v>1.6002887284625178E-3</v>
      </c>
      <c r="X236" s="604"/>
    </row>
    <row r="237" spans="1:24" x14ac:dyDescent="0.25">
      <c r="A237" s="631" t="s">
        <v>345</v>
      </c>
      <c r="B237" s="649">
        <f>' Plan Energi 2030-S'!AP16</f>
        <v>0</v>
      </c>
      <c r="C237" s="650"/>
      <c r="D237" s="649">
        <f>' Plan Energi 2006'!AP16</f>
        <v>0</v>
      </c>
      <c r="E237" s="650"/>
      <c r="F237" s="649">
        <f>' Plan Energi 2008'!AP16</f>
        <v>0</v>
      </c>
      <c r="G237" s="650">
        <f t="shared" si="57"/>
        <v>0</v>
      </c>
      <c r="H237" s="649">
        <f>' Plan Energi 2009'!AP16</f>
        <v>0</v>
      </c>
      <c r="I237" s="650">
        <f t="shared" si="57"/>
        <v>0</v>
      </c>
      <c r="J237" s="649">
        <f>' Plan Energi 2011'!AP16</f>
        <v>0</v>
      </c>
      <c r="K237" s="650">
        <f t="shared" si="57"/>
        <v>0</v>
      </c>
      <c r="L237" s="649">
        <f>' Plan Energi 2013'!AP16</f>
        <v>0</v>
      </c>
      <c r="M237" s="650">
        <f t="shared" si="57"/>
        <v>0</v>
      </c>
      <c r="N237" s="649">
        <f>' Plan Energi 2015'!AP16</f>
        <v>0</v>
      </c>
      <c r="O237" s="650">
        <f t="shared" si="57"/>
        <v>0</v>
      </c>
      <c r="P237" s="649">
        <f>' Plan Energi 2017'!AP16</f>
        <v>0</v>
      </c>
      <c r="Q237" s="650">
        <f t="shared" si="57"/>
        <v>0</v>
      </c>
      <c r="R237" s="649">
        <f>' Plan Energi 2019'!AP16</f>
        <v>0</v>
      </c>
      <c r="S237" s="650">
        <f t="shared" si="58"/>
        <v>0</v>
      </c>
      <c r="T237" s="649">
        <f>'Fremstilling, Gartneri, Landbru'!R55</f>
        <v>0</v>
      </c>
      <c r="U237" s="724">
        <f>'Fremstilling, Gartneri, Landbru'!S55</f>
        <v>0</v>
      </c>
      <c r="V237" s="649">
        <f>'Fremstilling, Gartneri, Landbru'!T55</f>
        <v>0</v>
      </c>
      <c r="W237" s="725">
        <f>'Fremstilling, Gartneri, Landbru'!U55</f>
        <v>-0.11140759433466829</v>
      </c>
      <c r="X237" s="604"/>
    </row>
    <row r="238" spans="1:24" x14ac:dyDescent="0.25">
      <c r="A238" s="631" t="s">
        <v>526</v>
      </c>
      <c r="B238" s="649">
        <f>' Plan Energi 2030-S'!AP$14+SUM(' Plan Energi 2030-S'!AP$17:AP$22)+' Plan Energi 2030-S'!AP$10+' Plan Energi 2030-S'!AP$9</f>
        <v>0</v>
      </c>
      <c r="C238" s="650"/>
      <c r="D238" s="649">
        <f>' Plan Energi 2006'!AP$14+SUM(' Plan Energi 2006'!AP$17:AP$22)+' Plan Energi 2006'!AP$10+' Plan Energi 2006'!AP$9</f>
        <v>0</v>
      </c>
      <c r="E238" s="650"/>
      <c r="F238" s="649">
        <f>' Plan Energi 2008'!AP$14+SUM(' Plan Energi 2008'!AP$17:AP$22)+' Plan Energi 2008'!AP$10+' Plan Energi 2008'!AP$9</f>
        <v>0</v>
      </c>
      <c r="G238" s="650">
        <f t="shared" si="57"/>
        <v>0</v>
      </c>
      <c r="H238" s="649">
        <f>' Plan Energi 2009'!AP$14+SUM(' Plan Energi 2009'!AP$17:AP$22)+' Plan Energi 2009'!AP$10+' Plan Energi 2009'!AP$9</f>
        <v>0</v>
      </c>
      <c r="I238" s="650">
        <f t="shared" si="57"/>
        <v>0</v>
      </c>
      <c r="J238" s="649">
        <f>' Plan Energi 2011'!AP$14+SUM(' Plan Energi 2011'!AP$17:AP$22)+' Plan Energi 2011'!AP$10+' Plan Energi 2011'!AP$9</f>
        <v>0</v>
      </c>
      <c r="K238" s="650">
        <f t="shared" si="57"/>
        <v>0</v>
      </c>
      <c r="L238" s="649">
        <f>' Plan Energi 2013'!AP$14+SUM(' Plan Energi 2013'!AP$17:AP$22)+' Plan Energi 2013'!AP$10+' Plan Energi 2013'!AP$9</f>
        <v>0</v>
      </c>
      <c r="M238" s="650">
        <f t="shared" si="57"/>
        <v>0</v>
      </c>
      <c r="N238" s="649">
        <f>' Plan Energi 2015'!AP$14+SUM(' Plan Energi 2015'!AP$17:AP$22)+' Plan Energi 2015'!AP$10+' Plan Energi 2015'!AP$9</f>
        <v>0</v>
      </c>
      <c r="O238" s="650">
        <f t="shared" si="57"/>
        <v>0</v>
      </c>
      <c r="P238" s="649">
        <f>' Plan Energi 2017'!AP$14+SUM(' Plan Energi 2017'!AP$17:AP$22)+' Plan Energi 2017'!AP$10+' Plan Energi 2017'!AP$9</f>
        <v>0</v>
      </c>
      <c r="Q238" s="650">
        <f t="shared" si="57"/>
        <v>0</v>
      </c>
      <c r="R238" s="649">
        <f>' Plan Energi 2019'!AP$14+SUM(' Plan Energi 2019'!AP$17:AP$22)+' Plan Energi 2019'!AP$10+' Plan Energi 2019'!AP$9</f>
        <v>0</v>
      </c>
      <c r="S238" s="650">
        <f t="shared" si="58"/>
        <v>0</v>
      </c>
      <c r="T238" s="649">
        <f>'Fremstilling, Gartneri, Landbru'!R56</f>
        <v>0</v>
      </c>
      <c r="U238" s="724">
        <f>'Fremstilling, Gartneri, Landbru'!S56</f>
        <v>0</v>
      </c>
      <c r="V238" s="649">
        <f>'Fremstilling, Gartneri, Landbru'!T56</f>
        <v>0</v>
      </c>
      <c r="W238" s="725">
        <f>'Fremstilling, Gartneri, Landbru'!U56</f>
        <v>2.9635694192420292E-3</v>
      </c>
      <c r="X238" s="604"/>
    </row>
    <row r="239" spans="1:24" x14ac:dyDescent="0.25">
      <c r="A239" s="631" t="s">
        <v>28</v>
      </c>
      <c r="B239" s="649">
        <f>' Plan Energi 2030-S'!AP$39+' Plan Energi 2030-S'!AP$43+' Plan Energi 2030-S'!$AP$52+' Plan Energi 2030-S'!AP$55+' Plan Energi 2030-S'!AP$62+' Plan Energi 2030-S'!AP$71</f>
        <v>0</v>
      </c>
      <c r="C239" s="650"/>
      <c r="D239" s="649">
        <f>' Plan Energi 2006'!AP$39+' Plan Energi 2006'!AP$43+' Plan Energi 2006'!$AP$52+' Plan Energi 2006'!AP$55+' Plan Energi 2006'!AP$62+' Plan Energi 2006'!AP$71</f>
        <v>0</v>
      </c>
      <c r="E239" s="650"/>
      <c r="F239" s="649">
        <f>' Plan Energi 2008'!AP$39+' Plan Energi 2008'!AP$43+' Plan Energi 2008'!$AP$52+' Plan Energi 2008'!AP$55+' Plan Energi 2008'!AP$62+' Plan Energi 2008'!AP$71</f>
        <v>0</v>
      </c>
      <c r="G239" s="650">
        <f t="shared" si="57"/>
        <v>0</v>
      </c>
      <c r="H239" s="649">
        <f>' Plan Energi 2009'!AP$39+' Plan Energi 2009'!AP$43+' Plan Energi 2009'!$AP$52+' Plan Energi 2009'!AP$55+' Plan Energi 2009'!AP$62+' Plan Energi 2009'!AP$71</f>
        <v>0</v>
      </c>
      <c r="I239" s="650">
        <f t="shared" si="57"/>
        <v>0</v>
      </c>
      <c r="J239" s="649">
        <f>' Plan Energi 2011'!AP$39+' Plan Energi 2011'!AP$43+' Plan Energi 2011'!$AP$52+' Plan Energi 2011'!AP$55+' Plan Energi 2011'!AP$62+' Plan Energi 2011'!AP$71</f>
        <v>0</v>
      </c>
      <c r="K239" s="650">
        <f t="shared" si="57"/>
        <v>0</v>
      </c>
      <c r="L239" s="649">
        <f>' Plan Energi 2013'!AP$39+' Plan Energi 2013'!AP$43+' Plan Energi 2013'!$AP$52+' Plan Energi 2013'!AP$55+' Plan Energi 2013'!AP$62+' Plan Energi 2013'!AP$71</f>
        <v>0</v>
      </c>
      <c r="M239" s="650">
        <f t="shared" si="57"/>
        <v>0</v>
      </c>
      <c r="N239" s="649">
        <f>' Plan Energi 2015'!AP$39+' Plan Energi 2015'!AP$43+' Plan Energi 2015'!$AP$52+' Plan Energi 2015'!AP$55+' Plan Energi 2015'!AP$62+' Plan Energi 2015'!AP$71</f>
        <v>0</v>
      </c>
      <c r="O239" s="650">
        <f t="shared" si="57"/>
        <v>0</v>
      </c>
      <c r="P239" s="649">
        <f>' Plan Energi 2017'!AP$39+' Plan Energi 2017'!AP$43+' Plan Energi 2017'!$AP$52+' Plan Energi 2017'!AP$55+' Plan Energi 2017'!AP$62+' Plan Energi 2017'!AP$71</f>
        <v>0</v>
      </c>
      <c r="Q239" s="650">
        <f t="shared" si="57"/>
        <v>0</v>
      </c>
      <c r="R239" s="649">
        <f>' Plan Energi 2019'!AP$39+' Plan Energi 2019'!AP$43+' Plan Energi 2019'!$AP$52+' Plan Energi 2019'!AP$55+' Plan Energi 2019'!AP$62+' Plan Energi 2019'!AP$71</f>
        <v>0</v>
      </c>
      <c r="S239" s="650">
        <f t="shared" si="58"/>
        <v>0</v>
      </c>
      <c r="T239" s="649">
        <f>Fjernvarmeprognose!R20</f>
        <v>0</v>
      </c>
      <c r="U239" s="724">
        <f>Fjernvarmeprognose!S20</f>
        <v>0</v>
      </c>
      <c r="V239" s="649">
        <f>Fjernvarmeprognose!T20</f>
        <v>0</v>
      </c>
      <c r="W239" s="725">
        <f>Fjernvarmeprognose!U20</f>
        <v>-1.4200055811431134E-2</v>
      </c>
      <c r="X239" s="604"/>
    </row>
    <row r="240" spans="1:24" x14ac:dyDescent="0.25">
      <c r="A240" s="631" t="s">
        <v>486</v>
      </c>
      <c r="B240" s="649">
        <f>B238+B239</f>
        <v>0</v>
      </c>
      <c r="C240" s="650"/>
      <c r="D240" s="649">
        <f>D238+D239</f>
        <v>0</v>
      </c>
      <c r="E240" s="650"/>
      <c r="F240" s="649">
        <f>F238+F239</f>
        <v>0</v>
      </c>
      <c r="G240" s="650">
        <f t="shared" si="57"/>
        <v>0</v>
      </c>
      <c r="H240" s="649">
        <f>H238+H239</f>
        <v>0</v>
      </c>
      <c r="I240" s="650">
        <f t="shared" si="57"/>
        <v>0</v>
      </c>
      <c r="J240" s="649">
        <f>J238+J239</f>
        <v>0</v>
      </c>
      <c r="K240" s="650">
        <f t="shared" si="57"/>
        <v>0</v>
      </c>
      <c r="L240" s="649">
        <f>L238+L239</f>
        <v>0</v>
      </c>
      <c r="M240" s="650">
        <f t="shared" si="57"/>
        <v>0</v>
      </c>
      <c r="N240" s="649">
        <f>N238+N239</f>
        <v>0</v>
      </c>
      <c r="O240" s="650">
        <f t="shared" si="57"/>
        <v>0</v>
      </c>
      <c r="P240" s="649">
        <f>P238+P239</f>
        <v>0</v>
      </c>
      <c r="Q240" s="650">
        <f t="shared" si="57"/>
        <v>0</v>
      </c>
      <c r="R240" s="649">
        <f>R238+R239</f>
        <v>0</v>
      </c>
      <c r="S240" s="650">
        <f t="shared" si="58"/>
        <v>0</v>
      </c>
      <c r="T240" s="649">
        <f>T238+T239</f>
        <v>0</v>
      </c>
      <c r="U240" s="650">
        <f>(T240-Nøgletal!P240)/IF(Nøgletal!P240&gt;0,Nøgletal!P240,1)/(T$1-Nøgletal!P$1)</f>
        <v>0</v>
      </c>
      <c r="V240" s="649">
        <f>V238+V239</f>
        <v>0</v>
      </c>
      <c r="W240" s="650">
        <f>(V240-Nøgletal!P240)/IF(T240&gt;0,T240,1)/(V$1-Nøgletal!P$1)</f>
        <v>0</v>
      </c>
      <c r="X240" s="604"/>
    </row>
    <row r="241" spans="1:24" x14ac:dyDescent="0.25">
      <c r="A241" s="633" t="s">
        <v>487</v>
      </c>
      <c r="B241" s="650">
        <f>B238/IF(B240&gt;0,B240,1)</f>
        <v>0</v>
      </c>
      <c r="C241" s="650"/>
      <c r="D241" s="650">
        <f>D238/IF(D240&gt;0,D240,1)</f>
        <v>0</v>
      </c>
      <c r="E241" s="650"/>
      <c r="F241" s="650">
        <f>F238/IF(F240&gt;0,F240,1)</f>
        <v>0</v>
      </c>
      <c r="G241" s="650"/>
      <c r="H241" s="650">
        <f>H238/IF(H240&gt;0,H240,1)</f>
        <v>0</v>
      </c>
      <c r="I241" s="650"/>
      <c r="J241" s="650">
        <f>J238/IF(J240&gt;0,J240,1)</f>
        <v>0</v>
      </c>
      <c r="K241" s="650"/>
      <c r="L241" s="650">
        <f>L238/IF(L240&gt;0,L240,1)</f>
        <v>0</v>
      </c>
      <c r="M241" s="650"/>
      <c r="N241" s="650">
        <f>N238/IF(N240&gt;0,N240,1)</f>
        <v>0</v>
      </c>
      <c r="O241" s="650"/>
      <c r="P241" s="650">
        <f>P238/IF(P240&gt;0,P240,1)</f>
        <v>0</v>
      </c>
      <c r="Q241" s="650"/>
      <c r="R241" s="650">
        <f>R238/IF(R240&gt;0,R240,1)</f>
        <v>0</v>
      </c>
      <c r="S241" s="650"/>
      <c r="T241" s="650">
        <f>T238/IF(T240&gt;0,T240,1)</f>
        <v>0</v>
      </c>
      <c r="U241" s="650"/>
      <c r="V241" s="650">
        <f>V238/IF(V240&gt;0,V240,1)</f>
        <v>0</v>
      </c>
      <c r="W241" s="650"/>
      <c r="X241" s="604"/>
    </row>
    <row r="242" spans="1:24" x14ac:dyDescent="0.25">
      <c r="A242" s="633" t="s">
        <v>488</v>
      </c>
      <c r="B242" s="650">
        <f>B239/IF(B240&gt;0,B240,1)</f>
        <v>0</v>
      </c>
      <c r="C242" s="650"/>
      <c r="D242" s="650">
        <f>D239/IF(D240&gt;0,D240,1)</f>
        <v>0</v>
      </c>
      <c r="E242" s="650"/>
      <c r="F242" s="650">
        <f>F239/IF(F240&gt;0,F240,1)</f>
        <v>0</v>
      </c>
      <c r="G242" s="650"/>
      <c r="H242" s="650">
        <f>H239/IF(H240&gt;0,H240,1)</f>
        <v>0</v>
      </c>
      <c r="I242" s="650"/>
      <c r="J242" s="650">
        <f>J239/IF(J240&gt;0,J240,1)</f>
        <v>0</v>
      </c>
      <c r="K242" s="650"/>
      <c r="L242" s="650">
        <f>L239/IF(L240&gt;0,L240,1)</f>
        <v>0</v>
      </c>
      <c r="M242" s="650"/>
      <c r="N242" s="650">
        <f>N239/IF(N240&gt;0,N240,1)</f>
        <v>0</v>
      </c>
      <c r="O242" s="650"/>
      <c r="P242" s="650">
        <f>P239/IF(P240&gt;0,P240,1)</f>
        <v>0</v>
      </c>
      <c r="Q242" s="650"/>
      <c r="R242" s="650">
        <f>R239/IF(R240&gt;0,R240,1)</f>
        <v>0</v>
      </c>
      <c r="S242" s="650"/>
      <c r="T242" s="650">
        <f>T239/IF(T240&gt;0,T240,1)</f>
        <v>0</v>
      </c>
      <c r="U242" s="650"/>
      <c r="V242" s="650">
        <f>V239/IF(V240&gt;0,V240,1)</f>
        <v>0</v>
      </c>
      <c r="W242" s="650"/>
      <c r="X242" s="604"/>
    </row>
    <row r="243" spans="1:24" x14ac:dyDescent="0.25">
      <c r="A243" s="633" t="s">
        <v>490</v>
      </c>
      <c r="B243" s="650"/>
      <c r="C243" s="650"/>
      <c r="D243" s="650"/>
      <c r="E243" s="650"/>
      <c r="F243" s="650"/>
      <c r="G243" s="650"/>
      <c r="H243" s="650"/>
      <c r="I243" s="650"/>
      <c r="J243" s="650"/>
      <c r="K243" s="650"/>
      <c r="L243" s="650"/>
      <c r="M243" s="650"/>
      <c r="N243" s="650"/>
      <c r="O243" s="650"/>
      <c r="P243" s="650"/>
      <c r="Q243" s="650"/>
      <c r="R243" s="650"/>
      <c r="S243" s="650"/>
      <c r="T243" s="650"/>
      <c r="U243" s="650"/>
      <c r="V243" s="650"/>
      <c r="W243" s="650"/>
      <c r="X243" s="604"/>
    </row>
    <row r="244" spans="1:24" x14ac:dyDescent="0.25">
      <c r="A244" s="604" t="s">
        <v>344</v>
      </c>
      <c r="B244" s="650">
        <f>' Plan Energi 2030-S'!AP14/IF('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44" s="650"/>
      <c r="D244" s="650">
        <f>' Plan Energi 2006'!AP14/IF('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44" s="650"/>
      <c r="F244" s="650">
        <f>' Plan Energi 2008'!AP14/IF('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44" s="650"/>
      <c r="H244" s="650">
        <f>' Plan Energi 2009'!AP14/IF('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44" s="650"/>
      <c r="J244" s="650">
        <f>' Plan Energi 2011'!AP14/IF('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44" s="650"/>
      <c r="L244" s="650">
        <f>' Plan Energi 2013'!AP14/IF('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44" s="650"/>
      <c r="N244" s="650">
        <f>' Plan Energi 2015'!AP14/IF('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44" s="650"/>
      <c r="P244" s="650">
        <f>' Plan Energi 2017'!AP14/IF('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44" s="650"/>
      <c r="R244" s="650">
        <f>' Plan Energi 2019'!AP14/IF('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44" s="650"/>
      <c r="T244" s="726">
        <f>'Fremstilling, Gartneri, Landbru'!R59</f>
        <v>0</v>
      </c>
      <c r="U244" s="650"/>
      <c r="V244" s="726">
        <f>'Fremstilling, Gartneri, Landbru'!T59</f>
        <v>0</v>
      </c>
      <c r="W244" s="650"/>
      <c r="X244" s="604"/>
    </row>
    <row r="245" spans="1:24" x14ac:dyDescent="0.25">
      <c r="A245" s="604" t="s">
        <v>346</v>
      </c>
      <c r="B245" s="650">
        <f>' Plan Energi 2030-S'!AP17/IF('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45" s="650"/>
      <c r="D245" s="650">
        <f>' Plan Energi 2006'!AP17/IF('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45" s="650"/>
      <c r="F245" s="650">
        <f>' Plan Energi 2008'!AP17/IF('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45" s="650"/>
      <c r="H245" s="650">
        <f>' Plan Energi 2009'!AP17/IF('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45" s="650"/>
      <c r="J245" s="650">
        <f>' Plan Energi 2011'!AP17/IF('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45" s="650"/>
      <c r="L245" s="650">
        <f>' Plan Energi 2013'!AP17/IF('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45" s="650"/>
      <c r="N245" s="650">
        <f>' Plan Energi 2015'!AP17/IF('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45" s="650"/>
      <c r="P245" s="650">
        <f>' Plan Energi 2017'!AP17/IF('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45" s="650"/>
      <c r="R245" s="650">
        <f>' Plan Energi 2019'!AP17/IF('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45" s="650"/>
      <c r="T245" s="726">
        <f>'Fremstilling, Gartneri, Landbru'!R60</f>
        <v>0</v>
      </c>
      <c r="U245" s="650"/>
      <c r="V245" s="726">
        <f>'Fremstilling, Gartneri, Landbru'!T60</f>
        <v>0.76991150442477885</v>
      </c>
      <c r="W245" s="650"/>
      <c r="X245" s="604"/>
    </row>
    <row r="246" spans="1:24" x14ac:dyDescent="0.25">
      <c r="A246" s="604" t="s">
        <v>347</v>
      </c>
      <c r="B246" s="650">
        <f>' Plan Energi 2030-S'!AP18/IF('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46" s="650"/>
      <c r="D246" s="650">
        <f>' Plan Energi 2006'!AP18/IF('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46" s="650"/>
      <c r="F246" s="650">
        <f>' Plan Energi 2008'!AP18/IF('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46" s="650"/>
      <c r="H246" s="650">
        <f>' Plan Energi 2009'!AP18/IF('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46" s="650"/>
      <c r="J246" s="650">
        <f>' Plan Energi 2011'!AP18/IF('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46" s="650"/>
      <c r="L246" s="650">
        <f>' Plan Energi 2013'!AP18/IF('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46" s="650"/>
      <c r="N246" s="650">
        <f>' Plan Energi 2015'!AP18/IF('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46" s="650"/>
      <c r="P246" s="650">
        <f>' Plan Energi 2017'!AP18/IF('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46" s="650"/>
      <c r="R246" s="650">
        <f>' Plan Energi 2019'!AP18/IF('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46" s="650"/>
      <c r="T246" s="726">
        <f>'Fremstilling, Gartneri, Landbru'!R61</f>
        <v>0</v>
      </c>
      <c r="U246" s="650"/>
      <c r="V246" s="726">
        <f>'Fremstilling, Gartneri, Landbru'!T61</f>
        <v>6.6582385166455968E-2</v>
      </c>
      <c r="W246" s="650"/>
      <c r="X246" s="604"/>
    </row>
    <row r="247" spans="1:24" x14ac:dyDescent="0.25">
      <c r="A247" s="604" t="s">
        <v>348</v>
      </c>
      <c r="B247" s="650">
        <f>' Plan Energi 2030-S'!AP19/IF('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47" s="650"/>
      <c r="D247" s="650">
        <f>' Plan Energi 2006'!AP19/IF('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47" s="650"/>
      <c r="F247" s="650">
        <f>' Plan Energi 2008'!AP19/IF('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47" s="650"/>
      <c r="H247" s="650">
        <f>' Plan Energi 2009'!AP19/IF('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47" s="650"/>
      <c r="J247" s="650">
        <f>' Plan Energi 2011'!AP19/IF('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47" s="650"/>
      <c r="L247" s="650">
        <f>' Plan Energi 2013'!AP19/IF('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47" s="650"/>
      <c r="N247" s="650">
        <f>' Plan Energi 2015'!AP19/IF('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47" s="650"/>
      <c r="P247" s="650">
        <f>' Plan Energi 2017'!AP19/IF('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47" s="650"/>
      <c r="R247" s="650">
        <f>' Plan Energi 2019'!AP19/IF('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47" s="650"/>
      <c r="T247" s="726">
        <f>'Fremstilling, Gartneri, Landbru'!R62</f>
        <v>0</v>
      </c>
      <c r="U247" s="650"/>
      <c r="V247" s="726">
        <f>'Fremstilling, Gartneri, Landbru'!T62</f>
        <v>0.12389380530973453</v>
      </c>
      <c r="W247" s="650"/>
      <c r="X247" s="604"/>
    </row>
    <row r="248" spans="1:24" x14ac:dyDescent="0.25">
      <c r="A248" s="604" t="s">
        <v>349</v>
      </c>
      <c r="B248" s="650">
        <f>' Plan Energi 2030-S'!AP20/IF('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48" s="650"/>
      <c r="D248" s="650">
        <f>' Plan Energi 2006'!AP20/IF('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48" s="650"/>
      <c r="F248" s="650">
        <f>' Plan Energi 2008'!AP20/IF('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48" s="650"/>
      <c r="H248" s="650">
        <f>' Plan Energi 2009'!AP20/IF('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48" s="650"/>
      <c r="J248" s="650">
        <f>' Plan Energi 2011'!AP20/IF('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48" s="650"/>
      <c r="L248" s="650">
        <f>' Plan Energi 2013'!AP20/IF('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48" s="650"/>
      <c r="N248" s="650">
        <f>' Plan Energi 2015'!AP20/IF('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48" s="650"/>
      <c r="P248" s="650">
        <f>' Plan Energi 2017'!AP20/IF('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48" s="650"/>
      <c r="R248" s="650">
        <f>' Plan Energi 2019'!AP20/IF('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48" s="650"/>
      <c r="T248" s="726">
        <f>'Fremstilling, Gartneri, Landbru'!R63</f>
        <v>0</v>
      </c>
      <c r="U248" s="650"/>
      <c r="V248" s="726">
        <f>'Fremstilling, Gartneri, Landbru'!T63</f>
        <v>0</v>
      </c>
      <c r="W248" s="650"/>
      <c r="X248" s="604"/>
    </row>
    <row r="249" spans="1:24" x14ac:dyDescent="0.25">
      <c r="A249" s="604" t="s">
        <v>350</v>
      </c>
      <c r="B249" s="650">
        <f>' Plan Energi 2030-S'!AP21/IF('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49" s="650"/>
      <c r="D249" s="650">
        <f>' Plan Energi 2006'!AP21/IF('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49" s="650"/>
      <c r="F249" s="650">
        <f>' Plan Energi 2008'!AP21/IF('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49" s="650"/>
      <c r="H249" s="650">
        <f>' Plan Energi 2009'!AP21/IF('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49" s="650"/>
      <c r="J249" s="650">
        <f>' Plan Energi 2011'!AP21/IF('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49" s="650"/>
      <c r="L249" s="650">
        <f>' Plan Energi 2013'!AP21/IF('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49" s="650"/>
      <c r="N249" s="650">
        <f>' Plan Energi 2015'!AP21/IF('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49" s="650"/>
      <c r="P249" s="650">
        <f>' Plan Energi 2017'!AP21/IF('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49" s="650"/>
      <c r="R249" s="650">
        <f>' Plan Energi 2019'!AP21/IF('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49" s="650"/>
      <c r="T249" s="726">
        <f>'Fremstilling, Gartneri, Landbru'!R64</f>
        <v>0</v>
      </c>
      <c r="U249" s="650"/>
      <c r="V249" s="726">
        <f>'Fremstilling, Gartneri, Landbru'!T64</f>
        <v>0</v>
      </c>
      <c r="W249" s="650"/>
      <c r="X249" s="604"/>
    </row>
    <row r="250" spans="1:24" x14ac:dyDescent="0.25">
      <c r="A250" s="604" t="s">
        <v>331</v>
      </c>
      <c r="B250" s="650">
        <f>' Plan Energi 2030-S'!AP22/IF('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50" s="650"/>
      <c r="D250" s="650">
        <f>' Plan Energi 2006'!AP22/IF('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50" s="650"/>
      <c r="F250" s="650">
        <f>' Plan Energi 2008'!AP22/IF('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50" s="650"/>
      <c r="H250" s="650">
        <f>' Plan Energi 2009'!AP22/IF('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50" s="650"/>
      <c r="J250" s="650">
        <f>' Plan Energi 2011'!AP22/IF('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50" s="650"/>
      <c r="L250" s="650">
        <f>' Plan Energi 2013'!AP22/IF('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50" s="650"/>
      <c r="N250" s="650">
        <f>' Plan Energi 2015'!AP22/IF('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50" s="650"/>
      <c r="P250" s="650">
        <f>' Plan Energi 2017'!AP22/IF('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50" s="650"/>
      <c r="R250" s="650">
        <f>' Plan Energi 2019'!AP22/IF('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50" s="650"/>
      <c r="T250" s="726">
        <f>'Fremstilling, Gartneri, Landbru'!R65</f>
        <v>0</v>
      </c>
      <c r="U250" s="650"/>
      <c r="V250" s="726">
        <f>'Fremstilling, Gartneri, Landbru'!T65</f>
        <v>0</v>
      </c>
      <c r="W250" s="650"/>
      <c r="X250" s="604"/>
    </row>
    <row r="251" spans="1:24" x14ac:dyDescent="0.25">
      <c r="A251" s="604" t="s">
        <v>501</v>
      </c>
      <c r="B251" s="650">
        <f>' Plan Energi 2030-S'!AP10/IF('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51" s="650"/>
      <c r="D251" s="650">
        <f>' Plan Energi 2006'!AP10/IF('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51" s="650"/>
      <c r="F251" s="650">
        <f>' Plan Energi 2008'!AP10/IF('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51" s="650"/>
      <c r="H251" s="650">
        <f>' Plan Energi 2009'!AP10/IF('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51" s="650"/>
      <c r="J251" s="650">
        <f>' Plan Energi 2011'!AP10/IF('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51" s="650"/>
      <c r="L251" s="650">
        <f>' Plan Energi 2013'!AP10/IF('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51" s="650"/>
      <c r="N251" s="650">
        <f>' Plan Energi 2015'!AP10/IF('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51" s="650"/>
      <c r="P251" s="650">
        <f>' Plan Energi 2017'!AP10/IF('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51" s="650"/>
      <c r="R251" s="650">
        <f>' Plan Energi 2019'!AP10/IF('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51" s="650"/>
      <c r="T251" s="726">
        <f>'Fremstilling, Gartneri, Landbru'!R66</f>
        <v>0</v>
      </c>
      <c r="U251" s="650"/>
      <c r="V251" s="726">
        <f>'Fremstilling, Gartneri, Landbru'!T66</f>
        <v>0</v>
      </c>
      <c r="W251" s="650"/>
      <c r="X251" s="604"/>
    </row>
    <row r="252" spans="1:24" x14ac:dyDescent="0.25">
      <c r="A252" s="604" t="s">
        <v>314</v>
      </c>
      <c r="B252" s="650">
        <f>' Plan Energi 2030-S'!AP9/IF(' Plan Energi 2030-S'!AP$14+SUM(' Plan Energi 2030-S'!AP$17:AP$22)+' Plan Energi 2030-S'!AP$9+' Plan Energi 2030-S'!AP$10&gt;0,' Plan Energi 2030-S'!AP$14+SUM(' Plan Energi 2030-S'!AP$17:AP$22)+' Plan Energi 2030-S'!AP$9+' Plan Energi 2030-S'!AP$10,1)</f>
        <v>0</v>
      </c>
      <c r="C252" s="650"/>
      <c r="D252" s="650">
        <f>' Plan Energi 2006'!AP9/IF(' Plan Energi 2006'!AP$14+SUM(' Plan Energi 2006'!AP$17:AP$22)+' Plan Energi 2006'!AP$9+' Plan Energi 2006'!AP$10&gt;0,' Plan Energi 2006'!AP$14+SUM(' Plan Energi 2006'!AP$17:AP$22)+' Plan Energi 2006'!AP$9+' Plan Energi 2006'!AP$10,1)</f>
        <v>0</v>
      </c>
      <c r="E252" s="650"/>
      <c r="F252" s="650">
        <f>' Plan Energi 2008'!AP9/IF(' Plan Energi 2008'!AP$14+SUM(' Plan Energi 2008'!AP$17:AP$22)+' Plan Energi 2008'!AP$9+' Plan Energi 2008'!AP$10&gt;0,' Plan Energi 2008'!AP$14+SUM(' Plan Energi 2008'!AP$17:AP$22)+' Plan Energi 2008'!AP$9+' Plan Energi 2008'!AP$10,1)</f>
        <v>0</v>
      </c>
      <c r="G252" s="650"/>
      <c r="H252" s="650">
        <f>' Plan Energi 2009'!AP9/IF(' Plan Energi 2009'!AP$14+SUM(' Plan Energi 2009'!AP$17:AP$22)+' Plan Energi 2009'!AP$9+' Plan Energi 2009'!AP$10&gt;0,' Plan Energi 2009'!AP$14+SUM(' Plan Energi 2009'!AP$17:AP$22)+' Plan Energi 2009'!AP$9+' Plan Energi 2009'!AP$10,1)</f>
        <v>0</v>
      </c>
      <c r="I252" s="650"/>
      <c r="J252" s="650">
        <f>' Plan Energi 2011'!AP9/IF(' Plan Energi 2011'!AP$14+SUM(' Plan Energi 2011'!AP$17:AP$22)+' Plan Energi 2011'!AP$9+' Plan Energi 2011'!AP$10&gt;0,' Plan Energi 2011'!AP$14+SUM(' Plan Energi 2011'!AP$17:AP$22)+' Plan Energi 2011'!AP$9+' Plan Energi 2011'!AP$10,1)</f>
        <v>0</v>
      </c>
      <c r="K252" s="650"/>
      <c r="L252" s="650">
        <f>' Plan Energi 2013'!AP9/IF(' Plan Energi 2013'!AP$14+SUM(' Plan Energi 2013'!AP$17:AP$22)+' Plan Energi 2013'!AP$9+' Plan Energi 2013'!AP$10&gt;0,' Plan Energi 2013'!AP$14+SUM(' Plan Energi 2013'!AP$17:AP$22)+' Plan Energi 2013'!AP$9+' Plan Energi 2013'!AP$10,1)</f>
        <v>0</v>
      </c>
      <c r="M252" s="650"/>
      <c r="N252" s="650">
        <f>' Plan Energi 2015'!AP9/IF(' Plan Energi 2015'!AP$14+SUM(' Plan Energi 2015'!AP$17:AP$22)+' Plan Energi 2015'!AP$9+' Plan Energi 2015'!AP$10&gt;0,' Plan Energi 2015'!AP$14+SUM(' Plan Energi 2015'!AP$17:AP$22)+' Plan Energi 2015'!AP$9+' Plan Energi 2015'!AP$10,1)</f>
        <v>0</v>
      </c>
      <c r="O252" s="650"/>
      <c r="P252" s="650">
        <f>' Plan Energi 2017'!AP9/IF(' Plan Energi 2017'!AP$14+SUM(' Plan Energi 2017'!AP$17:AP$22)+' Plan Energi 2017'!AP$9+' Plan Energi 2017'!AP$10&gt;0,' Plan Energi 2017'!AP$14+SUM(' Plan Energi 2017'!AP$17:AP$22)+' Plan Energi 2017'!AP$9+' Plan Energi 2017'!AP$10,1)</f>
        <v>0</v>
      </c>
      <c r="Q252" s="650"/>
      <c r="R252" s="650">
        <f>' Plan Energi 2019'!AP9/IF(' Plan Energi 2019'!AP$14+SUM(' Plan Energi 2019'!AP$17:AP$22)+' Plan Energi 2019'!AP$9+' Plan Energi 2019'!AP$10&gt;0,' Plan Energi 2019'!AP$14+SUM(' Plan Energi 2019'!AP$17:AP$22)+' Plan Energi 2019'!AP$9+' Plan Energi 2019'!AP$10,1)</f>
        <v>0</v>
      </c>
      <c r="S252" s="650"/>
      <c r="T252" s="726">
        <f>'Fremstilling, Gartneri, Landbru'!R67</f>
        <v>0</v>
      </c>
      <c r="U252" s="650"/>
      <c r="V252" s="726">
        <f>'Fremstilling, Gartneri, Landbru'!T67</f>
        <v>0</v>
      </c>
      <c r="W252" s="650"/>
      <c r="X252" s="604"/>
    </row>
    <row r="253" spans="1:24" x14ac:dyDescent="0.25">
      <c r="A253" s="633" t="s">
        <v>489</v>
      </c>
      <c r="B253" s="650"/>
      <c r="C253" s="650"/>
      <c r="D253" s="650"/>
      <c r="E253" s="650"/>
      <c r="F253" s="650"/>
      <c r="G253" s="650"/>
      <c r="H253" s="650"/>
      <c r="I253" s="650"/>
      <c r="J253" s="650"/>
      <c r="K253" s="650"/>
      <c r="L253" s="650"/>
      <c r="M253" s="650"/>
      <c r="N253" s="650"/>
      <c r="O253" s="650"/>
      <c r="P253" s="650"/>
      <c r="Q253" s="650"/>
      <c r="R253" s="650"/>
      <c r="S253" s="650"/>
      <c r="T253" s="650"/>
      <c r="U253" s="650"/>
      <c r="V253" s="650"/>
      <c r="W253" s="650"/>
      <c r="X253" s="604"/>
    </row>
    <row r="254" spans="1:24" x14ac:dyDescent="0.25">
      <c r="A254" s="604" t="s">
        <v>351</v>
      </c>
      <c r="B254" s="650">
        <f>' Plan Energi 2030-S'!AP$39/IF(' Plan Energi 2030-S'!AP$39+' Plan Energi 2030-S'!AP$43+' Plan Energi 2030-S'!AP$52+' Plan Energi 2030-S'!AP$55+' Plan Energi 2030-S'!AP$62+' Plan Energi 2030-S'!AP$71&gt;0,' Plan Energi 2030-S'!AP$39+' Plan Energi 2030-S'!AP$43+' Plan Energi 2030-S'!AP$52+' Plan Energi 2030-S'!AP$55+' Plan Energi 2030-S'!AP$62+' Plan Energi 2030-S'!AP$71,1)</f>
        <v>0</v>
      </c>
      <c r="C254" s="650"/>
      <c r="D254" s="650">
        <f>' Plan Energi 2006'!AP$39/IF(' Plan Energi 2006'!AP$39+' Plan Energi 2006'!AP$43+' Plan Energi 2006'!AP$52+' Plan Energi 2006'!AP$55+' Plan Energi 2006'!AP$62+' Plan Energi 2006'!AP$71&gt;0,' Plan Energi 2006'!AP$39+' Plan Energi 2006'!AP$43+' Plan Energi 2006'!AP$52+' Plan Energi 2006'!AP$55+' Plan Energi 2006'!AP$62+' Plan Energi 2006'!AP$71,1)</f>
        <v>0</v>
      </c>
      <c r="E254" s="650"/>
      <c r="F254" s="650">
        <f>' Plan Energi 2008'!AP$39/IF(' Plan Energi 2008'!AP$39+' Plan Energi 2008'!AP$43+' Plan Energi 2008'!AP$52+' Plan Energi 2008'!AP$55+' Plan Energi 2008'!AP$62+' Plan Energi 2008'!AP$71&gt;0,' Plan Energi 2008'!AP$39+' Plan Energi 2008'!AP$43+' Plan Energi 2008'!AP$52+' Plan Energi 2008'!AP$55+' Plan Energi 2008'!AP$62+' Plan Energi 2008'!AP$71,1)</f>
        <v>0</v>
      </c>
      <c r="G254" s="650"/>
      <c r="H254" s="650">
        <f>' Plan Energi 2009'!AP$39/IF(' Plan Energi 2009'!AP$39+' Plan Energi 2009'!AP$43+' Plan Energi 2009'!AP$52+' Plan Energi 2009'!AP$55+' Plan Energi 2009'!AP$62+' Plan Energi 2009'!AP$71&gt;0,' Plan Energi 2009'!AP$39+' Plan Energi 2009'!AP$43+' Plan Energi 2009'!AP$52+' Plan Energi 2009'!AP$55+' Plan Energi 2009'!AP$62+' Plan Energi 2009'!AP$71,1)</f>
        <v>0</v>
      </c>
      <c r="I254" s="650"/>
      <c r="J254" s="650">
        <f>' Plan Energi 2011'!AP$39/IF(' Plan Energi 2011'!AP$39+' Plan Energi 2011'!AP$43+' Plan Energi 2011'!AP$52+' Plan Energi 2011'!AP$55+' Plan Energi 2011'!AP$62+' Plan Energi 2011'!AP$71&gt;0,' Plan Energi 2011'!AP$39+' Plan Energi 2011'!AP$43+' Plan Energi 2011'!AP$52+' Plan Energi 2011'!AP$55+' Plan Energi 2011'!AP$62+' Plan Energi 2011'!AP$71,1)</f>
        <v>0</v>
      </c>
      <c r="K254" s="650"/>
      <c r="L254" s="650">
        <f>' Plan Energi 2013'!AP$39/IF(' Plan Energi 2013'!AP$39+' Plan Energi 2013'!AP$43+' Plan Energi 2013'!AP$52+' Plan Energi 2013'!AP$55+' Plan Energi 2013'!AP$62+' Plan Energi 2013'!AP$71&gt;0,' Plan Energi 2013'!AP$39+' Plan Energi 2013'!AP$43+' Plan Energi 2013'!AP$52+' Plan Energi 2013'!AP$55+' Plan Energi 2013'!AP$62+' Plan Energi 2013'!AP$71,1)</f>
        <v>0</v>
      </c>
      <c r="M254" s="650"/>
      <c r="N254" s="650">
        <f>' Plan Energi 2015'!AP$39/IF(' Plan Energi 2015'!AP$39+' Plan Energi 2015'!AP$43+' Plan Energi 2015'!AP$52+' Plan Energi 2015'!AP$55+' Plan Energi 2015'!AP$62+' Plan Energi 2015'!AP$71&gt;0,' Plan Energi 2015'!AP$39+' Plan Energi 2015'!AP$43+' Plan Energi 2015'!AP$52+' Plan Energi 2015'!AP$55+' Plan Energi 2015'!AP$62+' Plan Energi 2015'!AP$71,1)</f>
        <v>0</v>
      </c>
      <c r="O254" s="650"/>
      <c r="P254" s="650">
        <f>' Plan Energi 2017'!AP$39/IF(' Plan Energi 2017'!AP$39+' Plan Energi 2017'!AP$43+' Plan Energi 2017'!AP$52+' Plan Energi 2017'!AP$55+' Plan Energi 2017'!AP$62+' Plan Energi 2017'!AP$71&gt;0,' Plan Energi 2017'!AP$39+' Plan Energi 2017'!AP$43+' Plan Energi 2017'!AP$52+' Plan Energi 2017'!AP$55+' Plan Energi 2017'!AP$62+' Plan Energi 2017'!AP$71,1)</f>
        <v>0</v>
      </c>
      <c r="Q254" s="650"/>
      <c r="R254" s="650">
        <f>' Plan Energi 2019'!AP$39/IF(' Plan Energi 2019'!AP$39+' Plan Energi 2019'!AP$43+' Plan Energi 2019'!AP$52+' Plan Energi 2019'!AP$55+' Plan Energi 2019'!AP$62+' Plan Energi 2019'!AP$71&gt;0,' Plan Energi 2019'!AP$39+' Plan Energi 2019'!AP$43+' Plan Energi 2019'!AP$52+' Plan Energi 2019'!AP$55+' Plan Energi 2019'!AP$62+' Plan Energi 2019'!AP$71,1)</f>
        <v>0</v>
      </c>
      <c r="S254" s="650"/>
      <c r="T254" s="727">
        <f>Fjernvarme!J7</f>
        <v>0</v>
      </c>
      <c r="U254" s="650"/>
      <c r="V254" s="727">
        <f>Fjernvarme!L7</f>
        <v>0</v>
      </c>
      <c r="W254" s="650"/>
      <c r="X254" s="604"/>
    </row>
    <row r="255" spans="1:24" x14ac:dyDescent="0.25">
      <c r="A255" s="604" t="s">
        <v>352</v>
      </c>
      <c r="B255" s="650">
        <f>' Plan Energi 2030-S'!AP$43/IF(' Plan Energi 2030-S'!AP$39+' Plan Energi 2030-S'!AP$43+' Plan Energi 2030-S'!AP$52+' Plan Energi 2030-S'!AP$55+' Plan Energi 2030-S'!AP$62+' Plan Energi 2030-S'!AP$71&gt;0,' Plan Energi 2030-S'!AP$39+' Plan Energi 2030-S'!AP$43+' Plan Energi 2030-S'!AP$52+' Plan Energi 2030-S'!AP$55+' Plan Energi 2030-S'!AP$62+' Plan Energi 2030-S'!AP$71,1)</f>
        <v>0</v>
      </c>
      <c r="C255" s="650"/>
      <c r="D255" s="650">
        <f>' Plan Energi 2006'!AP$43/IF(' Plan Energi 2006'!AP$39+' Plan Energi 2006'!AP$43+' Plan Energi 2006'!AP$52+' Plan Energi 2006'!AP$55+' Plan Energi 2006'!AP$62+' Plan Energi 2006'!AP$71&gt;0,' Plan Energi 2006'!AP$39+' Plan Energi 2006'!AP$43+' Plan Energi 2006'!AP$52+' Plan Energi 2006'!AP$55+' Plan Energi 2006'!AP$62+' Plan Energi 2006'!AP$71,1)</f>
        <v>0</v>
      </c>
      <c r="E255" s="650"/>
      <c r="F255" s="650">
        <f>' Plan Energi 2008'!AP$43/IF(' Plan Energi 2008'!AP$39+' Plan Energi 2008'!AP$43+' Plan Energi 2008'!AP$52+' Plan Energi 2008'!AP$55+' Plan Energi 2008'!AP$62+' Plan Energi 2008'!AP$71&gt;0,' Plan Energi 2008'!AP$39+' Plan Energi 2008'!AP$43+' Plan Energi 2008'!AP$52+' Plan Energi 2008'!AP$55+' Plan Energi 2008'!AP$62+' Plan Energi 2008'!AP$71,1)</f>
        <v>0</v>
      </c>
      <c r="G255" s="650"/>
      <c r="H255" s="650">
        <f>' Plan Energi 2009'!AP$43/IF(' Plan Energi 2009'!AP$39+' Plan Energi 2009'!AP$43+' Plan Energi 2009'!AP$52+' Plan Energi 2009'!AP$55+' Plan Energi 2009'!AP$62+' Plan Energi 2009'!AP$71&gt;0,' Plan Energi 2009'!AP$39+' Plan Energi 2009'!AP$43+' Plan Energi 2009'!AP$52+' Plan Energi 2009'!AP$55+' Plan Energi 2009'!AP$62+' Plan Energi 2009'!AP$71,1)</f>
        <v>0</v>
      </c>
      <c r="I255" s="650"/>
      <c r="J255" s="650">
        <f>' Plan Energi 2011'!AP$43/IF(' Plan Energi 2011'!AP$39+' Plan Energi 2011'!AP$43+' Plan Energi 2011'!AP$52+' Plan Energi 2011'!AP$55+' Plan Energi 2011'!AP$62+' Plan Energi 2011'!AP$71&gt;0,' Plan Energi 2011'!AP$39+' Plan Energi 2011'!AP$43+' Plan Energi 2011'!AP$52+' Plan Energi 2011'!AP$55+' Plan Energi 2011'!AP$62+' Plan Energi 2011'!AP$71,1)</f>
        <v>0</v>
      </c>
      <c r="K255" s="650"/>
      <c r="L255" s="650">
        <f>' Plan Energi 2013'!AP$43/IF(' Plan Energi 2013'!AP$39+' Plan Energi 2013'!AP$43+' Plan Energi 2013'!AP$52+' Plan Energi 2013'!AP$55+' Plan Energi 2013'!AP$62+' Plan Energi 2013'!AP$71&gt;0,' Plan Energi 2013'!AP$39+' Plan Energi 2013'!AP$43+' Plan Energi 2013'!AP$52+' Plan Energi 2013'!AP$55+' Plan Energi 2013'!AP$62+' Plan Energi 2013'!AP$71,1)</f>
        <v>0</v>
      </c>
      <c r="M255" s="650"/>
      <c r="N255" s="650">
        <f>' Plan Energi 2015'!AP$43/IF(' Plan Energi 2015'!AP$39+' Plan Energi 2015'!AP$43+' Plan Energi 2015'!AP$52+' Plan Energi 2015'!AP$55+' Plan Energi 2015'!AP$62+' Plan Energi 2015'!AP$71&gt;0,' Plan Energi 2015'!AP$39+' Plan Energi 2015'!AP$43+' Plan Energi 2015'!AP$52+' Plan Energi 2015'!AP$55+' Plan Energi 2015'!AP$62+' Plan Energi 2015'!AP$71,1)</f>
        <v>0</v>
      </c>
      <c r="O255" s="650"/>
      <c r="P255" s="650">
        <f>' Plan Energi 2017'!AP$43/IF(' Plan Energi 2017'!AP$39+' Plan Energi 2017'!AP$43+' Plan Energi 2017'!AP$52+' Plan Energi 2017'!AP$55+' Plan Energi 2017'!AP$62+' Plan Energi 2017'!AP$71&gt;0,' Plan Energi 2017'!AP$39+' Plan Energi 2017'!AP$43+' Plan Energi 2017'!AP$52+' Plan Energi 2017'!AP$55+' Plan Energi 2017'!AP$62+' Plan Energi 2017'!AP$71,1)</f>
        <v>0</v>
      </c>
      <c r="Q255" s="650"/>
      <c r="R255" s="650">
        <f>' Plan Energi 2019'!AP$43/IF(' Plan Energi 2019'!AP$39+' Plan Energi 2019'!AP$43+' Plan Energi 2019'!AP$52+' Plan Energi 2019'!AP$55+' Plan Energi 2019'!AP$62+' Plan Energi 2019'!AP$71&gt;0,' Plan Energi 2019'!AP$39+' Plan Energi 2019'!AP$43+' Plan Energi 2019'!AP$52+' Plan Energi 2019'!AP$55+' Plan Energi 2019'!AP$62+' Plan Energi 2019'!AP$71,1)</f>
        <v>0</v>
      </c>
      <c r="S255" s="650"/>
      <c r="T255" s="727">
        <f>Fjernvarme!J8</f>
        <v>0</v>
      </c>
      <c r="U255" s="650"/>
      <c r="V255" s="727">
        <f>Fjernvarme!L8</f>
        <v>0</v>
      </c>
      <c r="W255" s="650"/>
      <c r="X255" s="604"/>
    </row>
    <row r="256" spans="1:24" x14ac:dyDescent="0.25">
      <c r="A256" s="604" t="s">
        <v>353</v>
      </c>
      <c r="B256" s="650">
        <f>' Plan Energi 2030-S'!AP$52/IF(' Plan Energi 2030-S'!AP$39+' Plan Energi 2030-S'!AP$43+' Plan Energi 2030-S'!AP$52+' Plan Energi 2030-S'!AP$55+' Plan Energi 2030-S'!AP$62+' Plan Energi 2030-S'!AP$71&gt;0,' Plan Energi 2030-S'!AP$39+' Plan Energi 2030-S'!AP$43+' Plan Energi 2030-S'!AP$52+' Plan Energi 2030-S'!AP$55+' Plan Energi 2030-S'!AP$62+' Plan Energi 2030-S'!AP$71,1)</f>
        <v>0</v>
      </c>
      <c r="C256" s="650"/>
      <c r="D256" s="650">
        <f>' Plan Energi 2006'!AP$52/IF(' Plan Energi 2006'!AP$39+' Plan Energi 2006'!AP$43+' Plan Energi 2006'!AP$52+' Plan Energi 2006'!AP$55+' Plan Energi 2006'!AP$62+' Plan Energi 2006'!AP$71&gt;0,' Plan Energi 2006'!AP$39+' Plan Energi 2006'!AP$43+' Plan Energi 2006'!AP$52+' Plan Energi 2006'!AP$55+' Plan Energi 2006'!AP$62+' Plan Energi 2006'!AP$71,1)</f>
        <v>0</v>
      </c>
      <c r="E256" s="650"/>
      <c r="F256" s="650">
        <f>' Plan Energi 2008'!AP$52/IF(' Plan Energi 2008'!AP$39+' Plan Energi 2008'!AP$43+' Plan Energi 2008'!AP$52+' Plan Energi 2008'!AP$55+' Plan Energi 2008'!AP$62+' Plan Energi 2008'!AP$71&gt;0,' Plan Energi 2008'!AP$39+' Plan Energi 2008'!AP$43+' Plan Energi 2008'!AP$52+' Plan Energi 2008'!AP$55+' Plan Energi 2008'!AP$62+' Plan Energi 2008'!AP$71,1)</f>
        <v>0</v>
      </c>
      <c r="G256" s="650"/>
      <c r="H256" s="650">
        <f>' Plan Energi 2009'!AP$52/IF(' Plan Energi 2009'!AP$39+' Plan Energi 2009'!AP$43+' Plan Energi 2009'!AP$52+' Plan Energi 2009'!AP$55+' Plan Energi 2009'!AP$62+' Plan Energi 2009'!AP$71&gt;0,' Plan Energi 2009'!AP$39+' Plan Energi 2009'!AP$43+' Plan Energi 2009'!AP$52+' Plan Energi 2009'!AP$55+' Plan Energi 2009'!AP$62+' Plan Energi 2009'!AP$71,1)</f>
        <v>0</v>
      </c>
      <c r="I256" s="650"/>
      <c r="J256" s="650">
        <f>' Plan Energi 2011'!AP$52/IF(' Plan Energi 2011'!AP$39+' Plan Energi 2011'!AP$43+' Plan Energi 2011'!AP$52+' Plan Energi 2011'!AP$55+' Plan Energi 2011'!AP$62+' Plan Energi 2011'!AP$71&gt;0,' Plan Energi 2011'!AP$39+' Plan Energi 2011'!AP$43+' Plan Energi 2011'!AP$52+' Plan Energi 2011'!AP$55+' Plan Energi 2011'!AP$62+' Plan Energi 2011'!AP$71,1)</f>
        <v>0</v>
      </c>
      <c r="K256" s="650"/>
      <c r="L256" s="650">
        <f>' Plan Energi 2013'!AP$52/IF(' Plan Energi 2013'!AP$39+' Plan Energi 2013'!AP$43+' Plan Energi 2013'!AP$52+' Plan Energi 2013'!AP$55+' Plan Energi 2013'!AP$62+' Plan Energi 2013'!AP$71&gt;0,' Plan Energi 2013'!AP$39+' Plan Energi 2013'!AP$43+' Plan Energi 2013'!AP$52+' Plan Energi 2013'!AP$55+' Plan Energi 2013'!AP$62+' Plan Energi 2013'!AP$71,1)</f>
        <v>0</v>
      </c>
      <c r="M256" s="650"/>
      <c r="N256" s="650">
        <f>' Plan Energi 2015'!AP$52/IF(' Plan Energi 2015'!AP$39+' Plan Energi 2015'!AP$43+' Plan Energi 2015'!AP$52+' Plan Energi 2015'!AP$55+' Plan Energi 2015'!AP$62+' Plan Energi 2015'!AP$71&gt;0,' Plan Energi 2015'!AP$39+' Plan Energi 2015'!AP$43+' Plan Energi 2015'!AP$52+' Plan Energi 2015'!AP$55+' Plan Energi 2015'!AP$62+' Plan Energi 2015'!AP$71,1)</f>
        <v>0</v>
      </c>
      <c r="O256" s="650"/>
      <c r="P256" s="650">
        <f>' Plan Energi 2017'!AP$52/IF(' Plan Energi 2017'!AP$39+' Plan Energi 2017'!AP$43+' Plan Energi 2017'!AP$52+' Plan Energi 2017'!AP$55+' Plan Energi 2017'!AP$62+' Plan Energi 2017'!AP$71&gt;0,' Plan Energi 2017'!AP$39+' Plan Energi 2017'!AP$43+' Plan Energi 2017'!AP$52+' Plan Energi 2017'!AP$55+' Plan Energi 2017'!AP$62+' Plan Energi 2017'!AP$71,1)</f>
        <v>0</v>
      </c>
      <c r="Q256" s="650"/>
      <c r="R256" s="650">
        <f>' Plan Energi 2019'!AP$52/IF(' Plan Energi 2019'!AP$39+' Plan Energi 2019'!AP$43+' Plan Energi 2019'!AP$52+' Plan Energi 2019'!AP$55+' Plan Energi 2019'!AP$62+' Plan Energi 2019'!AP$71&gt;0,' Plan Energi 2019'!AP$39+' Plan Energi 2019'!AP$43+' Plan Energi 2019'!AP$52+' Plan Energi 2019'!AP$55+' Plan Energi 2019'!AP$62+' Plan Energi 2019'!AP$71,1)</f>
        <v>0</v>
      </c>
      <c r="S256" s="650"/>
      <c r="T256" s="727">
        <f>Fjernvarme!J9</f>
        <v>0</v>
      </c>
      <c r="U256" s="650"/>
      <c r="V256" s="727">
        <f>Fjernvarme!L9</f>
        <v>0</v>
      </c>
      <c r="W256" s="650"/>
      <c r="X256" s="604"/>
    </row>
    <row r="257" spans="1:24" x14ac:dyDescent="0.25">
      <c r="A257" s="604" t="s">
        <v>354</v>
      </c>
      <c r="B257" s="650">
        <f>' Plan Energi 2030-S'!AP$55/IF(' Plan Energi 2030-S'!AP$39+' Plan Energi 2030-S'!AP$43+' Plan Energi 2030-S'!AP$52+' Plan Energi 2030-S'!AP$55+' Plan Energi 2030-S'!AP$62+' Plan Energi 2030-S'!AP$71&gt;0,' Plan Energi 2030-S'!AP$39+' Plan Energi 2030-S'!AP$43+' Plan Energi 2030-S'!AP$52+' Plan Energi 2030-S'!AP$55+' Plan Energi 2030-S'!AP$62+' Plan Energi 2030-S'!AP$71,1)</f>
        <v>0</v>
      </c>
      <c r="C257" s="650"/>
      <c r="D257" s="650">
        <f>' Plan Energi 2006'!AP$55/IF(' Plan Energi 2006'!AP$39+' Plan Energi 2006'!AP$43+' Plan Energi 2006'!AP$52+' Plan Energi 2006'!AP$55+' Plan Energi 2006'!AP$62+' Plan Energi 2006'!AP$71&gt;0,' Plan Energi 2006'!AP$39+' Plan Energi 2006'!AP$43+' Plan Energi 2006'!AP$52+' Plan Energi 2006'!AP$55+' Plan Energi 2006'!AP$62+' Plan Energi 2006'!AP$71,1)</f>
        <v>0</v>
      </c>
      <c r="E257" s="650"/>
      <c r="F257" s="650">
        <f>' Plan Energi 2008'!AP$55/IF(' Plan Energi 2008'!AP$39+' Plan Energi 2008'!AP$43+' Plan Energi 2008'!AP$52+' Plan Energi 2008'!AP$55+' Plan Energi 2008'!AP$62+' Plan Energi 2008'!AP$71&gt;0,' Plan Energi 2008'!AP$39+' Plan Energi 2008'!AP$43+' Plan Energi 2008'!AP$52+' Plan Energi 2008'!AP$55+' Plan Energi 2008'!AP$62+' Plan Energi 2008'!AP$71,1)</f>
        <v>0</v>
      </c>
      <c r="G257" s="650"/>
      <c r="H257" s="650">
        <f>' Plan Energi 2009'!AP$55/IF(' Plan Energi 2009'!AP$39+' Plan Energi 2009'!AP$43+' Plan Energi 2009'!AP$52+' Plan Energi 2009'!AP$55+' Plan Energi 2009'!AP$62+' Plan Energi 2009'!AP$71&gt;0,' Plan Energi 2009'!AP$39+' Plan Energi 2009'!AP$43+' Plan Energi 2009'!AP$52+' Plan Energi 2009'!AP$55+' Plan Energi 2009'!AP$62+' Plan Energi 2009'!AP$71,1)</f>
        <v>0</v>
      </c>
      <c r="I257" s="650"/>
      <c r="J257" s="650">
        <f>' Plan Energi 2011'!AP$55/IF(' Plan Energi 2011'!AP$39+' Plan Energi 2011'!AP$43+' Plan Energi 2011'!AP$52+' Plan Energi 2011'!AP$55+' Plan Energi 2011'!AP$62+' Plan Energi 2011'!AP$71&gt;0,' Plan Energi 2011'!AP$39+' Plan Energi 2011'!AP$43+' Plan Energi 2011'!AP$52+' Plan Energi 2011'!AP$55+' Plan Energi 2011'!AP$62+' Plan Energi 2011'!AP$71,1)</f>
        <v>0</v>
      </c>
      <c r="K257" s="650"/>
      <c r="L257" s="650">
        <f>' Plan Energi 2013'!AP$55/IF(' Plan Energi 2013'!AP$39+' Plan Energi 2013'!AP$43+' Plan Energi 2013'!AP$52+' Plan Energi 2013'!AP$55+' Plan Energi 2013'!AP$62+' Plan Energi 2013'!AP$71&gt;0,' Plan Energi 2013'!AP$39+' Plan Energi 2013'!AP$43+' Plan Energi 2013'!AP$52+' Plan Energi 2013'!AP$55+' Plan Energi 2013'!AP$62+' Plan Energi 2013'!AP$71,1)</f>
        <v>0</v>
      </c>
      <c r="M257" s="650"/>
      <c r="N257" s="650">
        <f>' Plan Energi 2015'!AP$55/IF(' Plan Energi 2015'!AP$39+' Plan Energi 2015'!AP$43+' Plan Energi 2015'!AP$52+' Plan Energi 2015'!AP$55+' Plan Energi 2015'!AP$62+' Plan Energi 2015'!AP$71&gt;0,' Plan Energi 2015'!AP$39+' Plan Energi 2015'!AP$43+' Plan Energi 2015'!AP$52+' Plan Energi 2015'!AP$55+' Plan Energi 2015'!AP$62+' Plan Energi 2015'!AP$71,1)</f>
        <v>0</v>
      </c>
      <c r="O257" s="650"/>
      <c r="P257" s="650">
        <f>' Plan Energi 2017'!AP$55/IF(' Plan Energi 2017'!AP$39+' Plan Energi 2017'!AP$43+' Plan Energi 2017'!AP$52+' Plan Energi 2017'!AP$55+' Plan Energi 2017'!AP$62+' Plan Energi 2017'!AP$71&gt;0,' Plan Energi 2017'!AP$39+' Plan Energi 2017'!AP$43+' Plan Energi 2017'!AP$52+' Plan Energi 2017'!AP$55+' Plan Energi 2017'!AP$62+' Plan Energi 2017'!AP$71,1)</f>
        <v>0</v>
      </c>
      <c r="Q257" s="650"/>
      <c r="R257" s="650">
        <f>' Plan Energi 2019'!AP$55/IF(' Plan Energi 2019'!AP$39+' Plan Energi 2019'!AP$43+' Plan Energi 2019'!AP$52+' Plan Energi 2019'!AP$55+' Plan Energi 2019'!AP$62+' Plan Energi 2019'!AP$71&gt;0,' Plan Energi 2019'!AP$39+' Plan Energi 2019'!AP$43+' Plan Energi 2019'!AP$52+' Plan Energi 2019'!AP$55+' Plan Energi 2019'!AP$62+' Plan Energi 2019'!AP$71,1)</f>
        <v>0</v>
      </c>
      <c r="S257" s="650"/>
      <c r="T257" s="727">
        <f>Fjernvarme!J10</f>
        <v>0</v>
      </c>
      <c r="U257" s="650"/>
      <c r="V257" s="727">
        <f>Fjernvarme!L10</f>
        <v>0</v>
      </c>
      <c r="W257" s="650"/>
      <c r="X257" s="604"/>
    </row>
    <row r="258" spans="1:24" x14ac:dyDescent="0.25">
      <c r="A258" s="604" t="s">
        <v>199</v>
      </c>
      <c r="B258" s="650">
        <f>' Plan Energi 2030-S'!AP$62/IF(' Plan Energi 2030-S'!AP$39+' Plan Energi 2030-S'!AP$43+' Plan Energi 2030-S'!AP$52+' Plan Energi 2030-S'!AP$55+' Plan Energi 2030-S'!AP$62+' Plan Energi 2030-S'!AP$71&gt;0,' Plan Energi 2030-S'!AP$39+' Plan Energi 2030-S'!AP$43+' Plan Energi 2030-S'!AP$52+' Plan Energi 2030-S'!AP$55+' Plan Energi 2030-S'!AP$62+' Plan Energi 2030-S'!AP$71,1)</f>
        <v>0</v>
      </c>
      <c r="C258" s="650"/>
      <c r="D258" s="650">
        <f>' Plan Energi 2006'!AP$62/IF(' Plan Energi 2006'!AP$39+' Plan Energi 2006'!AP$43+' Plan Energi 2006'!AP$52+' Plan Energi 2006'!AP$55+' Plan Energi 2006'!AP$62+' Plan Energi 2006'!AP$71&gt;0,' Plan Energi 2006'!AP$39+' Plan Energi 2006'!AP$43+' Plan Energi 2006'!AP$52+' Plan Energi 2006'!AP$55+' Plan Energi 2006'!AP$62+' Plan Energi 2006'!AP$71,1)</f>
        <v>0</v>
      </c>
      <c r="E258" s="650"/>
      <c r="F258" s="650">
        <f>' Plan Energi 2008'!AP$62/IF(' Plan Energi 2008'!AP$39+' Plan Energi 2008'!AP$43+' Plan Energi 2008'!AP$52+' Plan Energi 2008'!AP$55+' Plan Energi 2008'!AP$62+' Plan Energi 2008'!AP$71&gt;0,' Plan Energi 2008'!AP$39+' Plan Energi 2008'!AP$43+' Plan Energi 2008'!AP$52+' Plan Energi 2008'!AP$55+' Plan Energi 2008'!AP$62+' Plan Energi 2008'!AP$71,1)</f>
        <v>0</v>
      </c>
      <c r="G258" s="650"/>
      <c r="H258" s="650">
        <f>' Plan Energi 2009'!AP$62/IF(' Plan Energi 2009'!AP$39+' Plan Energi 2009'!AP$43+' Plan Energi 2009'!AP$52+' Plan Energi 2009'!AP$55+' Plan Energi 2009'!AP$62+' Plan Energi 2009'!AP$71&gt;0,' Plan Energi 2009'!AP$39+' Plan Energi 2009'!AP$43+' Plan Energi 2009'!AP$52+' Plan Energi 2009'!AP$55+' Plan Energi 2009'!AP$62+' Plan Energi 2009'!AP$71,1)</f>
        <v>0</v>
      </c>
      <c r="I258" s="650"/>
      <c r="J258" s="650">
        <f>' Plan Energi 2011'!AP$62/IF(' Plan Energi 2011'!AP$39+' Plan Energi 2011'!AP$43+' Plan Energi 2011'!AP$52+' Plan Energi 2011'!AP$55+' Plan Energi 2011'!AP$62+' Plan Energi 2011'!AP$71&gt;0,' Plan Energi 2011'!AP$39+' Plan Energi 2011'!AP$43+' Plan Energi 2011'!AP$52+' Plan Energi 2011'!AP$55+' Plan Energi 2011'!AP$62+' Plan Energi 2011'!AP$71,1)</f>
        <v>0</v>
      </c>
      <c r="K258" s="650"/>
      <c r="L258" s="650">
        <f>' Plan Energi 2013'!AP$62/IF(' Plan Energi 2013'!AP$39+' Plan Energi 2013'!AP$43+' Plan Energi 2013'!AP$52+' Plan Energi 2013'!AP$55+' Plan Energi 2013'!AP$62+' Plan Energi 2013'!AP$71&gt;0,' Plan Energi 2013'!AP$39+' Plan Energi 2013'!AP$43+' Plan Energi 2013'!AP$52+' Plan Energi 2013'!AP$55+' Plan Energi 2013'!AP$62+' Plan Energi 2013'!AP$71,1)</f>
        <v>0</v>
      </c>
      <c r="M258" s="650"/>
      <c r="N258" s="650">
        <f>' Plan Energi 2015'!AP$62/IF(' Plan Energi 2015'!AP$39+' Plan Energi 2015'!AP$43+' Plan Energi 2015'!AP$52+' Plan Energi 2015'!AP$55+' Plan Energi 2015'!AP$62+' Plan Energi 2015'!AP$71&gt;0,' Plan Energi 2015'!AP$39+' Plan Energi 2015'!AP$43+' Plan Energi 2015'!AP$52+' Plan Energi 2015'!AP$55+' Plan Energi 2015'!AP$62+' Plan Energi 2015'!AP$71,1)</f>
        <v>0</v>
      </c>
      <c r="O258" s="650"/>
      <c r="P258" s="650">
        <f>' Plan Energi 2017'!AP$62/IF(' Plan Energi 2017'!AP$39+' Plan Energi 2017'!AP$43+' Plan Energi 2017'!AP$52+' Plan Energi 2017'!AP$55+' Plan Energi 2017'!AP$62+' Plan Energi 2017'!AP$71&gt;0,' Plan Energi 2017'!AP$39+' Plan Energi 2017'!AP$43+' Plan Energi 2017'!AP$52+' Plan Energi 2017'!AP$55+' Plan Energi 2017'!AP$62+' Plan Energi 2017'!AP$71,1)</f>
        <v>0</v>
      </c>
      <c r="Q258" s="650"/>
      <c r="R258" s="650">
        <f>' Plan Energi 2019'!AP$62/IF(' Plan Energi 2019'!AP$39+' Plan Energi 2019'!AP$43+' Plan Energi 2019'!AP$52+' Plan Energi 2019'!AP$55+' Plan Energi 2019'!AP$62+' Plan Energi 2019'!AP$71&gt;0,' Plan Energi 2019'!AP$39+' Plan Energi 2019'!AP$43+' Plan Energi 2019'!AP$52+' Plan Energi 2019'!AP$55+' Plan Energi 2019'!AP$62+' Plan Energi 2019'!AP$71,1)</f>
        <v>0</v>
      </c>
      <c r="S258" s="650"/>
      <c r="T258" s="727">
        <f>Fjernvarme!J11</f>
        <v>0.81422293248102273</v>
      </c>
      <c r="U258" s="650"/>
      <c r="V258" s="727">
        <f>Fjernvarme!L11</f>
        <v>0.81422293248102273</v>
      </c>
      <c r="W258" s="650"/>
      <c r="X258" s="604"/>
    </row>
    <row r="259" spans="1:24" x14ac:dyDescent="0.25">
      <c r="A259" s="604" t="s">
        <v>493</v>
      </c>
      <c r="B259" s="650">
        <f>' Plan Energi 2030-S'!AP$71/IF(' Plan Energi 2030-S'!AP$39+' Plan Energi 2030-S'!AP$43+' Plan Energi 2030-S'!AP$52+' Plan Energi 2030-S'!AP$55+' Plan Energi 2030-S'!AP$62+' Plan Energi 2030-S'!AP$71&gt;0,' Plan Energi 2030-S'!AP$39+' Plan Energi 2030-S'!AP$43+' Plan Energi 2030-S'!AP$52+' Plan Energi 2030-S'!AP$55+' Plan Energi 2030-S'!AP$62+' Plan Energi 2030-S'!AP$71,1)</f>
        <v>0</v>
      </c>
      <c r="C259" s="650"/>
      <c r="D259" s="650">
        <f>' Plan Energi 2006'!AP$71/IF(' Plan Energi 2006'!AP$39+' Plan Energi 2006'!AP$43+' Plan Energi 2006'!AP$52+' Plan Energi 2006'!AP$55+' Plan Energi 2006'!AP$62+' Plan Energi 2006'!AP$71&gt;0,' Plan Energi 2006'!AP$39+' Plan Energi 2006'!AP$43+' Plan Energi 2006'!AP$52+' Plan Energi 2006'!AP$55+' Plan Energi 2006'!AP$62+' Plan Energi 2006'!AP$71,1)</f>
        <v>0</v>
      </c>
      <c r="E259" s="650"/>
      <c r="F259" s="650">
        <f>' Plan Energi 2008'!AP$71/IF(' Plan Energi 2008'!AP$39+' Plan Energi 2008'!AP$43+' Plan Energi 2008'!AP$52+' Plan Energi 2008'!AP$55+' Plan Energi 2008'!AP$62+' Plan Energi 2008'!AP$71&gt;0,' Plan Energi 2008'!AP$39+' Plan Energi 2008'!AP$43+' Plan Energi 2008'!AP$52+' Plan Energi 2008'!AP$55+' Plan Energi 2008'!AP$62+' Plan Energi 2008'!AP$71,1)</f>
        <v>0</v>
      </c>
      <c r="G259" s="650"/>
      <c r="H259" s="650">
        <f>' Plan Energi 2009'!AP$71/IF(' Plan Energi 2009'!AP$39+' Plan Energi 2009'!AP$43+' Plan Energi 2009'!AP$52+' Plan Energi 2009'!AP$55+' Plan Energi 2009'!AP$62+' Plan Energi 2009'!AP$71&gt;0,' Plan Energi 2009'!AP$39+' Plan Energi 2009'!AP$43+' Plan Energi 2009'!AP$52+' Plan Energi 2009'!AP$55+' Plan Energi 2009'!AP$62+' Plan Energi 2009'!AP$71,1)</f>
        <v>0</v>
      </c>
      <c r="I259" s="650"/>
      <c r="J259" s="650">
        <f>' Plan Energi 2011'!AP$71/IF(' Plan Energi 2011'!AP$39+' Plan Energi 2011'!AP$43+' Plan Energi 2011'!AP$52+' Plan Energi 2011'!AP$55+' Plan Energi 2011'!AP$62+' Plan Energi 2011'!AP$71&gt;0,' Plan Energi 2011'!AP$39+' Plan Energi 2011'!AP$43+' Plan Energi 2011'!AP$52+' Plan Energi 2011'!AP$55+' Plan Energi 2011'!AP$62+' Plan Energi 2011'!AP$71,1)</f>
        <v>0</v>
      </c>
      <c r="K259" s="650"/>
      <c r="L259" s="650">
        <f>' Plan Energi 2013'!AP$71/IF(' Plan Energi 2013'!AP$39+' Plan Energi 2013'!AP$43+' Plan Energi 2013'!AP$52+' Plan Energi 2013'!AP$55+' Plan Energi 2013'!AP$62+' Plan Energi 2013'!AP$71&gt;0,' Plan Energi 2013'!AP$39+' Plan Energi 2013'!AP$43+' Plan Energi 2013'!AP$52+' Plan Energi 2013'!AP$55+' Plan Energi 2013'!AP$62+' Plan Energi 2013'!AP$71,1)</f>
        <v>0</v>
      </c>
      <c r="M259" s="650"/>
      <c r="N259" s="650">
        <f>' Plan Energi 2015'!AP$71/IF(' Plan Energi 2015'!AP$39+' Plan Energi 2015'!AP$43+' Plan Energi 2015'!AP$52+' Plan Energi 2015'!AP$55+' Plan Energi 2015'!AP$62+' Plan Energi 2015'!AP$71&gt;0,' Plan Energi 2015'!AP$39+' Plan Energi 2015'!AP$43+' Plan Energi 2015'!AP$52+' Plan Energi 2015'!AP$55+' Plan Energi 2015'!AP$62+' Plan Energi 2015'!AP$71,1)</f>
        <v>0</v>
      </c>
      <c r="O259" s="650"/>
      <c r="P259" s="650">
        <f>' Plan Energi 2017'!AP$71/IF(' Plan Energi 2017'!AP$39+' Plan Energi 2017'!AP$43+' Plan Energi 2017'!AP$52+' Plan Energi 2017'!AP$55+' Plan Energi 2017'!AP$62+' Plan Energi 2017'!AP$71&gt;0,' Plan Energi 2017'!AP$39+' Plan Energi 2017'!AP$43+' Plan Energi 2017'!AP$52+' Plan Energi 2017'!AP$55+' Plan Energi 2017'!AP$62+' Plan Energi 2017'!AP$71,1)</f>
        <v>0</v>
      </c>
      <c r="Q259" s="650"/>
      <c r="R259" s="650">
        <f>' Plan Energi 2019'!AP$71/IF(' Plan Energi 2019'!AP$39+' Plan Energi 2019'!AP$43+' Plan Energi 2019'!AP$52+' Plan Energi 2019'!AP$55+' Plan Energi 2019'!AP$62+' Plan Energi 2019'!AP$71&gt;0,' Plan Energi 2019'!AP$39+' Plan Energi 2019'!AP$43+' Plan Energi 2019'!AP$52+' Plan Energi 2019'!AP$55+' Plan Energi 2019'!AP$62+' Plan Energi 2019'!AP$71,1)</f>
        <v>0</v>
      </c>
      <c r="S259" s="650"/>
      <c r="T259" s="727">
        <f>Fjernvarme!J12</f>
        <v>0.18577706751897727</v>
      </c>
      <c r="U259" s="650"/>
      <c r="V259" s="727">
        <f>Fjernvarme!L12</f>
        <v>0.18577706751897727</v>
      </c>
      <c r="W259" s="650"/>
      <c r="X259" s="604"/>
    </row>
    <row r="260" spans="1:24" s="640" customFormat="1" x14ac:dyDescent="0.25">
      <c r="A260" s="631" t="s">
        <v>528</v>
      </c>
      <c r="B260" s="728">
        <f>B36+B64+B92+B120+B148+B180+B210+B239</f>
        <v>1592.6084395199998</v>
      </c>
      <c r="C260" s="728"/>
      <c r="D260" s="728">
        <f>D36+D64+D92+D120+D148+D180+D210+D239</f>
        <v>1588.4160783761602</v>
      </c>
      <c r="E260" s="728"/>
      <c r="F260" s="728">
        <f>F36+F64+F92+F120+F148+F180+F210+F239</f>
        <v>1810.1576491532803</v>
      </c>
      <c r="G260" s="650">
        <f t="shared" ref="G260:Q260" si="59">(F260-D260)/IF(D260&gt;0,D260,1)/(F$1-D$1)</f>
        <v>6.9799586454641932E-2</v>
      </c>
      <c r="H260" s="728">
        <f>H36+H64+H92+H120+H148+H180+H210+H239</f>
        <v>1966.1968535520002</v>
      </c>
      <c r="I260" s="650">
        <f t="shared" si="59"/>
        <v>8.6201997086667467E-2</v>
      </c>
      <c r="J260" s="728">
        <f>J36+J64+J92+J120+J148+J180+J210+J239</f>
        <v>1757.45121412</v>
      </c>
      <c r="K260" s="650">
        <f t="shared" si="59"/>
        <v>-5.3083606317163572E-2</v>
      </c>
      <c r="L260" s="728">
        <f>L36+L64+L92+L120+L148+L180+L210+L239</f>
        <v>1629.9105902359288</v>
      </c>
      <c r="M260" s="650">
        <f t="shared" si="59"/>
        <v>-3.6285679755820144E-2</v>
      </c>
      <c r="N260" s="728">
        <f>N36+N64+N92+N120+N148+N180+N210+N239</f>
        <v>1575.9262552673642</v>
      </c>
      <c r="O260" s="650">
        <f t="shared" si="59"/>
        <v>-1.6560520341410367E-2</v>
      </c>
      <c r="P260" s="728">
        <f>P36+P64+P92+P120+P148+P180+P210+P239</f>
        <v>1592.2506154799999</v>
      </c>
      <c r="Q260" s="650">
        <f t="shared" si="59"/>
        <v>5.1792906419552281E-3</v>
      </c>
      <c r="R260" s="728">
        <f>R36+R64+R92+R120+R148+R180+R210+R239</f>
        <v>1592.2506154799999</v>
      </c>
      <c r="S260" s="650">
        <f t="shared" ref="S260" si="60">(R260-P260)/IF(P260&gt;0,P260,1)/IF(R$1-P$1&gt;0,R$1-P$1,1)</f>
        <v>0</v>
      </c>
      <c r="T260" s="668">
        <f>T36+T64+T92+T120+T148+T180+T210+T239</f>
        <v>1592.2506154799999</v>
      </c>
      <c r="U260" s="651"/>
      <c r="V260" s="668">
        <f>V36+V64+V92+V120+V148+V180+V210+V239</f>
        <v>1551.2123856103924</v>
      </c>
      <c r="W260" s="651"/>
      <c r="X260" s="654"/>
    </row>
    <row r="261" spans="1:24" s="640" customFormat="1" x14ac:dyDescent="0.25">
      <c r="A261" s="631" t="s">
        <v>351</v>
      </c>
      <c r="B261" s="704">
        <f>(B$37*B$39*B$51+B$65*B$67*B$79+B$93*B$95*B$107+B$121*B$123*B$135+B$149*B$151*B$163+B$181*B$183*B$195+B$211*B$213*B$225+B$240*B$242*B$254)/IF(B260&gt;0,B260,1)</f>
        <v>0</v>
      </c>
      <c r="C261" s="704"/>
      <c r="D261" s="704">
        <f>(D$37*D$39*D$51+D$65*D$67*D$79+D$93*D$95*D$107+D$121*D$123*D$135+D$149*D$151*D$163+D$181*D$183*D$195+D$211*D$213*D$225+D$240*D$242*D$254)/IF(D260&gt;0,D260,1)</f>
        <v>0</v>
      </c>
      <c r="E261" s="704"/>
      <c r="F261" s="704">
        <f>(F$37*F$39*F$51+F$65*F$67*F$79+F$93*F$95*F$107+F$121*F$123*F$135+F$149*F$151*F$163+F$181*F$183*F$195+F$211*F$213*F$225+F$240*F$242*F$254)/IF(F260&gt;0,F260,1)</f>
        <v>0</v>
      </c>
      <c r="G261" s="704"/>
      <c r="H261" s="704">
        <f>(H$37*H$39*H$51+H$65*H$67*H$79+H$93*H$95*H$107+H$121*H$123*H$135+H$149*H$151*H$163+H$181*H$183*H$195+H$211*H$213*H$225+H$240*H$242*H$254)/IF(H260&gt;0,H260,1)</f>
        <v>0</v>
      </c>
      <c r="I261" s="704"/>
      <c r="J261" s="704">
        <f>(J$37*J$39*J$51+J$65*J$67*J$79+J$93*J$95*J$107+J$121*J$123*J$135+J$149*J$151*J$163+J$181*J$183*J$195+J$211*J$213*J$225+J$240*J$242*J$254)/IF(J260&gt;0,J260,1)</f>
        <v>0</v>
      </c>
      <c r="K261" s="704"/>
      <c r="L261" s="704">
        <f>(L$37*L$39*L$51+L$65*L$67*L$79+L$93*L$95*L$107+L$121*L$123*L$135+L$149*L$151*L$163+L$181*L$183*L$195+L$211*L$213*L$225+L$240*L$242*L$254)/IF(L260&gt;0,L260,1)</f>
        <v>0</v>
      </c>
      <c r="M261" s="704"/>
      <c r="N261" s="704">
        <f>(N$37*N$39*N$51+N$65*N$67*N$79+N$93*N$95*N$107+N$121*N$123*N$135+N$149*N$151*N$163+N$181*N$183*N$195+N$211*N$213*N$225+N$240*N$242*N$254)/IF(N260&gt;0,N260,1)</f>
        <v>0</v>
      </c>
      <c r="O261" s="704"/>
      <c r="P261" s="704">
        <f>(P$37*P$39*P$51+P$65*P$67*P$79+P$93*P$95*P$107+P$121*P$123*P$135+P$149*P$151*P$163+P$181*P$183*P$195+P$211*P$213*P$225+P$240*P$242*P$254)/IF(P260&gt;0,P260,1)</f>
        <v>0</v>
      </c>
      <c r="Q261" s="704"/>
      <c r="R261" s="704">
        <f>(R$37*R$39*R$51+R$65*R$67*R$79+R$93*R$95*R$107+R$121*R$123*R$135+R$149*R$151*R$163+R$181*R$183*R$195+R$211*R$213*R$225+R$240*R$242*R$254)/IF(R260&gt;0,R260,1)</f>
        <v>0</v>
      </c>
      <c r="S261" s="704"/>
      <c r="T261" s="726">
        <f>Fjernvarme!J7</f>
        <v>0</v>
      </c>
      <c r="U261" s="645"/>
      <c r="V261" s="726">
        <f>Fjernvarme!L7</f>
        <v>0</v>
      </c>
      <c r="W261" s="645"/>
      <c r="X261" s="654"/>
    </row>
    <row r="262" spans="1:24" s="640" customFormat="1" x14ac:dyDescent="0.25">
      <c r="A262" s="631" t="s">
        <v>352</v>
      </c>
      <c r="B262" s="704">
        <f>(B$37*B$39*B$52+B$65*B$67*B$80+B$93*B$95*B$108+B$121*B$123*B$136+B$149*B$151*B$164+B$181*B$183*B$196+B$211*B$213*B$226+B$240*B$242*B$255)/IF(B260&gt;0,B260,1)</f>
        <v>0</v>
      </c>
      <c r="C262" s="704"/>
      <c r="D262" s="704">
        <f>(D$37*D$39*D$52+D$65*D$67*D$80+D$93*D$95*D$108+D$121*D$123*D$136+D$149*D$151*D$164+D$181*D$183*D$196+D$211*D$213*D$226+D$240*D$242*D$255)/IF(D260&gt;0,D260,1)</f>
        <v>0</v>
      </c>
      <c r="E262" s="704"/>
      <c r="F262" s="704">
        <f>(F$37*F$39*F$52+F$65*F$67*F$80+F$93*F$95*F$108+F$121*F$123*F$136+F$149*F$151*F$164+F$181*F$183*F$196+F$211*F$213*F$226+F$240*F$242*F$255)/IF(F260&gt;0,F260,1)</f>
        <v>0</v>
      </c>
      <c r="G262" s="704"/>
      <c r="H262" s="704">
        <f>(H$37*H$39*H$52+H$65*H$67*H$80+H$93*H$95*H$108+H$121*H$123*H$136+H$149*H$151*H$164+H$181*H$183*H$196+H$211*H$213*H$226+H$240*H$242*H$255)/IF(H260&gt;0,H260,1)</f>
        <v>0</v>
      </c>
      <c r="I262" s="704"/>
      <c r="J262" s="704">
        <f>(J$37*J$39*J$52+J$65*J$67*J$80+J$93*J$95*J$108+J$121*J$123*J$136+J$149*J$151*J$164+J$181*J$183*J$196+J$211*J$213*J$226+J$240*J$242*J$255)/IF(J260&gt;0,J260,1)</f>
        <v>0</v>
      </c>
      <c r="K262" s="704"/>
      <c r="L262" s="704">
        <f>(L$37*L$39*L$52+L$65*L$67*L$80+L$93*L$95*L$108+L$121*L$123*L$136+L$149*L$151*L$164+L$181*L$183*L$196+L$211*L$213*L$226+L$240*L$242*L$255)/IF(L260&gt;0,L260,1)</f>
        <v>0</v>
      </c>
      <c r="M262" s="704"/>
      <c r="N262" s="704">
        <f>(N$37*N$39*N$52+N$65*N$67*N$80+N$93*N$95*N$108+N$121*N$123*N$136+N$149*N$151*N$164+N$181*N$183*N$196+N$211*N$213*N$226+N$240*N$242*N$255)/IF(N260&gt;0,N260,1)</f>
        <v>0</v>
      </c>
      <c r="O262" s="704"/>
      <c r="P262" s="704">
        <f>(P$37*P$39*P$52+P$65*P$67*P$80+P$93*P$95*P$108+P$121*P$123*P$136+P$149*P$151*P$164+P$181*P$183*P$196+P$211*P$213*P$226+P$240*P$242*P$255)/IF(P260&gt;0,P260,1)</f>
        <v>0</v>
      </c>
      <c r="Q262" s="704"/>
      <c r="R262" s="704">
        <f>(R$37*R$39*R$52+R$65*R$67*R$80+R$93*R$95*R$108+R$121*R$123*R$136+R$149*R$151*R$164+R$181*R$183*R$196+R$211*R$213*R$226+R$240*R$242*R$255)/IF(R260&gt;0,R260,1)</f>
        <v>0</v>
      </c>
      <c r="S262" s="704"/>
      <c r="T262" s="726">
        <f>Fjernvarme!J8</f>
        <v>0</v>
      </c>
      <c r="U262" s="645"/>
      <c r="V262" s="726">
        <f>Fjernvarme!L8</f>
        <v>0</v>
      </c>
      <c r="W262" s="645"/>
      <c r="X262" s="654"/>
    </row>
    <row r="263" spans="1:24" s="640" customFormat="1" x14ac:dyDescent="0.25">
      <c r="A263" s="631" t="s">
        <v>353</v>
      </c>
      <c r="B263" s="704">
        <f>(B$37*B$39*B$53+B$65*B$67*B$81+B$93*B$95*B$109+B$121*B$123*B$137+B$149*B$151*B$165+B$181*B$183*B$197+B$211*B$213*B$227+B$240*B$242*B$256)/IF(B260&gt;0,B260,1)</f>
        <v>0</v>
      </c>
      <c r="C263" s="704"/>
      <c r="D263" s="704">
        <f>(D$37*D$39*D$53+D$65*D$67*D$81+D$93*D$95*D$109+D$121*D$123*D$137+D$149*D$151*D$165+D$181*D$183*D$197+D$211*D$213*D$227+D$240*D$242*D$256)/IF(D260&gt;0,D260,1)</f>
        <v>0</v>
      </c>
      <c r="E263" s="704"/>
      <c r="F263" s="704">
        <f>(F$37*F$39*F$53+F$65*F$67*F$81+F$93*F$95*F$109+F$121*F$123*F$137+F$149*F$151*F$165+F$181*F$183*F$197+F$211*F$213*F$227+F$240*F$242*F$256)/IF(F260&gt;0,F260,1)</f>
        <v>0</v>
      </c>
      <c r="G263" s="704"/>
      <c r="H263" s="704">
        <f>(H$37*H$39*H$53+H$65*H$67*H$81+H$93*H$95*H$109+H$121*H$123*H$137+H$149*H$151*H$165+H$181*H$183*H$197+H$211*H$213*H$227+H$240*H$242*H$256)/IF(H260&gt;0,H260,1)</f>
        <v>0</v>
      </c>
      <c r="I263" s="704"/>
      <c r="J263" s="704">
        <f>(J$37*J$39*J$53+J$65*J$67*J$81+J$93*J$95*J$109+J$121*J$123*J$137+J$149*J$151*J$165+J$181*J$183*J$197+J$211*J$213*J$227+J$240*J$242*J$256)/IF(J260&gt;0,J260,1)</f>
        <v>0</v>
      </c>
      <c r="K263" s="704"/>
      <c r="L263" s="704">
        <f>(L$37*L$39*L$53+L$65*L$67*L$81+L$93*L$95*L$109+L$121*L$123*L$137+L$149*L$151*L$165+L$181*L$183*L$197+L$211*L$213*L$227+L$240*L$242*L$256)/IF(L260&gt;0,L260,1)</f>
        <v>0</v>
      </c>
      <c r="M263" s="704"/>
      <c r="N263" s="704">
        <f>(N$37*N$39*N$53+N$65*N$67*N$81+N$93*N$95*N$109+N$121*N$123*N$137+N$149*N$151*N$165+N$181*N$183*N$197+N$211*N$213*N$227+N$240*N$242*N$256)/IF(N260&gt;0,N260,1)</f>
        <v>0</v>
      </c>
      <c r="O263" s="704"/>
      <c r="P263" s="704">
        <f>(P$37*P$39*P$53+P$65*P$67*P$81+P$93*P$95*P$109+P$121*P$123*P$137+P$149*P$151*P$165+P$181*P$183*P$197+P$211*P$213*P$227+P$240*P$242*P$256)/IF(P260&gt;0,P260,1)</f>
        <v>0</v>
      </c>
      <c r="Q263" s="704"/>
      <c r="R263" s="704">
        <f>(R$37*R$39*R$53+R$65*R$67*R$81+R$93*R$95*R$109+R$121*R$123*R$137+R$149*R$151*R$165+R$181*R$183*R$197+R$211*R$213*R$227+R$240*R$242*R$256)/IF(R260&gt;0,R260,1)</f>
        <v>0</v>
      </c>
      <c r="S263" s="704"/>
      <c r="T263" s="726">
        <f>Fjernvarme!J9</f>
        <v>0</v>
      </c>
      <c r="U263" s="645"/>
      <c r="V263" s="726">
        <f>Fjernvarme!L9</f>
        <v>0</v>
      </c>
      <c r="W263" s="645"/>
      <c r="X263" s="654"/>
    </row>
    <row r="264" spans="1:24" s="640" customFormat="1" x14ac:dyDescent="0.25">
      <c r="A264" s="631" t="s">
        <v>354</v>
      </c>
      <c r="B264" s="704">
        <f>(B$37*B$39*B$54+B$65*B$67*B$82+B$93*B$95*B$110+B$121*B$123*B$138+B$149*B$151*B$166+B$181*B$183*B$198+B$211*B$213*B$228+B$240*B$242*B$257)/IF(B260&gt;0,B260,1)</f>
        <v>0</v>
      </c>
      <c r="C264" s="704"/>
      <c r="D264" s="704">
        <f>(D$37*D$39*D$54+D$65*D$67*D$82+D$93*D$95*D$110+D$121*D$123*D$138+D$149*D$151*D$166+D$181*D$183*D$198+D$211*D$213*D$228+D$240*D$242*D$257)/IF(D260&gt;0,D260,1)</f>
        <v>0</v>
      </c>
      <c r="E264" s="704"/>
      <c r="F264" s="704">
        <f>(F$37*F$39*F$54+F$65*F$67*F$82+F$93*F$95*F$110+F$121*F$123*F$138+F$149*F$151*F$166+F$181*F$183*F$198+F$211*F$213*F$228+F$240*F$242*F$257)/IF(F260&gt;0,F260,1)</f>
        <v>0</v>
      </c>
      <c r="G264" s="704"/>
      <c r="H264" s="704">
        <f>(H$37*H$39*H$54+H$65*H$67*H$82+H$93*H$95*H$110+H$121*H$123*H$138+H$149*H$151*H$166+H$181*H$183*H$198+H$211*H$213*H$228+H$240*H$242*H$257)/IF(H260&gt;0,H260,1)</f>
        <v>0</v>
      </c>
      <c r="I264" s="704"/>
      <c r="J264" s="704">
        <f>(J$37*J$39*J$54+J$65*J$67*J$82+J$93*J$95*J$110+J$121*J$123*J$138+J$149*J$151*J$166+J$181*J$183*J$198+J$211*J$213*J$228+J$240*J$242*J$257)/IF(J260&gt;0,J260,1)</f>
        <v>0</v>
      </c>
      <c r="K264" s="704"/>
      <c r="L264" s="704">
        <f>(L$37*L$39*L$54+L$65*L$67*L$82+L$93*L$95*L$110+L$121*L$123*L$138+L$149*L$151*L$166+L$181*L$183*L$198+L$211*L$213*L$228+L$240*L$242*L$257)/IF(L260&gt;0,L260,1)</f>
        <v>0</v>
      </c>
      <c r="M264" s="704"/>
      <c r="N264" s="704">
        <f>(N$37*N$39*N$54+N$65*N$67*N$82+N$93*N$95*N$110+N$121*N$123*N$138+N$149*N$151*N$166+N$181*N$183*N$198+N$211*N$213*N$228+N$240*N$242*N$257)/IF(N260&gt;0,N260,1)</f>
        <v>0</v>
      </c>
      <c r="O264" s="704"/>
      <c r="P264" s="704">
        <f>(P$37*P$39*P$54+P$65*P$67*P$82+P$93*P$95*P$110+P$121*P$123*P$138+P$149*P$151*P$166+P$181*P$183*P$198+P$211*P$213*P$228+P$240*P$242*P$257)/IF(P260&gt;0,P260,1)</f>
        <v>0</v>
      </c>
      <c r="Q264" s="704"/>
      <c r="R264" s="704">
        <f>(R$37*R$39*R$54+R$65*R$67*R$82+R$93*R$95*R$110+R$121*R$123*R$138+R$149*R$151*R$166+R$181*R$183*R$198+R$211*R$213*R$228+R$240*R$242*R$257)/IF(R260&gt;0,R260,1)</f>
        <v>0</v>
      </c>
      <c r="S264" s="704"/>
      <c r="T264" s="726">
        <f>Fjernvarme!J10</f>
        <v>0</v>
      </c>
      <c r="U264" s="645"/>
      <c r="V264" s="726">
        <f>Fjernvarme!L10</f>
        <v>0</v>
      </c>
      <c r="W264" s="645"/>
      <c r="X264" s="654"/>
    </row>
    <row r="265" spans="1:24" s="640" customFormat="1" x14ac:dyDescent="0.25">
      <c r="A265" s="631" t="s">
        <v>199</v>
      </c>
      <c r="B265" s="704">
        <f>(B$37*B$39*B$55+B$65*B$67*B$83+B$93*B$95*B$111+B$121*B$123*B$139+B$149*B$151*B$167+B$181*B$183*B$199+B$211*B$213*B$229+B$240*B$242*B$258)/IF(B260&gt;0,B260,1)</f>
        <v>0.81422293248102284</v>
      </c>
      <c r="C265" s="704"/>
      <c r="D265" s="704">
        <f>(D$37*D$39*D$55+D$65*D$67*D$83+D$93*D$95*D$111+D$121*D$123*D$139+D$149*D$151*D$167+D$181*D$183*D$199+D$211*D$213*D$229+D$240*D$242*D$258)/IF(D260&gt;0,D260,1)</f>
        <v>0.80201498808706628</v>
      </c>
      <c r="E265" s="704"/>
      <c r="F265" s="704">
        <f>(F$37*F$39*F$55+F$65*F$67*F$83+F$93*F$95*F$111+F$121*F$123*F$139+F$149*F$151*F$167+F$181*F$183*F$199+F$211*F$213*F$229+F$240*F$242*F$258)/IF(F260&gt;0,F260,1)</f>
        <v>0.82968314293276568</v>
      </c>
      <c r="G265" s="704"/>
      <c r="H265" s="704">
        <f>(H$37*H$39*H$55+H$65*H$67*H$83+H$93*H$95*H$111+H$121*H$123*H$139+H$149*H$151*H$167+H$181*H$183*H$199+H$211*H$213*H$229+H$240*H$242*H$258)/IF(H260&gt;0,H260,1)</f>
        <v>0.84029857568292787</v>
      </c>
      <c r="I265" s="704"/>
      <c r="J265" s="704">
        <f>(J$37*J$39*J$55+J$65*J$67*J$83+J$93*J$95*J$111+J$121*J$123*J$139+J$149*J$151*J$167+J$181*J$183*J$199+J$211*J$213*J$229+J$240*J$242*J$258)/IF(J260&gt;0,J260,1)</f>
        <v>0.84428002689278991</v>
      </c>
      <c r="K265" s="704"/>
      <c r="L265" s="704">
        <f>(L$37*L$39*L$55+L$65*L$67*L$83+L$93*L$95*L$111+L$121*L$123*L$139+L$149*L$151*L$167+L$181*L$183*L$199+L$211*L$213*L$229+L$240*L$242*L$258)/IF(L260&gt;0,L260,1)</f>
        <v>0.84952884213808333</v>
      </c>
      <c r="M265" s="704"/>
      <c r="N265" s="704">
        <f>(N$37*N$39*N$55+N$65*N$67*N$83+N$93*N$95*N$111+N$121*N$123*N$139+N$149*N$151*N$167+N$181*N$183*N$199+N$211*N$213*N$229+N$240*N$242*N$258)/IF(N260&gt;0,N260,1)</f>
        <v>0.80918601530058065</v>
      </c>
      <c r="O265" s="704"/>
      <c r="P265" s="704">
        <f>(P$37*P$39*P$55+P$65*P$67*P$83+P$93*P$95*P$111+P$121*P$123*P$139+P$149*P$151*P$167+P$181*P$183*P$199+P$211*P$213*P$229+P$240*P$242*P$258)/IF(P260&gt;0,P260,1)</f>
        <v>0.81418118308542342</v>
      </c>
      <c r="Q265" s="704"/>
      <c r="R265" s="704">
        <f>(R$37*R$39*R$55+R$65*R$67*R$83+R$93*R$95*R$111+R$121*R$123*R$139+R$149*R$151*R$167+R$181*R$183*R$199+R$211*R$213*R$229+R$240*R$242*R$258)/IF(R260&gt;0,R260,1)</f>
        <v>0.81418118308542342</v>
      </c>
      <c r="S265" s="704"/>
      <c r="T265" s="726">
        <f>Fjernvarme!J11</f>
        <v>0.81422293248102273</v>
      </c>
      <c r="U265" s="645"/>
      <c r="V265" s="726">
        <f>Fjernvarme!L11</f>
        <v>0.81422293248102273</v>
      </c>
      <c r="W265" s="645"/>
      <c r="X265" s="654"/>
    </row>
    <row r="266" spans="1:24" s="640" customFormat="1" x14ac:dyDescent="0.25">
      <c r="A266" s="631" t="s">
        <v>493</v>
      </c>
      <c r="B266" s="704">
        <f>(B$37*B$39*B$56+B$65*B$67*B$84+B$93*B$95*B$112+B$121*B$123*B$140+B$149*B$151*B$168+B$181*B$183*B$200+B$211*B$213*B$230+B$240*B$242*B$259)/IF(B260&gt;0,B260,1)</f>
        <v>0.18577706751897727</v>
      </c>
      <c r="C266" s="704"/>
      <c r="D266" s="704">
        <f>(D$37*D$39*D$56+D$65*D$67*D$84+D$93*D$95*D$112+D$121*D$123*D$140+D$149*D$151*D$168+D$181*D$183*D$200+D$211*D$213*D$230+D$240*D$242*D$259)/IF(D260&gt;0,D260,1)</f>
        <v>0.19798501191293399</v>
      </c>
      <c r="E266" s="704"/>
      <c r="F266" s="704">
        <f>(F$37*F$39*F$56+F$65*F$67*F$84+F$93*F$95*F$112+F$121*F$123*F$140+F$149*F$151*F$168+F$181*F$183*F$200+F$211*F$213*F$230+F$240*F$242*F$259)/IF(F260&gt;0,F260,1)</f>
        <v>0.17031685706723423</v>
      </c>
      <c r="G266" s="704"/>
      <c r="H266" s="704">
        <f>(H$37*H$39*H$56+H$65*H$67*H$84+H$93*H$95*H$112+H$121*H$123*H$140+H$149*H$151*H$168+H$181*H$183*H$200+H$211*H$213*H$230+H$240*H$242*H$259)/IF(H260&gt;0,H260,1)</f>
        <v>0.1597014243170721</v>
      </c>
      <c r="I266" s="704"/>
      <c r="J266" s="704">
        <f>(J$37*J$39*J$56+J$65*J$67*J$84+J$93*J$95*J$112+J$121*J$123*J$140+J$149*J$151*J$168+J$181*J$183*J$200+J$211*J$213*J$230+J$240*J$242*J$259)/IF(J260&gt;0,J260,1)</f>
        <v>0.15571997310721003</v>
      </c>
      <c r="K266" s="704"/>
      <c r="L266" s="704">
        <f>(L$37*L$39*L$56+L$65*L$67*L$84+L$93*L$95*L$112+L$121*L$123*L$140+L$149*L$151*L$168+L$181*L$183*L$200+L$211*L$213*L$230+L$240*L$242*L$259)/IF(L260&gt;0,L260,1)</f>
        <v>0.15047115786191656</v>
      </c>
      <c r="M266" s="704"/>
      <c r="N266" s="704">
        <f>(N$37*N$39*N$56+N$65*N$67*N$84+N$93*N$95*N$112+N$121*N$123*N$140+N$149*N$151*N$168+N$181*N$183*N$200+N$211*N$213*N$230+N$240*N$242*N$259)/IF(N260&gt;0,N260,1)</f>
        <v>0.19081398469941935</v>
      </c>
      <c r="O266" s="704"/>
      <c r="P266" s="704">
        <f>(P$37*P$39*P$56+P$65*P$67*P$84+P$93*P$95*P$112+P$121*P$123*P$140+P$149*P$151*P$168+P$181*P$183*P$200+P$211*P$213*P$230+P$240*P$242*P$259)/IF(P260&gt;0,P260,1)</f>
        <v>0.18581881691457663</v>
      </c>
      <c r="Q266" s="704"/>
      <c r="R266" s="704">
        <f>(R$37*R$39*R$56+R$65*R$67*R$84+R$93*R$95*R$112+R$121*R$123*R$140+R$149*R$151*R$168+R$181*R$183*R$200+R$211*R$213*R$230+R$240*R$242*R$259)/IF(R260&gt;0,R260,1)</f>
        <v>0.18581881691457663</v>
      </c>
      <c r="S266" s="704"/>
      <c r="T266" s="726">
        <f>Fjernvarme!J12</f>
        <v>0.18577706751897727</v>
      </c>
      <c r="U266" s="645"/>
      <c r="V266" s="726">
        <f>Fjernvarme!L12</f>
        <v>0.18577706751897727</v>
      </c>
      <c r="W266" s="645"/>
      <c r="X266" s="654"/>
    </row>
    <row r="267" spans="1:24" x14ac:dyDescent="0.25">
      <c r="A267" s="729" t="s">
        <v>500</v>
      </c>
      <c r="B267" s="730"/>
      <c r="C267" s="730"/>
      <c r="D267" s="730"/>
      <c r="E267" s="730"/>
      <c r="F267" s="730"/>
      <c r="G267" s="730"/>
      <c r="H267" s="730"/>
      <c r="I267" s="730"/>
      <c r="J267" s="730"/>
      <c r="K267" s="730"/>
      <c r="L267" s="730"/>
      <c r="M267" s="730"/>
      <c r="N267" s="730"/>
      <c r="O267" s="730"/>
      <c r="P267" s="730"/>
      <c r="Q267" s="730"/>
      <c r="R267" s="730"/>
      <c r="S267" s="730"/>
      <c r="T267" s="730"/>
      <c r="U267" s="645"/>
      <c r="V267" s="730"/>
      <c r="W267" s="645"/>
      <c r="X267" s="604"/>
    </row>
    <row r="268" spans="1:24" x14ac:dyDescent="0.25">
      <c r="A268" s="729" t="s">
        <v>351</v>
      </c>
      <c r="B268" s="731">
        <f t="shared" ref="B268:B273" si="61">B$260*B261</f>
        <v>0</v>
      </c>
      <c r="C268" s="731"/>
      <c r="D268" s="731">
        <f t="shared" ref="D268:D273" si="62">D$260*D261</f>
        <v>0</v>
      </c>
      <c r="E268" s="731"/>
      <c r="F268" s="731">
        <f t="shared" ref="F268:F273" si="63">F$260*F261</f>
        <v>0</v>
      </c>
      <c r="G268" s="731"/>
      <c r="H268" s="731">
        <f t="shared" ref="H268:H273" si="64">H$260*H261</f>
        <v>0</v>
      </c>
      <c r="I268" s="731"/>
      <c r="J268" s="731">
        <f t="shared" ref="J268:J273" si="65">J$260*J261</f>
        <v>0</v>
      </c>
      <c r="K268" s="731"/>
      <c r="L268" s="731">
        <f t="shared" ref="L268:L273" si="66">L$260*L261</f>
        <v>0</v>
      </c>
      <c r="M268" s="731"/>
      <c r="N268" s="731">
        <f t="shared" ref="N268:N273" si="67">N$260*N261</f>
        <v>0</v>
      </c>
      <c r="O268" s="731"/>
      <c r="P268" s="731">
        <f t="shared" ref="P268:P273" si="68">P$260*P261</f>
        <v>0</v>
      </c>
      <c r="Q268" s="731"/>
      <c r="R268" s="731">
        <f t="shared" ref="R268:R273" si="69">R$260*R261</f>
        <v>0</v>
      </c>
      <c r="S268" s="731"/>
      <c r="T268" s="731">
        <f t="shared" ref="T268:T273" si="70">T$260*T261</f>
        <v>0</v>
      </c>
      <c r="U268" s="651"/>
      <c r="V268" s="731">
        <f t="shared" ref="V268:V273" si="71">V$260*V261</f>
        <v>0</v>
      </c>
      <c r="W268" s="651"/>
      <c r="X268" s="604"/>
    </row>
    <row r="269" spans="1:24" x14ac:dyDescent="0.25">
      <c r="A269" s="729" t="s">
        <v>352</v>
      </c>
      <c r="B269" s="731">
        <f t="shared" si="61"/>
        <v>0</v>
      </c>
      <c r="C269" s="731"/>
      <c r="D269" s="731">
        <f t="shared" si="62"/>
        <v>0</v>
      </c>
      <c r="E269" s="731"/>
      <c r="F269" s="731">
        <f t="shared" si="63"/>
        <v>0</v>
      </c>
      <c r="G269" s="731"/>
      <c r="H269" s="731">
        <f t="shared" si="64"/>
        <v>0</v>
      </c>
      <c r="I269" s="731"/>
      <c r="J269" s="731">
        <f t="shared" si="65"/>
        <v>0</v>
      </c>
      <c r="K269" s="731"/>
      <c r="L269" s="731">
        <f t="shared" si="66"/>
        <v>0</v>
      </c>
      <c r="M269" s="731"/>
      <c r="N269" s="731">
        <f t="shared" si="67"/>
        <v>0</v>
      </c>
      <c r="O269" s="731"/>
      <c r="P269" s="731">
        <f t="shared" si="68"/>
        <v>0</v>
      </c>
      <c r="Q269" s="731"/>
      <c r="R269" s="731">
        <f t="shared" si="69"/>
        <v>0</v>
      </c>
      <c r="S269" s="731"/>
      <c r="T269" s="731">
        <f t="shared" si="70"/>
        <v>0</v>
      </c>
      <c r="U269" s="651"/>
      <c r="V269" s="731">
        <f t="shared" si="71"/>
        <v>0</v>
      </c>
      <c r="W269" s="651"/>
      <c r="X269" s="604"/>
    </row>
    <row r="270" spans="1:24" x14ac:dyDescent="0.25">
      <c r="A270" s="729" t="s">
        <v>353</v>
      </c>
      <c r="B270" s="731">
        <f t="shared" si="61"/>
        <v>0</v>
      </c>
      <c r="C270" s="731"/>
      <c r="D270" s="731">
        <f t="shared" si="62"/>
        <v>0</v>
      </c>
      <c r="E270" s="731"/>
      <c r="F270" s="731">
        <f t="shared" si="63"/>
        <v>0</v>
      </c>
      <c r="G270" s="731"/>
      <c r="H270" s="731">
        <f t="shared" si="64"/>
        <v>0</v>
      </c>
      <c r="I270" s="731"/>
      <c r="J270" s="731">
        <f t="shared" si="65"/>
        <v>0</v>
      </c>
      <c r="K270" s="731"/>
      <c r="L270" s="731">
        <f t="shared" si="66"/>
        <v>0</v>
      </c>
      <c r="M270" s="731"/>
      <c r="N270" s="731">
        <f t="shared" si="67"/>
        <v>0</v>
      </c>
      <c r="O270" s="731"/>
      <c r="P270" s="731">
        <f t="shared" si="68"/>
        <v>0</v>
      </c>
      <c r="Q270" s="731"/>
      <c r="R270" s="731">
        <f t="shared" si="69"/>
        <v>0</v>
      </c>
      <c r="S270" s="731"/>
      <c r="T270" s="731">
        <f t="shared" si="70"/>
        <v>0</v>
      </c>
      <c r="U270" s="651"/>
      <c r="V270" s="731">
        <f t="shared" si="71"/>
        <v>0</v>
      </c>
      <c r="W270" s="651"/>
      <c r="X270" s="604"/>
    </row>
    <row r="271" spans="1:24" x14ac:dyDescent="0.25">
      <c r="A271" s="729" t="s">
        <v>354</v>
      </c>
      <c r="B271" s="731">
        <f t="shared" si="61"/>
        <v>0</v>
      </c>
      <c r="C271" s="731"/>
      <c r="D271" s="731">
        <f t="shared" si="62"/>
        <v>0</v>
      </c>
      <c r="E271" s="731"/>
      <c r="F271" s="731">
        <f t="shared" si="63"/>
        <v>0</v>
      </c>
      <c r="G271" s="731"/>
      <c r="H271" s="731">
        <f t="shared" si="64"/>
        <v>0</v>
      </c>
      <c r="I271" s="731"/>
      <c r="J271" s="731">
        <f t="shared" si="65"/>
        <v>0</v>
      </c>
      <c r="K271" s="731"/>
      <c r="L271" s="731">
        <f t="shared" si="66"/>
        <v>0</v>
      </c>
      <c r="M271" s="731"/>
      <c r="N271" s="731">
        <f t="shared" si="67"/>
        <v>0</v>
      </c>
      <c r="O271" s="731"/>
      <c r="P271" s="731">
        <f t="shared" si="68"/>
        <v>0</v>
      </c>
      <c r="Q271" s="731"/>
      <c r="R271" s="731">
        <f t="shared" si="69"/>
        <v>0</v>
      </c>
      <c r="S271" s="731"/>
      <c r="T271" s="731">
        <f t="shared" si="70"/>
        <v>0</v>
      </c>
      <c r="U271" s="651"/>
      <c r="V271" s="731">
        <f t="shared" si="71"/>
        <v>0</v>
      </c>
      <c r="W271" s="651"/>
      <c r="X271" s="604"/>
    </row>
    <row r="272" spans="1:24" x14ac:dyDescent="0.25">
      <c r="A272" s="729" t="s">
        <v>199</v>
      </c>
      <c r="B272" s="731">
        <f t="shared" si="61"/>
        <v>1296.7383139199999</v>
      </c>
      <c r="C272" s="731"/>
      <c r="D272" s="731">
        <f t="shared" si="62"/>
        <v>1273.9335021761606</v>
      </c>
      <c r="E272" s="731"/>
      <c r="F272" s="731">
        <f t="shared" si="63"/>
        <v>1501.8572875532802</v>
      </c>
      <c r="G272" s="731"/>
      <c r="H272" s="731">
        <f t="shared" si="64"/>
        <v>1652.1924155520001</v>
      </c>
      <c r="I272" s="731"/>
      <c r="J272" s="731">
        <f t="shared" si="65"/>
        <v>1483.7809583199999</v>
      </c>
      <c r="K272" s="731"/>
      <c r="L272" s="731">
        <f t="shared" si="66"/>
        <v>1384.6560565117286</v>
      </c>
      <c r="M272" s="731"/>
      <c r="N272" s="731">
        <f t="shared" si="67"/>
        <v>1275.2174869073642</v>
      </c>
      <c r="O272" s="731"/>
      <c r="P272" s="731">
        <f t="shared" si="68"/>
        <v>1296.3804898799999</v>
      </c>
      <c r="Q272" s="731"/>
      <c r="R272" s="731">
        <f t="shared" si="69"/>
        <v>1296.3804898799999</v>
      </c>
      <c r="S272" s="731"/>
      <c r="T272" s="731">
        <f t="shared" si="70"/>
        <v>1296.4469653808387</v>
      </c>
      <c r="U272" s="651"/>
      <c r="V272" s="731">
        <f t="shared" si="71"/>
        <v>1263.0326975125768</v>
      </c>
      <c r="W272" s="651"/>
      <c r="X272" s="604"/>
    </row>
    <row r="273" spans="1:24" x14ac:dyDescent="0.25">
      <c r="A273" s="729" t="s">
        <v>493</v>
      </c>
      <c r="B273" s="731">
        <f t="shared" si="61"/>
        <v>295.87012560000005</v>
      </c>
      <c r="C273" s="731"/>
      <c r="D273" s="731">
        <f t="shared" si="62"/>
        <v>314.48257619999998</v>
      </c>
      <c r="E273" s="731"/>
      <c r="F273" s="731">
        <f t="shared" si="63"/>
        <v>308.30036159999997</v>
      </c>
      <c r="G273" s="731"/>
      <c r="H273" s="731">
        <f t="shared" si="64"/>
        <v>314.00443800000005</v>
      </c>
      <c r="I273" s="731"/>
      <c r="J273" s="731">
        <f t="shared" si="65"/>
        <v>273.67025580000001</v>
      </c>
      <c r="K273" s="731"/>
      <c r="L273" s="731">
        <f t="shared" si="66"/>
        <v>245.25453372420003</v>
      </c>
      <c r="M273" s="731"/>
      <c r="N273" s="731">
        <f t="shared" si="67"/>
        <v>300.70876836000008</v>
      </c>
      <c r="O273" s="731"/>
      <c r="P273" s="731">
        <f t="shared" si="68"/>
        <v>295.87012560000005</v>
      </c>
      <c r="Q273" s="731"/>
      <c r="R273" s="731">
        <f t="shared" si="69"/>
        <v>295.87012560000005</v>
      </c>
      <c r="S273" s="731"/>
      <c r="T273" s="731">
        <f t="shared" si="70"/>
        <v>295.80365009916102</v>
      </c>
      <c r="U273" s="651"/>
      <c r="V273" s="731">
        <f t="shared" si="71"/>
        <v>288.1796880978157</v>
      </c>
      <c r="W273" s="651"/>
      <c r="X273" s="604"/>
    </row>
    <row r="274" spans="1:24" x14ac:dyDescent="0.25">
      <c r="A274" s="629" t="s">
        <v>509</v>
      </c>
      <c r="B274" s="645"/>
      <c r="C274" s="645"/>
      <c r="D274" s="645"/>
      <c r="E274" s="645"/>
      <c r="F274" s="645"/>
      <c r="G274" s="645"/>
      <c r="H274" s="645"/>
      <c r="I274" s="645"/>
      <c r="J274" s="645"/>
      <c r="K274" s="645"/>
      <c r="L274" s="645"/>
      <c r="M274" s="645"/>
      <c r="N274" s="645"/>
      <c r="O274" s="645"/>
      <c r="P274" s="645"/>
      <c r="Q274" s="645"/>
      <c r="R274" s="645"/>
      <c r="S274" s="645"/>
      <c r="T274" s="645"/>
      <c r="U274" s="645"/>
      <c r="V274" s="645"/>
      <c r="W274" s="645"/>
      <c r="X274" s="604"/>
    </row>
    <row r="275" spans="1:24" x14ac:dyDescent="0.25">
      <c r="A275" s="633" t="s">
        <v>510</v>
      </c>
      <c r="B275" s="732">
        <f>' Plan Energi 2030-S'!AD53</f>
        <v>0</v>
      </c>
      <c r="C275" s="732"/>
      <c r="D275" s="732">
        <f>' Plan Energi 2006'!AD53</f>
        <v>2.8519999999999999</v>
      </c>
      <c r="E275" s="732"/>
      <c r="F275" s="732">
        <f>' Plan Energi 2008'!AD53</f>
        <v>0.82911503999999991</v>
      </c>
      <c r="G275" s="650">
        <f t="shared" ref="G275:Q282" si="72">(F275-D275)/IF(D275&gt;0,D275,1)/(F$1-D$1)</f>
        <v>-0.35464322580645158</v>
      </c>
      <c r="H275" s="732">
        <f>' Plan Energi 2009'!AD53</f>
        <v>2.3220000000000001</v>
      </c>
      <c r="I275" s="650">
        <f t="shared" si="72"/>
        <v>1.8005763832242148</v>
      </c>
      <c r="J275" s="732">
        <f>' Plan Energi 2011'!AD53</f>
        <v>2.7692000000000001</v>
      </c>
      <c r="K275" s="650">
        <f t="shared" si="72"/>
        <v>9.6296296296296297E-2</v>
      </c>
      <c r="L275" s="732">
        <f>' Plan Energi 2013'!AD53</f>
        <v>0.90300000000000014</v>
      </c>
      <c r="M275" s="650">
        <f t="shared" si="72"/>
        <v>-0.33695652173913043</v>
      </c>
      <c r="N275" s="732">
        <f>' Plan Energi 2015'!AD53</f>
        <v>0</v>
      </c>
      <c r="O275" s="650">
        <f t="shared" si="72"/>
        <v>-0.5</v>
      </c>
      <c r="P275" s="732">
        <f>' Plan Energi 2017'!AD53</f>
        <v>0</v>
      </c>
      <c r="Q275" s="650">
        <f t="shared" si="72"/>
        <v>0</v>
      </c>
      <c r="R275" s="732">
        <f>' Plan Energi 2019'!AD53</f>
        <v>0</v>
      </c>
      <c r="S275" s="650">
        <f t="shared" ref="S275:S282" si="73">(R275-P275)/IF(P275&gt;0,P275,1)/IF(R$1-P$1&gt;0,R$1-P$1,1)</f>
        <v>0</v>
      </c>
      <c r="T275" s="649">
        <f>Elproduktion!R8</f>
        <v>0</v>
      </c>
      <c r="U275" s="724">
        <f>Elproduktion!S8</f>
        <v>0</v>
      </c>
      <c r="V275" s="649">
        <f>Elproduktion!T8</f>
        <v>0</v>
      </c>
      <c r="W275" s="725">
        <f>Elproduktion!U8</f>
        <v>0</v>
      </c>
      <c r="X275" s="604"/>
    </row>
    <row r="276" spans="1:24" x14ac:dyDescent="0.25">
      <c r="A276" s="629" t="s">
        <v>511</v>
      </c>
      <c r="B276" s="732">
        <f>' Plan Energi 2030-S'!AD30</f>
        <v>0</v>
      </c>
      <c r="C276" s="732"/>
      <c r="D276" s="732">
        <f>' Plan Energi 2006'!AD30</f>
        <v>0</v>
      </c>
      <c r="E276" s="732"/>
      <c r="F276" s="732">
        <f>' Plan Energi 2008'!AD30</f>
        <v>0</v>
      </c>
      <c r="G276" s="650">
        <f t="shared" si="72"/>
        <v>0</v>
      </c>
      <c r="H276" s="732">
        <f>' Plan Energi 2009'!AD30</f>
        <v>0</v>
      </c>
      <c r="I276" s="650">
        <f t="shared" si="72"/>
        <v>0</v>
      </c>
      <c r="J276" s="732">
        <f>' Plan Energi 2011'!AD30</f>
        <v>0</v>
      </c>
      <c r="K276" s="650">
        <f t="shared" si="72"/>
        <v>0</v>
      </c>
      <c r="L276" s="732">
        <f>' Plan Energi 2013'!AD30</f>
        <v>0</v>
      </c>
      <c r="M276" s="650">
        <f t="shared" si="72"/>
        <v>0</v>
      </c>
      <c r="N276" s="732">
        <f>' Plan Energi 2015'!AD30</f>
        <v>0</v>
      </c>
      <c r="O276" s="650">
        <f t="shared" si="72"/>
        <v>0</v>
      </c>
      <c r="P276" s="732">
        <f>' Plan Energi 2017'!AD30</f>
        <v>0</v>
      </c>
      <c r="Q276" s="650">
        <f t="shared" si="72"/>
        <v>0</v>
      </c>
      <c r="R276" s="732">
        <f>' Plan Energi 2019'!AD30</f>
        <v>0</v>
      </c>
      <c r="S276" s="650">
        <f t="shared" si="73"/>
        <v>0</v>
      </c>
      <c r="T276" s="649">
        <f>Elproduktion!R9</f>
        <v>0</v>
      </c>
      <c r="U276" s="724">
        <f>Elproduktion!S9</f>
        <v>0</v>
      </c>
      <c r="V276" s="649">
        <f>Elproduktion!T9</f>
        <v>0</v>
      </c>
      <c r="W276" s="725">
        <f>Elproduktion!U9</f>
        <v>0</v>
      </c>
      <c r="X276" s="604"/>
    </row>
    <row r="277" spans="1:24" x14ac:dyDescent="0.25">
      <c r="A277" s="629" t="s">
        <v>512</v>
      </c>
      <c r="B277" s="732">
        <f>' Plan Energi 2030-S'!AD27</f>
        <v>14.16</v>
      </c>
      <c r="C277" s="732"/>
      <c r="D277" s="732">
        <f>' Plan Energi 2006'!AD27</f>
        <v>13.507999999999999</v>
      </c>
      <c r="E277" s="732"/>
      <c r="F277" s="732">
        <f>' Plan Energi 2008'!AD27</f>
        <v>16.11</v>
      </c>
      <c r="G277" s="650">
        <f t="shared" si="72"/>
        <v>9.6313295824696499E-2</v>
      </c>
      <c r="H277" s="732">
        <f>' Plan Energi 2009'!AD27</f>
        <v>25</v>
      </c>
      <c r="I277" s="650">
        <f t="shared" si="72"/>
        <v>0.55183116076970828</v>
      </c>
      <c r="J277" s="732">
        <f>' Plan Energi 2011'!AD27</f>
        <v>35</v>
      </c>
      <c r="K277" s="650">
        <f t="shared" si="72"/>
        <v>0.2</v>
      </c>
      <c r="L277" s="732">
        <f>' Plan Energi 2013'!AD27</f>
        <v>50</v>
      </c>
      <c r="M277" s="650">
        <f t="shared" si="72"/>
        <v>0.21428571428571427</v>
      </c>
      <c r="N277" s="732">
        <f>' Plan Energi 2015'!AD27</f>
        <v>70</v>
      </c>
      <c r="O277" s="650">
        <f t="shared" si="72"/>
        <v>0.2</v>
      </c>
      <c r="P277" s="732">
        <f>' Plan Energi 2017'!AD27</f>
        <v>80</v>
      </c>
      <c r="Q277" s="650">
        <f t="shared" si="72"/>
        <v>7.1428571428571425E-2</v>
      </c>
      <c r="R277" s="732">
        <f>' Plan Energi 2019'!AD27</f>
        <v>80</v>
      </c>
      <c r="S277" s="650">
        <f t="shared" si="73"/>
        <v>0</v>
      </c>
      <c r="T277" s="649">
        <f>Elproduktion!R10</f>
        <v>80</v>
      </c>
      <c r="U277" s="724">
        <f>Elproduktion!S10</f>
        <v>0</v>
      </c>
      <c r="V277" s="649">
        <f>Elproduktion!T10</f>
        <v>205.40171410137933</v>
      </c>
      <c r="W277" s="725">
        <f>Elproduktion!U10</f>
        <v>7.5229281216496524E-2</v>
      </c>
      <c r="X277" s="604"/>
    </row>
    <row r="278" spans="1:24" x14ac:dyDescent="0.25">
      <c r="A278" s="629" t="s">
        <v>513</v>
      </c>
      <c r="B278" s="732">
        <f>' Plan Energi 2030-S'!AD28</f>
        <v>0</v>
      </c>
      <c r="C278" s="732"/>
      <c r="D278" s="732">
        <f>' Plan Energi 2006'!AD28</f>
        <v>0</v>
      </c>
      <c r="E278" s="732"/>
      <c r="F278" s="732">
        <f>' Plan Energi 2008'!AD28</f>
        <v>0</v>
      </c>
      <c r="G278" s="650">
        <f t="shared" si="72"/>
        <v>0</v>
      </c>
      <c r="H278" s="732">
        <f>' Plan Energi 2009'!AD28</f>
        <v>0</v>
      </c>
      <c r="I278" s="650">
        <f t="shared" si="72"/>
        <v>0</v>
      </c>
      <c r="J278" s="732">
        <f>' Plan Energi 2011'!AD28</f>
        <v>0</v>
      </c>
      <c r="K278" s="650">
        <f t="shared" si="72"/>
        <v>0</v>
      </c>
      <c r="L278" s="732">
        <f>' Plan Energi 2013'!AD28</f>
        <v>0</v>
      </c>
      <c r="M278" s="650">
        <f t="shared" si="72"/>
        <v>0</v>
      </c>
      <c r="N278" s="732">
        <f>' Plan Energi 2015'!AD28</f>
        <v>0</v>
      </c>
      <c r="O278" s="650">
        <f t="shared" si="72"/>
        <v>0</v>
      </c>
      <c r="P278" s="732">
        <f>' Plan Energi 2017'!AD28</f>
        <v>0</v>
      </c>
      <c r="Q278" s="650">
        <f t="shared" si="72"/>
        <v>0</v>
      </c>
      <c r="R278" s="732">
        <f>' Plan Energi 2019'!AD28</f>
        <v>0</v>
      </c>
      <c r="S278" s="650">
        <f t="shared" si="73"/>
        <v>0</v>
      </c>
      <c r="T278" s="649">
        <f>Elproduktion!R11</f>
        <v>0</v>
      </c>
      <c r="U278" s="724">
        <f>Elproduktion!S11</f>
        <v>0</v>
      </c>
      <c r="V278" s="649">
        <f>Elproduktion!T11</f>
        <v>0</v>
      </c>
      <c r="W278" s="725">
        <f>Elproduktion!U11</f>
        <v>7.5229281216496524E-2</v>
      </c>
      <c r="X278" s="604"/>
    </row>
    <row r="279" spans="1:24" x14ac:dyDescent="0.25">
      <c r="A279" s="629" t="s">
        <v>514</v>
      </c>
      <c r="B279" s="732">
        <f>' Plan Energi 2030-S'!AD26</f>
        <v>18.670000000000002</v>
      </c>
      <c r="C279" s="732"/>
      <c r="D279" s="732">
        <f>' Plan Energi 2006'!AD26</f>
        <v>0</v>
      </c>
      <c r="E279" s="732"/>
      <c r="F279" s="732">
        <f>' Plan Energi 2008'!AD26</f>
        <v>0</v>
      </c>
      <c r="G279" s="650">
        <f t="shared" si="72"/>
        <v>0</v>
      </c>
      <c r="H279" s="732">
        <f>' Plan Energi 2009'!AD26</f>
        <v>0</v>
      </c>
      <c r="I279" s="650">
        <f t="shared" si="72"/>
        <v>0</v>
      </c>
      <c r="J279" s="732">
        <f>' Plan Energi 2011'!AD26</f>
        <v>0.1</v>
      </c>
      <c r="K279" s="650">
        <f t="shared" si="72"/>
        <v>0.05</v>
      </c>
      <c r="L279" s="732">
        <f>' Plan Energi 2013'!AD26</f>
        <v>15.6</v>
      </c>
      <c r="M279" s="650">
        <f t="shared" si="72"/>
        <v>77.5</v>
      </c>
      <c r="N279" s="732">
        <f>' Plan Energi 2015'!AD26</f>
        <v>24.9</v>
      </c>
      <c r="O279" s="650">
        <f t="shared" si="72"/>
        <v>0.29807692307692307</v>
      </c>
      <c r="P279" s="732">
        <f>' Plan Energi 2017'!AD26</f>
        <v>18.670000000000002</v>
      </c>
      <c r="Q279" s="650">
        <f t="shared" si="72"/>
        <v>-0.12510040160642566</v>
      </c>
      <c r="R279" s="732">
        <f>' Plan Energi 2019'!AD26</f>
        <v>18.670000000000002</v>
      </c>
      <c r="S279" s="650">
        <f t="shared" si="73"/>
        <v>0</v>
      </c>
      <c r="T279" s="649">
        <f>Elproduktion!R12</f>
        <v>18.670000000000002</v>
      </c>
      <c r="U279" s="724">
        <f>Elproduktion!S12</f>
        <v>0</v>
      </c>
      <c r="V279" s="649">
        <f>Elproduktion!T12</f>
        <v>157.22073706279593</v>
      </c>
      <c r="W279" s="725">
        <f>Elproduktion!U12</f>
        <v>0.17809947460285969</v>
      </c>
      <c r="X279" s="604"/>
    </row>
    <row r="280" spans="1:24" x14ac:dyDescent="0.25">
      <c r="A280" s="629" t="s">
        <v>515</v>
      </c>
      <c r="B280" s="732">
        <f>' Plan Energi 2030-S'!AD29</f>
        <v>0</v>
      </c>
      <c r="C280" s="732"/>
      <c r="D280" s="732">
        <f>' Plan Energi 2006'!AD29</f>
        <v>0</v>
      </c>
      <c r="E280" s="732"/>
      <c r="F280" s="732">
        <f>' Plan Energi 2008'!AD29</f>
        <v>0</v>
      </c>
      <c r="G280" s="650">
        <f t="shared" si="72"/>
        <v>0</v>
      </c>
      <c r="H280" s="732">
        <f>' Plan Energi 2009'!AD29</f>
        <v>64.093484992816258</v>
      </c>
      <c r="I280" s="650">
        <f t="shared" si="72"/>
        <v>64.093484992816258</v>
      </c>
      <c r="J280" s="732">
        <f>' Plan Energi 2011'!AD29</f>
        <v>0</v>
      </c>
      <c r="K280" s="650">
        <f t="shared" si="72"/>
        <v>-0.5</v>
      </c>
      <c r="L280" s="732">
        <f>' Plan Energi 2013'!AD29</f>
        <v>0</v>
      </c>
      <c r="M280" s="650">
        <f t="shared" si="72"/>
        <v>0</v>
      </c>
      <c r="N280" s="732">
        <f>' Plan Energi 2015'!AD29</f>
        <v>0</v>
      </c>
      <c r="O280" s="650">
        <f t="shared" si="72"/>
        <v>0</v>
      </c>
      <c r="P280" s="732">
        <f>' Plan Energi 2017'!AD29</f>
        <v>0</v>
      </c>
      <c r="Q280" s="650">
        <f t="shared" si="72"/>
        <v>0</v>
      </c>
      <c r="R280" s="732">
        <f>' Plan Energi 2019'!AD29</f>
        <v>0</v>
      </c>
      <c r="S280" s="650">
        <f t="shared" si="73"/>
        <v>0</v>
      </c>
      <c r="T280" s="649">
        <f>Elproduktion!R13</f>
        <v>0</v>
      </c>
      <c r="U280" s="724">
        <f>Elproduktion!S13</f>
        <v>0</v>
      </c>
      <c r="V280" s="649">
        <f>Elproduktion!T13</f>
        <v>0</v>
      </c>
      <c r="W280" s="725">
        <f>Elproduktion!U13</f>
        <v>0</v>
      </c>
      <c r="X280" s="604"/>
    </row>
    <row r="281" spans="1:24" x14ac:dyDescent="0.25">
      <c r="A281" s="629" t="s">
        <v>532</v>
      </c>
      <c r="B281" s="732">
        <f>' Plan Energi 2030-S'!A15</f>
        <v>681.62819960377055</v>
      </c>
      <c r="C281" s="732"/>
      <c r="D281" s="732">
        <f>' Plan Energi 2006'!A15</f>
        <v>411.11631919703404</v>
      </c>
      <c r="E281" s="732"/>
      <c r="F281" s="732">
        <f>' Plan Energi 2008'!A15</f>
        <v>612.62574075942723</v>
      </c>
      <c r="G281" s="650">
        <f t="shared" si="72"/>
        <v>0.2450759215250424</v>
      </c>
      <c r="H281" s="732">
        <f>' Plan Energi 2009'!A15</f>
        <v>539.2463229567519</v>
      </c>
      <c r="I281" s="650">
        <f t="shared" si="72"/>
        <v>-0.11977854164552774</v>
      </c>
      <c r="J281" s="732">
        <f>' Plan Energi 2011'!A15</f>
        <v>418.35262204702235</v>
      </c>
      <c r="K281" s="650">
        <f t="shared" si="72"/>
        <v>-0.1120950628340449</v>
      </c>
      <c r="L281" s="732">
        <f>' Plan Energi 2013'!A15</f>
        <v>530.03641278869748</v>
      </c>
      <c r="M281" s="650">
        <f t="shared" si="72"/>
        <v>0.1334804478996692</v>
      </c>
      <c r="N281" s="732">
        <f>' Plan Energi 2015'!A15</f>
        <v>664.18924240641434</v>
      </c>
      <c r="O281" s="650">
        <f t="shared" si="72"/>
        <v>0.12655057877240386</v>
      </c>
      <c r="P281" s="732">
        <f>' Plan Energi 2017'!A15</f>
        <v>615.98219800377046</v>
      </c>
      <c r="Q281" s="650">
        <f t="shared" si="72"/>
        <v>-3.6290142420845023E-2</v>
      </c>
      <c r="R281" s="732">
        <f>' Plan Energi 2019'!A15</f>
        <v>615.98219800377046</v>
      </c>
      <c r="S281" s="650">
        <f t="shared" si="73"/>
        <v>0</v>
      </c>
      <c r="T281" s="732">
        <f>Elproduktion!R14</f>
        <v>610.29970039764976</v>
      </c>
      <c r="U281" s="628">
        <f>Elproduktion!S14</f>
        <v>0</v>
      </c>
      <c r="V281" s="732">
        <f>Elproduktion!T14</f>
        <v>775.08375751959375</v>
      </c>
      <c r="W281" s="628">
        <f>Elproduktion!U14</f>
        <v>0</v>
      </c>
      <c r="X281" s="604"/>
    </row>
    <row r="282" spans="1:24" x14ac:dyDescent="0.25">
      <c r="A282" s="629" t="s">
        <v>239</v>
      </c>
      <c r="B282" s="649">
        <f>' Plan Energi 2030-S'!AQ13+' Plan Energi 2030-S'!AQ16+SUM(' Plan Energi 2030-S'!AQ72:AQ80)</f>
        <v>537.1857</v>
      </c>
      <c r="C282" s="650"/>
      <c r="D282" s="649">
        <f>' Plan Energi 2006'!AQ13+' Plan Energi 2006'!AQ16+SUM(' Plan Energi 2006'!AQ72:AQ80)</f>
        <v>537.08569999999986</v>
      </c>
      <c r="E282" s="650"/>
      <c r="F282" s="649">
        <f>' Plan Energi 2008'!AQ13+' Plan Energi 2008'!AQ16+SUM(' Plan Energi 2008'!AQ72:AQ80)</f>
        <v>526.20609999999999</v>
      </c>
      <c r="G282" s="650">
        <f t="shared" si="72"/>
        <v>-1.0128364989050976E-2</v>
      </c>
      <c r="H282" s="649">
        <f>' Plan Energi 2009'!AQ13+' Plan Energi 2009'!AQ16+SUM(' Plan Energi 2009'!AQ72:AQ80)</f>
        <v>510.41699999999997</v>
      </c>
      <c r="I282" s="650">
        <f t="shared" si="72"/>
        <v>-3.0005543455311558E-2</v>
      </c>
      <c r="J282" s="649">
        <f>' Plan Energi 2011'!AQ13+' Plan Energi 2011'!AQ16+SUM(' Plan Energi 2011'!AQ72:AQ80)</f>
        <v>512.10055</v>
      </c>
      <c r="K282" s="650">
        <f t="shared" si="72"/>
        <v>1.6491907597121816E-3</v>
      </c>
      <c r="L282" s="649">
        <f>' Plan Energi 2013'!AQ13+' Plan Energi 2013'!AQ16+SUM(' Plan Energi 2013'!AQ72:AQ80)</f>
        <v>489.83180143718272</v>
      </c>
      <c r="M282" s="650">
        <f t="shared" si="72"/>
        <v>-2.1742554819378031E-2</v>
      </c>
      <c r="N282" s="649">
        <f>' Plan Energi 2015'!AQ13+' Plan Energi 2015'!AQ16+SUM(' Plan Energi 2015'!AQ72:AQ80)</f>
        <v>505.78464116000566</v>
      </c>
      <c r="O282" s="650">
        <f t="shared" si="72"/>
        <v>1.6283997564078917E-2</v>
      </c>
      <c r="P282" s="649">
        <f>' Plan Energi 2017'!AQ13+' Plan Energi 2017'!AQ16+SUM(' Plan Energi 2017'!AQ72:AQ80)</f>
        <v>537.1857</v>
      </c>
      <c r="Q282" s="650">
        <f t="shared" si="72"/>
        <v>3.1041926033950649E-2</v>
      </c>
      <c r="R282" s="649">
        <f>' Plan Energi 2019'!AQ13+' Plan Energi 2019'!AQ16+SUM(' Plan Energi 2019'!AQ72:AQ80)</f>
        <v>537.1857</v>
      </c>
      <c r="S282" s="650">
        <f t="shared" si="73"/>
        <v>0</v>
      </c>
      <c r="T282" s="649">
        <f>Transport!R8</f>
        <v>537.1857</v>
      </c>
      <c r="U282" s="724">
        <f>Transport!Q8</f>
        <v>0</v>
      </c>
      <c r="V282" s="649">
        <f>Transport!T8</f>
        <v>540.67086889092707</v>
      </c>
      <c r="W282" s="725">
        <f>Transport!S8</f>
        <v>0</v>
      </c>
      <c r="X282" s="604"/>
    </row>
    <row r="283" spans="1:24" x14ac:dyDescent="0.25">
      <c r="A283" s="629" t="s">
        <v>606</v>
      </c>
      <c r="B283" s="649">
        <f>' Plan Energi 2030-S'!I31*-1</f>
        <v>0</v>
      </c>
      <c r="C283" s="650"/>
      <c r="D283" s="649">
        <f>' Plan Energi 2006'!I31*-1</f>
        <v>0</v>
      </c>
      <c r="E283" s="650"/>
      <c r="F283" s="649">
        <f>' Plan Energi 2008'!I31*-1</f>
        <v>0</v>
      </c>
      <c r="G283" s="650"/>
      <c r="H283" s="649">
        <f>' Plan Energi 2009'!I31*-1</f>
        <v>0</v>
      </c>
      <c r="I283" s="645"/>
      <c r="J283" s="649">
        <f>' Plan Energi 2011'!I31*-1</f>
        <v>0</v>
      </c>
      <c r="K283" s="645"/>
      <c r="L283" s="649">
        <f>' Plan Energi 2013'!I31*-1</f>
        <v>0</v>
      </c>
      <c r="M283" s="645"/>
      <c r="N283" s="649">
        <f>' Plan Energi 2015'!I31*-1</f>
        <v>0</v>
      </c>
      <c r="O283" s="645"/>
      <c r="P283" s="649">
        <f>' Plan Energi 2017'!I31*-1</f>
        <v>0</v>
      </c>
      <c r="Q283" s="645"/>
      <c r="R283" s="649">
        <f>' Plan Energi 2019'!I31*-1</f>
        <v>0</v>
      </c>
      <c r="S283" s="645"/>
      <c r="T283" s="649"/>
      <c r="U283" s="733"/>
      <c r="V283" s="649"/>
      <c r="W283" s="733"/>
      <c r="X283" s="604"/>
    </row>
    <row r="284" spans="1:24" x14ac:dyDescent="0.25">
      <c r="A284" s="604" t="s">
        <v>475</v>
      </c>
      <c r="B284" s="650">
        <f>' Plan Energi 2030-S'!AQ13/IF(' Plan Energi 2030-S'!AQ81&gt;0,' Plan Energi 2030-S'!AQ81,1)</f>
        <v>2.4200197436380004E-3</v>
      </c>
      <c r="C284" s="650"/>
      <c r="D284" s="650">
        <f>' Plan Energi 2006'!AQ13/IF(' Plan Energi 2006'!AQ81&gt;0,' Plan Energi 2006'!AQ81,1)</f>
        <v>0</v>
      </c>
      <c r="E284" s="650"/>
      <c r="F284" s="650">
        <f>' Plan Energi 2008'!AQ13/IF(' Plan Energi 2008'!AQ81&gt;0,' Plan Energi 2008'!AQ81,1)</f>
        <v>0</v>
      </c>
      <c r="G284" s="650"/>
      <c r="H284" s="650">
        <f>' Plan Energi 2009'!AQ13/IF(' Plan Energi 2009'!AQ81&gt;0,' Plan Energi 2009'!AQ81,1)</f>
        <v>0</v>
      </c>
      <c r="I284" s="650"/>
      <c r="J284" s="650">
        <f>' Plan Energi 2011'!AQ13/IF(' Plan Energi 2011'!AQ81&gt;0,' Plan Energi 2011'!AQ81,1)</f>
        <v>0</v>
      </c>
      <c r="K284" s="650"/>
      <c r="L284" s="650">
        <f>' Plan Energi 2013'!AQ13/IF(' Plan Energi 2013'!AQ81&gt;0,' Plan Energi 2013'!AQ81,1)</f>
        <v>0</v>
      </c>
      <c r="M284" s="650"/>
      <c r="N284" s="650">
        <f>' Plan Energi 2015'!AQ13/IF(' Plan Energi 2015'!AQ81&gt;0,' Plan Energi 2015'!AQ81,1)</f>
        <v>0</v>
      </c>
      <c r="O284" s="650"/>
      <c r="P284" s="650">
        <f>' Plan Energi 2017'!AQ13/IF(' Plan Energi 2017'!AQ81&gt;0,' Plan Energi 2017'!AQ81,1)</f>
        <v>2.4200197436380004E-3</v>
      </c>
      <c r="Q284" s="650"/>
      <c r="R284" s="650">
        <f>' Plan Energi 2019'!AQ13/IF(' Plan Energi 2019'!AQ81&gt;0,' Plan Energi 2019'!AQ81,1)</f>
        <v>2.4200197436380004E-3</v>
      </c>
      <c r="S284" s="650"/>
      <c r="T284" s="726">
        <f>Transport!R11*Transport!R27</f>
        <v>0</v>
      </c>
      <c r="U284" s="650"/>
      <c r="V284" s="726">
        <f>Transport!T11*Transport!T27</f>
        <v>1.3187812642110058E-2</v>
      </c>
      <c r="W284" s="650"/>
      <c r="X284" s="604"/>
    </row>
    <row r="285" spans="1:24" x14ac:dyDescent="0.25">
      <c r="A285" s="604" t="s">
        <v>499</v>
      </c>
      <c r="B285" s="650">
        <f>' Plan Energi 2030-S'!AQ16/IF(' Plan Energi 2030-S'!AQ81&gt;0,' Plan Energi 2030-S'!AQ81,1)</f>
        <v>3.147887220378353E-3</v>
      </c>
      <c r="C285" s="650"/>
      <c r="D285" s="650">
        <f>' Plan Energi 2006'!AQ16/IF(' Plan Energi 2006'!AQ81&gt;0,' Plan Energi 2006'!AQ81,1)</f>
        <v>4.513990970156161E-3</v>
      </c>
      <c r="E285" s="650"/>
      <c r="F285" s="650">
        <f>' Plan Energi 2008'!AQ16/IF(' Plan Energi 2008'!AQ81&gt;0,' Plan Energi 2008'!AQ81,1)</f>
        <v>3.697410577338424E-3</v>
      </c>
      <c r="G285" s="650"/>
      <c r="H285" s="650">
        <f>' Plan Energi 2009'!AQ16/IF(' Plan Energi 2009'!AQ81&gt;0,' Plan Energi 2009'!AQ81,1)</f>
        <v>3.3055325351624264E-3</v>
      </c>
      <c r="I285" s="650"/>
      <c r="J285" s="650">
        <f>' Plan Energi 2011'!AQ16/IF(' Plan Energi 2011'!AQ81&gt;0,' Plan Energi 2011'!AQ81,1)</f>
        <v>3.1610979523454914E-3</v>
      </c>
      <c r="K285" s="650"/>
      <c r="L285" s="650">
        <f>' Plan Energi 2013'!AQ16/IF(' Plan Energi 2013'!AQ81&gt;0,' Plan Energi 2013'!AQ81,1)</f>
        <v>3.1628651486312791E-3</v>
      </c>
      <c r="M285" s="650"/>
      <c r="N285" s="650">
        <f>' Plan Energi 2015'!AQ16/IF(' Plan Energi 2015'!AQ81&gt;0,' Plan Energi 2015'!AQ81,1)</f>
        <v>3.1404670500809208E-3</v>
      </c>
      <c r="O285" s="650"/>
      <c r="P285" s="650">
        <f>' Plan Energi 2017'!AQ16/IF(' Plan Energi 2017'!AQ81&gt;0,' Plan Energi 2017'!AQ81,1)</f>
        <v>3.147887220378353E-3</v>
      </c>
      <c r="Q285" s="650"/>
      <c r="R285" s="650">
        <f>' Plan Energi 2019'!AQ16/IF(' Plan Energi 2019'!AQ81&gt;0,' Plan Energi 2019'!AQ81,1)</f>
        <v>3.147887220378353E-3</v>
      </c>
      <c r="S285" s="650"/>
      <c r="T285" s="726">
        <f>Transport!R10</f>
        <v>4.1725715825914333E-3</v>
      </c>
      <c r="U285" s="650"/>
      <c r="V285" s="726">
        <f>Transport!T10</f>
        <v>0</v>
      </c>
      <c r="W285" s="650"/>
      <c r="X285" s="604"/>
    </row>
    <row r="286" spans="1:24" x14ac:dyDescent="0.25">
      <c r="A286" s="604" t="s">
        <v>241</v>
      </c>
      <c r="B286" s="650">
        <f>' Plan Energi 2030-S'!AQ72/IF(' Plan Energi 2030-S'!AQ81&gt;0,' Plan Energi 2030-S'!AQ81,1)</f>
        <v>0.20156530600125799</v>
      </c>
      <c r="C286" s="650"/>
      <c r="D286" s="650">
        <f>' Plan Energi 2006'!AQ72/IF(' Plan Energi 2006'!AQ81&gt;0,' Plan Energi 2006'!AQ81,1)</f>
        <v>0.27289871988772002</v>
      </c>
      <c r="E286" s="650"/>
      <c r="F286" s="650">
        <f>' Plan Energi 2008'!AQ72/IF(' Plan Energi 2008'!AQ81&gt;0,' Plan Energi 2008'!AQ81,1)</f>
        <v>0.24527651807913289</v>
      </c>
      <c r="G286" s="650"/>
      <c r="H286" s="650">
        <f>' Plan Energi 2009'!AQ72/IF(' Plan Energi 2009'!AQ81&gt;0,' Plan Energi 2009'!AQ81,1)</f>
        <v>0.25818105588175944</v>
      </c>
      <c r="I286" s="650"/>
      <c r="J286" s="650">
        <f>' Plan Energi 2011'!AQ72/IF(' Plan Energi 2011'!AQ81&gt;0,' Plan Energi 2011'!AQ81,1)</f>
        <v>0.22631492975354156</v>
      </c>
      <c r="K286" s="650"/>
      <c r="L286" s="650">
        <f>' Plan Energi 2013'!AQ72/IF(' Plan Energi 2013'!AQ81&gt;0,' Plan Energi 2013'!AQ81,1)</f>
        <v>0.22847026197900275</v>
      </c>
      <c r="M286" s="650"/>
      <c r="N286" s="650">
        <f>' Plan Energi 2015'!AQ72/IF(' Plan Energi 2015'!AQ81&gt;0,' Plan Energi 2015'!AQ81,1)</f>
        <v>0.21511131644976339</v>
      </c>
      <c r="O286" s="650"/>
      <c r="P286" s="650">
        <f>' Plan Energi 2017'!AQ72/IF(' Plan Energi 2017'!AQ81&gt;0,' Plan Energi 2017'!AQ81,1)</f>
        <v>0.20156530600125799</v>
      </c>
      <c r="Q286" s="650"/>
      <c r="R286" s="650">
        <f>' Plan Energi 2019'!AQ72/IF(' Plan Energi 2019'!AQ81&gt;0,' Plan Energi 2019'!AQ81,1)</f>
        <v>0.20156530600125799</v>
      </c>
      <c r="S286" s="650"/>
      <c r="T286" s="726">
        <f>Transport!R11*Transport!R20*(1+Transport!R24)</f>
        <v>0.20021034041614683</v>
      </c>
      <c r="U286" s="650"/>
      <c r="V286" s="726">
        <f>Transport!T11*Transport!T20*(1+Transport!T24/2)</f>
        <v>0.2581289642642392</v>
      </c>
      <c r="W286" s="650"/>
      <c r="X286" s="604"/>
    </row>
    <row r="287" spans="1:24" x14ac:dyDescent="0.25">
      <c r="A287" s="604" t="s">
        <v>243</v>
      </c>
      <c r="B287" s="650">
        <f>' Plan Energi 2030-S'!AQ73/IF(' Plan Energi 2030-S'!AQ81&gt;0,' Plan Energi 2030-S'!AQ81,1)</f>
        <v>0.19140494618527629</v>
      </c>
      <c r="C287" s="650"/>
      <c r="D287" s="650">
        <f>' Plan Energi 2006'!AQ73/IF(' Plan Energi 2006'!AQ81&gt;0,' Plan Energi 2006'!AQ81,1)</f>
        <v>8.2803358942530048E-2</v>
      </c>
      <c r="E287" s="650"/>
      <c r="F287" s="650">
        <f>' Plan Energi 2008'!AQ73/IF(' Plan Energi 2008'!AQ81&gt;0,' Plan Energi 2008'!AQ81,1)</f>
        <v>0.14125643925450504</v>
      </c>
      <c r="G287" s="650"/>
      <c r="H287" s="650">
        <f>' Plan Energi 2009'!AQ73/IF(' Plan Energi 2009'!AQ81&gt;0,' Plan Energi 2009'!AQ81,1)</f>
        <v>0.12645052966496023</v>
      </c>
      <c r="I287" s="650"/>
      <c r="J287" s="650">
        <f>' Plan Energi 2011'!AQ73/IF(' Plan Energi 2011'!AQ81&gt;0,' Plan Energi 2011'!AQ81,1)</f>
        <v>0.15392973118267497</v>
      </c>
      <c r="K287" s="650"/>
      <c r="L287" s="650">
        <f>' Plan Energi 2013'!AQ73/IF(' Plan Energi 2013'!AQ81&gt;0,' Plan Energi 2013'!AQ81,1)</f>
        <v>0.18067426357443123</v>
      </c>
      <c r="M287" s="650"/>
      <c r="N287" s="650">
        <f>' Plan Energi 2015'!AQ73/IF(' Plan Energi 2015'!AQ81&gt;0,' Plan Energi 2015'!AQ81,1)</f>
        <v>0.19276979185525672</v>
      </c>
      <c r="O287" s="650"/>
      <c r="P287" s="650">
        <f>' Plan Energi 2017'!AQ73/IF(' Plan Energi 2017'!AQ81&gt;0,' Plan Energi 2017'!AQ81,1)</f>
        <v>0.19140494618527629</v>
      </c>
      <c r="Q287" s="650"/>
      <c r="R287" s="650">
        <f>' Plan Energi 2019'!AQ73/IF(' Plan Energi 2019'!AQ81&gt;0,' Plan Energi 2019'!AQ81,1)</f>
        <v>0.19140494618527629</v>
      </c>
      <c r="S287" s="650"/>
      <c r="T287" s="726">
        <f>Transport!R11*Transport!R21*(1+Transport!R24)</f>
        <v>0.1937762618221596</v>
      </c>
      <c r="U287" s="650"/>
      <c r="V287" s="726">
        <f>Transport!T11*Transport!T21*(1+Transport!T24/2)</f>
        <v>0.19673612952031203</v>
      </c>
      <c r="W287" s="650"/>
      <c r="X287" s="604"/>
    </row>
    <row r="288" spans="1:24" x14ac:dyDescent="0.25">
      <c r="A288" s="604" t="s">
        <v>244</v>
      </c>
      <c r="B288" s="650">
        <f>' Plan Energi 2030-S'!AQ74/IF(' Plan Energi 2030-S'!AQ81&gt;0,' Plan Energi 2030-S'!AQ81,1)</f>
        <v>7.9455763621406883E-2</v>
      </c>
      <c r="C288" s="650"/>
      <c r="D288" s="650">
        <f>' Plan Energi 2006'!AQ74/IF(' Plan Energi 2006'!AQ81&gt;0,' Plan Energi 2006'!AQ81,1)</f>
        <v>8.6578361702797174E-2</v>
      </c>
      <c r="E288" s="650"/>
      <c r="F288" s="650">
        <f>' Plan Energi 2008'!AQ74/IF(' Plan Energi 2008'!AQ81&gt;0,' Plan Energi 2008'!AQ81,1)</f>
        <v>8.2728991549128758E-2</v>
      </c>
      <c r="G288" s="650"/>
      <c r="H288" s="650">
        <f>' Plan Energi 2009'!AQ74/IF(' Plan Energi 2009'!AQ81&gt;0,' Plan Energi 2009'!AQ81,1)</f>
        <v>9.6739528659899654E-2</v>
      </c>
      <c r="I288" s="650"/>
      <c r="J288" s="650">
        <f>' Plan Energi 2011'!AQ74/IF(' Plan Energi 2011'!AQ81&gt;0,' Plan Energi 2011'!AQ81,1)</f>
        <v>9.6720751422743043E-2</v>
      </c>
      <c r="K288" s="650"/>
      <c r="L288" s="650">
        <f>' Plan Energi 2013'!AQ74/IF(' Plan Energi 2013'!AQ81&gt;0,' Plan Energi 2013'!AQ81,1)</f>
        <v>8.2094506485726734E-2</v>
      </c>
      <c r="M288" s="650"/>
      <c r="N288" s="650">
        <f>' Plan Energi 2015'!AQ74/IF(' Plan Energi 2015'!AQ81&gt;0,' Plan Energi 2015'!AQ81,1)</f>
        <v>8.0824913754286104E-2</v>
      </c>
      <c r="O288" s="650"/>
      <c r="P288" s="650">
        <f>' Plan Energi 2017'!AQ74/IF(' Plan Energi 2017'!AQ81&gt;0,' Plan Energi 2017'!AQ81,1)</f>
        <v>7.9455763621406883E-2</v>
      </c>
      <c r="Q288" s="650"/>
      <c r="R288" s="650">
        <f>' Plan Energi 2019'!AQ74/IF(' Plan Energi 2019'!AQ81&gt;0,' Plan Energi 2019'!AQ81,1)</f>
        <v>7.9455763621406883E-2</v>
      </c>
      <c r="S288" s="650"/>
      <c r="T288" s="726">
        <f>Transport!R12</f>
        <v>7.9455763621406883E-2</v>
      </c>
      <c r="U288" s="650"/>
      <c r="V288" s="726">
        <f>Transport!T12</f>
        <v>0.13415188722146426</v>
      </c>
      <c r="W288" s="650"/>
      <c r="X288" s="604"/>
    </row>
    <row r="289" spans="1:24" x14ac:dyDescent="0.25">
      <c r="A289" s="604" t="s">
        <v>246</v>
      </c>
      <c r="B289" s="650">
        <f>' Plan Energi 2030-S'!AQ75/IF(' Plan Energi 2030-S'!AQ81&gt;0,' Plan Energi 2030-S'!AQ81,1)</f>
        <v>3.016275377397425E-2</v>
      </c>
      <c r="C289" s="650"/>
      <c r="D289" s="650">
        <f>' Plan Energi 2006'!AQ75/IF(' Plan Energi 2006'!AQ81&gt;0,' Plan Energi 2006'!AQ81,1)</f>
        <v>9.8308333288337438E-3</v>
      </c>
      <c r="E289" s="650"/>
      <c r="F289" s="650">
        <f>' Plan Energi 2008'!AQ75/IF(' Plan Energi 2008'!AQ81&gt;0,' Plan Energi 2008'!AQ81,1)</f>
        <v>1.0071719046966578E-2</v>
      </c>
      <c r="G289" s="650"/>
      <c r="H289" s="650">
        <f>' Plan Energi 2009'!AQ75/IF(' Plan Energi 2009'!AQ81&gt;0,' Plan Energi 2009'!AQ81,1)</f>
        <v>7.9329254315589001E-3</v>
      </c>
      <c r="I289" s="650"/>
      <c r="J289" s="650">
        <f>' Plan Energi 2011'!AQ75/IF(' Plan Energi 2011'!AQ81&gt;0,' Plan Energi 2011'!AQ81,1)</f>
        <v>1.152840003784413E-2</v>
      </c>
      <c r="K289" s="650"/>
      <c r="L289" s="650">
        <f>' Plan Energi 2013'!AQ75/IF(' Plan Energi 2013'!AQ81&gt;0,' Plan Energi 2013'!AQ81,1)</f>
        <v>1.7846330055238478E-2</v>
      </c>
      <c r="M289" s="650"/>
      <c r="N289" s="650">
        <f>' Plan Energi 2015'!AQ75/IF(' Plan Energi 2015'!AQ81&gt;0,' Plan Energi 2015'!AQ81,1)</f>
        <v>1.8940670040965887E-2</v>
      </c>
      <c r="O289" s="650"/>
      <c r="P289" s="650">
        <f>' Plan Energi 2017'!AQ75/IF(' Plan Energi 2017'!AQ81&gt;0,' Plan Energi 2017'!AQ81,1)</f>
        <v>3.016275377397425E-2</v>
      </c>
      <c r="Q289" s="650"/>
      <c r="R289" s="650">
        <f>' Plan Energi 2019'!AQ75/IF(' Plan Energi 2019'!AQ81&gt;0,' Plan Energi 2019'!AQ81,1)</f>
        <v>3.016275377397425E-2</v>
      </c>
      <c r="S289" s="650"/>
      <c r="T289" s="726">
        <f>Transport!R13</f>
        <v>3.016275377397425E-2</v>
      </c>
      <c r="U289" s="650"/>
      <c r="V289" s="726">
        <f>Transport!T13</f>
        <v>2.9104138244656654E-2</v>
      </c>
      <c r="W289" s="650"/>
      <c r="X289" s="604"/>
    </row>
    <row r="290" spans="1:24" x14ac:dyDescent="0.25">
      <c r="A290" s="604" t="s">
        <v>248</v>
      </c>
      <c r="B290" s="650">
        <f>' Plan Energi 2030-S'!AQ76/IF(' Plan Energi 2030-S'!AQ81&gt;0,' Plan Energi 2030-S'!AQ81,1)</f>
        <v>0.20315321126381436</v>
      </c>
      <c r="C290" s="650"/>
      <c r="D290" s="650">
        <f>' Plan Energi 2006'!AQ76/IF(' Plan Energi 2006'!AQ81&gt;0,' Plan Energi 2006'!AQ81,1)</f>
        <v>0.26866438633536516</v>
      </c>
      <c r="E290" s="650"/>
      <c r="F290" s="650">
        <f>' Plan Energi 2008'!AQ76/IF(' Plan Energi 2008'!AQ81&gt;0,' Plan Energi 2008'!AQ81,1)</f>
        <v>0.2271091118099923</v>
      </c>
      <c r="G290" s="650"/>
      <c r="H290" s="650">
        <f>' Plan Energi 2009'!AQ76/IF(' Plan Energi 2009'!AQ81&gt;0,' Plan Energi 2009'!AQ81,1)</f>
        <v>0.23914505198690478</v>
      </c>
      <c r="I290" s="650"/>
      <c r="J290" s="650">
        <f>' Plan Energi 2011'!AQ76/IF(' Plan Energi 2011'!AQ81&gt;0,' Plan Energi 2011'!AQ81,1)</f>
        <v>0.2296400579925173</v>
      </c>
      <c r="K290" s="650"/>
      <c r="L290" s="650">
        <f>' Plan Energi 2013'!AQ76/IF(' Plan Energi 2013'!AQ81&gt;0,' Plan Energi 2013'!AQ81,1)</f>
        <v>0.20308705908462205</v>
      </c>
      <c r="M290" s="650"/>
      <c r="N290" s="650">
        <f>' Plan Energi 2015'!AQ76/IF(' Plan Energi 2015'!AQ81&gt;0,' Plan Energi 2015'!AQ81,1)</f>
        <v>0.20878451302477033</v>
      </c>
      <c r="O290" s="650"/>
      <c r="P290" s="650">
        <f>' Plan Energi 2017'!AQ76/IF(' Plan Energi 2017'!AQ81&gt;0,' Plan Energi 2017'!AQ81,1)</f>
        <v>0.20315321126381436</v>
      </c>
      <c r="Q290" s="650"/>
      <c r="R290" s="650">
        <f>' Plan Energi 2019'!AQ76/IF(' Plan Energi 2019'!AQ81&gt;0,' Plan Energi 2019'!AQ81,1)</f>
        <v>0.20315321126381436</v>
      </c>
      <c r="S290" s="650"/>
      <c r="T290" s="726">
        <f>Transport!R14</f>
        <v>0.20315321126381436</v>
      </c>
      <c r="U290" s="650"/>
      <c r="V290" s="726">
        <f>Transport!T14</f>
        <v>0.10140973169622552</v>
      </c>
      <c r="W290" s="650"/>
      <c r="X290" s="604"/>
    </row>
    <row r="291" spans="1:24" x14ac:dyDescent="0.25">
      <c r="A291" s="604" t="s">
        <v>250</v>
      </c>
      <c r="B291" s="650">
        <f>' Plan Energi 2030-S'!AQ78/IF(' Plan Energi 2030-S'!AQ81&gt;0,' Plan Energi 2030-S'!AQ81,1)</f>
        <v>1.7919501580179815E-2</v>
      </c>
      <c r="C291" s="650"/>
      <c r="D291" s="650">
        <f>' Plan Energi 2006'!AQ78/IF(' Plan Energi 2006'!AQ81&gt;0,' Plan Energi 2006'!AQ81,1)</f>
        <v>1.7081072908848628E-2</v>
      </c>
      <c r="E291" s="650"/>
      <c r="F291" s="650">
        <f>' Plan Energi 2008'!AQ78/IF(' Plan Energi 2008'!AQ81&gt;0,' Plan Energi 2008'!AQ81,1)</f>
        <v>1.8124077238937365E-2</v>
      </c>
      <c r="G291" s="650"/>
      <c r="H291" s="650">
        <f>' Plan Energi 2009'!AQ78/IF(' Plan Energi 2009'!AQ81&gt;0,' Plan Energi 2009'!AQ81,1)</f>
        <v>1.8102845320590814E-2</v>
      </c>
      <c r="I291" s="650"/>
      <c r="J291" s="650">
        <f>' Plan Energi 2011'!AQ78/IF(' Plan Energi 2011'!AQ81&gt;0,' Plan Energi 2011'!AQ81,1)</f>
        <v>1.9589902803267834E-2</v>
      </c>
      <c r="K291" s="650"/>
      <c r="L291" s="650">
        <f>' Plan Energi 2013'!AQ78/IF(' Plan Energi 2013'!AQ81&gt;0,' Plan Energi 2013'!AQ81,1)</f>
        <v>2.0283168897680809E-2</v>
      </c>
      <c r="M291" s="650"/>
      <c r="N291" s="650">
        <f>' Plan Energi 2015'!AQ78/IF(' Plan Energi 2015'!AQ81&gt;0,' Plan Energi 2015'!AQ81,1)</f>
        <v>1.9643422024874353E-2</v>
      </c>
      <c r="O291" s="650"/>
      <c r="P291" s="650">
        <f>' Plan Energi 2017'!AQ78/IF(' Plan Energi 2017'!AQ81&gt;0,' Plan Energi 2017'!AQ81,1)</f>
        <v>1.7919501580179815E-2</v>
      </c>
      <c r="Q291" s="650"/>
      <c r="R291" s="650">
        <f>' Plan Energi 2019'!AQ78/IF(' Plan Energi 2019'!AQ81&gt;0,' Plan Energi 2019'!AQ81,1)</f>
        <v>1.7919501580179815E-2</v>
      </c>
      <c r="S291" s="650"/>
      <c r="T291" s="726">
        <f>Transport!R15</f>
        <v>1.7919501580179815E-2</v>
      </c>
      <c r="U291" s="650"/>
      <c r="V291" s="726">
        <f>Transport!T15</f>
        <v>2.1373351523419733E-2</v>
      </c>
      <c r="W291" s="650"/>
      <c r="X291" s="604"/>
    </row>
    <row r="292" spans="1:24" x14ac:dyDescent="0.25">
      <c r="A292" s="604" t="s">
        <v>252</v>
      </c>
      <c r="B292" s="650">
        <f>' Plan Energi 2030-S'!AQ79/IF(' Plan Energi 2030-S'!AQ81&gt;0,' Plan Energi 2030-S'!AQ81,1)</f>
        <v>0.23698955500863106</v>
      </c>
      <c r="C292" s="650"/>
      <c r="D292" s="650">
        <f>' Plan Energi 2006'!AQ79/IF(' Plan Energi 2006'!AQ81&gt;0,' Plan Energi 2006'!AQ81,1)</f>
        <v>0.21713853115061529</v>
      </c>
      <c r="E292" s="650"/>
      <c r="F292" s="650">
        <f>' Plan Energi 2008'!AQ79/IF(' Plan Energi 2008'!AQ81&gt;0,' Plan Energi 2008'!AQ81,1)</f>
        <v>0.22576705211133052</v>
      </c>
      <c r="G292" s="650"/>
      <c r="H292" s="650">
        <f>' Plan Energi 2009'!AQ79/IF(' Plan Energi 2009'!AQ81&gt;0,' Plan Energi 2009'!AQ81,1)</f>
        <v>0.20624313061673102</v>
      </c>
      <c r="I292" s="650"/>
      <c r="J292" s="650">
        <f>' Plan Energi 2011'!AQ79/IF(' Plan Energi 2011'!AQ81&gt;0,' Plan Energi 2011'!AQ81,1)</f>
        <v>0.22206185875020057</v>
      </c>
      <c r="K292" s="650"/>
      <c r="L292" s="650">
        <f>' Plan Energi 2013'!AQ79/IF(' Plan Energi 2013'!AQ81&gt;0,' Plan Energi 2013'!AQ81,1)</f>
        <v>0.226262976165053</v>
      </c>
      <c r="M292" s="650"/>
      <c r="N292" s="650">
        <f>' Plan Energi 2015'!AQ79/IF(' Plan Energi 2015'!AQ81&gt;0,' Plan Energi 2015'!AQ81,1)</f>
        <v>0.22777085467796043</v>
      </c>
      <c r="O292" s="650"/>
      <c r="P292" s="650">
        <f>' Plan Energi 2017'!AQ79/IF(' Plan Energi 2017'!AQ81&gt;0,' Plan Energi 2017'!AQ81,1)</f>
        <v>0.23698955500863106</v>
      </c>
      <c r="Q292" s="650"/>
      <c r="R292" s="650">
        <f>' Plan Energi 2019'!AQ79/IF(' Plan Energi 2019'!AQ81&gt;0,' Plan Energi 2019'!AQ81,1)</f>
        <v>0.23698955500863106</v>
      </c>
      <c r="S292" s="650"/>
      <c r="T292" s="726">
        <f>Transport!R16</f>
        <v>0.23698955500863106</v>
      </c>
      <c r="U292" s="650"/>
      <c r="V292" s="726">
        <f>Transport!T16</f>
        <v>0.20691223283310592</v>
      </c>
      <c r="W292" s="650"/>
      <c r="X292" s="604"/>
    </row>
    <row r="293" spans="1:24" x14ac:dyDescent="0.25">
      <c r="A293" s="604" t="s">
        <v>254</v>
      </c>
      <c r="B293" s="650">
        <f>' Plan Energi 2030-S'!AQ80/IF(' Plan Energi 2030-S'!AQ81&gt;0,' Plan Energi 2030-S'!AQ81,1)</f>
        <v>3.3781055601442844E-2</v>
      </c>
      <c r="C293" s="650"/>
      <c r="D293" s="650">
        <f>' Plan Energi 2006'!AQ80/IF(' Plan Energi 2006'!AQ81&gt;0,' Plan Energi 2006'!AQ81,1)</f>
        <v>4.0490744773133983E-2</v>
      </c>
      <c r="E293" s="650"/>
      <c r="F293" s="650">
        <f>' Plan Energi 2008'!AQ80/IF(' Plan Energi 2008'!AQ81&gt;0,' Plan Energi 2008'!AQ81,1)</f>
        <v>4.5968680332668134E-2</v>
      </c>
      <c r="G293" s="650"/>
      <c r="H293" s="650">
        <f>' Plan Energi 2009'!AQ80/IF(' Plan Energi 2009'!AQ81&gt;0,' Plan Energi 2009'!AQ81,1)</f>
        <v>4.3899399902432724E-2</v>
      </c>
      <c r="I293" s="650"/>
      <c r="J293" s="650">
        <f>' Plan Energi 2011'!AQ80/IF(' Plan Energi 2011'!AQ81&gt;0,' Plan Energi 2011'!AQ81,1)</f>
        <v>3.7053270104865151E-2</v>
      </c>
      <c r="K293" s="650"/>
      <c r="L293" s="650">
        <f>' Plan Energi 2013'!AQ80/IF(' Plan Energi 2013'!AQ81&gt;0,' Plan Energi 2013'!AQ81,1)</f>
        <v>3.8118568609613601E-2</v>
      </c>
      <c r="M293" s="650"/>
      <c r="N293" s="650">
        <f>' Plan Energi 2015'!AQ80/IF(' Plan Energi 2015'!AQ81&gt;0,' Plan Energi 2015'!AQ81,1)</f>
        <v>3.301405112204181E-2</v>
      </c>
      <c r="O293" s="650"/>
      <c r="P293" s="650">
        <f>' Plan Energi 2017'!AQ80/IF(' Plan Energi 2017'!AQ81&gt;0,' Plan Energi 2017'!AQ81,1)</f>
        <v>3.3781055601442844E-2</v>
      </c>
      <c r="Q293" s="650"/>
      <c r="R293" s="650">
        <f>' Plan Energi 2019'!AQ80/IF(' Plan Energi 2019'!AQ81&gt;0,' Plan Energi 2019'!AQ81,1)</f>
        <v>3.3781055601442844E-2</v>
      </c>
      <c r="S293" s="650"/>
      <c r="T293" s="726">
        <f>Transport!R17</f>
        <v>3.3781055601442844E-2</v>
      </c>
      <c r="U293" s="650"/>
      <c r="V293" s="726">
        <f>Transport!T17</f>
        <v>2.7285129604365615E-2</v>
      </c>
      <c r="W293" s="650"/>
      <c r="X293" s="604"/>
    </row>
    <row r="294" spans="1:24" ht="18.75" customHeight="1" x14ac:dyDescent="0.25">
      <c r="A294" s="629" t="s">
        <v>502</v>
      </c>
      <c r="B294" s="650">
        <f>1-' Plan Energi 2030-S'!D2/100</f>
        <v>8.1600000000000006E-2</v>
      </c>
      <c r="C294" s="650"/>
      <c r="D294" s="650">
        <f>1-' Plan Energi 2006'!D2/100</f>
        <v>7.2999999999999954E-2</v>
      </c>
      <c r="E294" s="650"/>
      <c r="F294" s="650">
        <f>1-' Plan Energi 2008'!D2/100</f>
        <v>7.2999999999999954E-2</v>
      </c>
      <c r="G294" s="650"/>
      <c r="H294" s="650">
        <f>1-' Plan Energi 2009'!D2/100</f>
        <v>7.2999999999999954E-2</v>
      </c>
      <c r="I294" s="650"/>
      <c r="J294" s="650">
        <f>1-' Plan Energi 2011'!D2/100</f>
        <v>7.9200000000000048E-2</v>
      </c>
      <c r="K294" s="650"/>
      <c r="L294" s="650">
        <f>1-' Plan Energi 2013'!D2/100</f>
        <v>7.5885400065788922E-2</v>
      </c>
      <c r="M294" s="650"/>
      <c r="N294" s="650">
        <f>1-' Plan Energi 2015'!D2/100</f>
        <v>7.9599999999999893E-2</v>
      </c>
      <c r="O294" s="650"/>
      <c r="P294" s="650">
        <f>1-' Plan Energi 2017'!D2/100</f>
        <v>8.1600000000000006E-2</v>
      </c>
      <c r="Q294" s="650"/>
      <c r="R294" s="650">
        <f>1-' Plan Energi 2019'!D2/100</f>
        <v>8.1600000000000006E-2</v>
      </c>
      <c r="S294" s="650"/>
      <c r="T294" s="726">
        <f>Elproduktion!P5</f>
        <v>8.1600000000000006E-2</v>
      </c>
      <c r="U294" s="650"/>
      <c r="V294" s="726">
        <f>Elproduktion!R5</f>
        <v>7.9599999999999893E-2</v>
      </c>
      <c r="W294" s="650"/>
      <c r="X294" s="604"/>
    </row>
    <row r="295" spans="1:24" x14ac:dyDescent="0.25">
      <c r="A295" s="629" t="s">
        <v>504</v>
      </c>
      <c r="B295" s="650">
        <f>1-' Plan Energi 2030-S'!AC39/100</f>
        <v>0.20599999999999996</v>
      </c>
      <c r="C295" s="650"/>
      <c r="D295" s="650">
        <f>1-' Plan Energi 2006'!AC39/100</f>
        <v>0.22799999999999998</v>
      </c>
      <c r="E295" s="650"/>
      <c r="F295" s="650">
        <f>1-' Plan Energi 2008'!AC39/100</f>
        <v>0.22799999999999998</v>
      </c>
      <c r="G295" s="650"/>
      <c r="H295" s="650">
        <f>1-' Plan Energi 2009'!AC39/100</f>
        <v>0.22799999999999998</v>
      </c>
      <c r="I295" s="650"/>
      <c r="J295" s="650">
        <f>1-' Plan Energi 2011'!AC39/100</f>
        <v>0.22799999999999998</v>
      </c>
      <c r="K295" s="650"/>
      <c r="L295" s="650">
        <f>1-' Plan Energi 2013'!AC39/100</f>
        <v>0.22799999999999998</v>
      </c>
      <c r="M295" s="650"/>
      <c r="N295" s="650">
        <f>1-' Plan Energi 2015'!AC39/100</f>
        <v>0.22799999999999998</v>
      </c>
      <c r="O295" s="650"/>
      <c r="P295" s="650">
        <f>1-' Plan Energi 2017'!AC39/100</f>
        <v>0.20599999999999996</v>
      </c>
      <c r="Q295" s="650"/>
      <c r="R295" s="650">
        <f>1-' Plan Energi 2019'!AC39/100</f>
        <v>0.20599999999999996</v>
      </c>
      <c r="S295" s="650"/>
      <c r="T295" s="726">
        <f>Fjernvarmeprognose!R22</f>
        <v>0.21</v>
      </c>
      <c r="U295" s="650"/>
      <c r="V295" s="726">
        <f>Fjernvarmeprognose!T22</f>
        <v>0.23429381199811056</v>
      </c>
      <c r="W295" s="650"/>
      <c r="X295" s="604"/>
    </row>
    <row r="296" spans="1:24" ht="15" customHeight="1" x14ac:dyDescent="0.25">
      <c r="A296" s="629" t="s">
        <v>505</v>
      </c>
      <c r="B296" s="650">
        <f>1-' Plan Energi 2030-S'!AC43/100</f>
        <v>0.20599999999999996</v>
      </c>
      <c r="C296" s="650"/>
      <c r="D296" s="650">
        <f>1-' Plan Energi 2006'!AC43/100</f>
        <v>0.22799999999999998</v>
      </c>
      <c r="E296" s="650"/>
      <c r="F296" s="650">
        <f>1-' Plan Energi 2008'!AC43/100</f>
        <v>0.22799999999999998</v>
      </c>
      <c r="G296" s="650"/>
      <c r="H296" s="650">
        <f>1-' Plan Energi 2009'!AC43/100</f>
        <v>0.22799999999999998</v>
      </c>
      <c r="I296" s="650"/>
      <c r="J296" s="650">
        <f>1-' Plan Energi 2011'!AC43/100</f>
        <v>0.22799999999999998</v>
      </c>
      <c r="K296" s="650"/>
      <c r="L296" s="650">
        <f>1-' Plan Energi 2013'!AC43/100</f>
        <v>0.22799999999999998</v>
      </c>
      <c r="M296" s="650"/>
      <c r="N296" s="650">
        <f>1-' Plan Energi 2015'!AC43/100</f>
        <v>0.22799999999999998</v>
      </c>
      <c r="O296" s="650"/>
      <c r="P296" s="650">
        <f>1-' Plan Energi 2017'!AC43/100</f>
        <v>0.20599999999999996</v>
      </c>
      <c r="Q296" s="650"/>
      <c r="R296" s="650">
        <f>1-' Plan Energi 2019'!AC43/100</f>
        <v>0.20599999999999996</v>
      </c>
      <c r="S296" s="650"/>
      <c r="T296" s="726">
        <f>Fjernvarmeprognose!R23</f>
        <v>0.21</v>
      </c>
      <c r="U296" s="650"/>
      <c r="V296" s="726">
        <f>Fjernvarmeprognose!T23</f>
        <v>0.23429381199811056</v>
      </c>
      <c r="W296" s="650"/>
      <c r="X296" s="604"/>
    </row>
    <row r="297" spans="1:24" ht="15" customHeight="1" x14ac:dyDescent="0.25">
      <c r="A297" s="629" t="s">
        <v>506</v>
      </c>
      <c r="B297" s="650">
        <f>1-' Plan Energi 2030-S'!AC52/100</f>
        <v>0.20599999999999996</v>
      </c>
      <c r="C297" s="650"/>
      <c r="D297" s="650">
        <f>1-' Plan Energi 2006'!AC52/100</f>
        <v>0.22799999999999998</v>
      </c>
      <c r="E297" s="650"/>
      <c r="F297" s="650">
        <f>1-' Plan Energi 2008'!AC52/100</f>
        <v>0.22799999999999998</v>
      </c>
      <c r="G297" s="650"/>
      <c r="H297" s="650">
        <f>1-' Plan Energi 2009'!AC52/100</f>
        <v>0.22799999999999998</v>
      </c>
      <c r="I297" s="650"/>
      <c r="J297" s="650">
        <f>1-' Plan Energi 2011'!AC52/100</f>
        <v>0.22799999999999998</v>
      </c>
      <c r="K297" s="650"/>
      <c r="L297" s="650">
        <f>1-' Plan Energi 2013'!AC52/100</f>
        <v>0.22799999999999998</v>
      </c>
      <c r="M297" s="650"/>
      <c r="N297" s="650">
        <f>1-' Plan Energi 2015'!AC52/100</f>
        <v>0.22799999999999998</v>
      </c>
      <c r="O297" s="650"/>
      <c r="P297" s="650">
        <f>1-' Plan Energi 2017'!AC52/100</f>
        <v>0.20599999999999996</v>
      </c>
      <c r="Q297" s="650"/>
      <c r="R297" s="650">
        <f>1-' Plan Energi 2019'!AC52/100</f>
        <v>0.20599999999999996</v>
      </c>
      <c r="S297" s="650"/>
      <c r="T297" s="726">
        <f>Fjernvarmeprognose!R24</f>
        <v>0.21</v>
      </c>
      <c r="U297" s="650"/>
      <c r="V297" s="726">
        <f>Fjernvarmeprognose!T24</f>
        <v>0.23429381199811056</v>
      </c>
      <c r="W297" s="650"/>
      <c r="X297" s="604"/>
    </row>
    <row r="298" spans="1:24" ht="15" customHeight="1" x14ac:dyDescent="0.25">
      <c r="A298" s="629" t="s">
        <v>507</v>
      </c>
      <c r="B298" s="650">
        <f>1-' Plan Energi 2030-S'!AC55/100</f>
        <v>0.20599999999999996</v>
      </c>
      <c r="C298" s="650"/>
      <c r="D298" s="650">
        <f>1-' Plan Energi 2006'!AC55/100</f>
        <v>0.22799999999999998</v>
      </c>
      <c r="E298" s="650"/>
      <c r="F298" s="650">
        <f>1-' Plan Energi 2008'!AC55/100</f>
        <v>0.22799999999999998</v>
      </c>
      <c r="G298" s="650"/>
      <c r="H298" s="650">
        <f>1-' Plan Energi 2009'!AC55/100</f>
        <v>0.22799999999999998</v>
      </c>
      <c r="I298" s="650"/>
      <c r="J298" s="650">
        <f>1-' Plan Energi 2011'!AC55/100</f>
        <v>0.22799999999999998</v>
      </c>
      <c r="K298" s="650"/>
      <c r="L298" s="650">
        <f>1-' Plan Energi 2013'!AC55/100</f>
        <v>0.22799999999999998</v>
      </c>
      <c r="M298" s="650"/>
      <c r="N298" s="650">
        <f>1-' Plan Energi 2015'!AC55/100</f>
        <v>0.22799999999999998</v>
      </c>
      <c r="O298" s="650"/>
      <c r="P298" s="650">
        <f>1-' Plan Energi 2017'!AC55/100</f>
        <v>0.20599999999999996</v>
      </c>
      <c r="Q298" s="650"/>
      <c r="R298" s="650">
        <f>1-' Plan Energi 2019'!AC55/100</f>
        <v>0.20599999999999996</v>
      </c>
      <c r="S298" s="650"/>
      <c r="T298" s="726">
        <f>Fjernvarmeprognose!R25</f>
        <v>0.21</v>
      </c>
      <c r="U298" s="650"/>
      <c r="V298" s="726">
        <f>Fjernvarmeprognose!T25</f>
        <v>0.23429381199811056</v>
      </c>
      <c r="W298" s="650"/>
      <c r="X298" s="604"/>
    </row>
    <row r="299" spans="1:24" ht="15" customHeight="1" x14ac:dyDescent="0.25">
      <c r="A299" s="629" t="s">
        <v>503</v>
      </c>
      <c r="B299" s="650">
        <f>1-' Plan Energi 2030-S'!AC62/100</f>
        <v>0.20599999999999996</v>
      </c>
      <c r="C299" s="650"/>
      <c r="D299" s="650">
        <f>1-' Plan Energi 2006'!AC62/100</f>
        <v>0.22799999999999998</v>
      </c>
      <c r="E299" s="650"/>
      <c r="F299" s="650">
        <f>1-' Plan Energi 2008'!AC62/100</f>
        <v>0.22799999999999998</v>
      </c>
      <c r="G299" s="650"/>
      <c r="H299" s="650">
        <f>1-' Plan Energi 2009'!AC62/100</f>
        <v>0.22799999999999998</v>
      </c>
      <c r="I299" s="650"/>
      <c r="J299" s="650">
        <f>1-' Plan Energi 2011'!AC62/100</f>
        <v>0.22799999999999998</v>
      </c>
      <c r="K299" s="650"/>
      <c r="L299" s="650">
        <f>1-' Plan Energi 2013'!AC62/100</f>
        <v>0.22799999999999998</v>
      </c>
      <c r="M299" s="650"/>
      <c r="N299" s="650">
        <f>1-' Plan Energi 2015'!AC62/100</f>
        <v>0.22799999999999998</v>
      </c>
      <c r="O299" s="650"/>
      <c r="P299" s="650">
        <f>1-' Plan Energi 2017'!AC62/100</f>
        <v>0.20599999999999996</v>
      </c>
      <c r="Q299" s="650"/>
      <c r="R299" s="650">
        <f>1-' Plan Energi 2019'!AC62/100</f>
        <v>0.20599999999999996</v>
      </c>
      <c r="S299" s="650"/>
      <c r="T299" s="726">
        <f>Fjernvarmeprognose!R26</f>
        <v>0.21</v>
      </c>
      <c r="U299" s="650"/>
      <c r="V299" s="726">
        <f>Fjernvarmeprognose!T26</f>
        <v>0.23429381199811056</v>
      </c>
      <c r="W299" s="650"/>
      <c r="X299" s="604"/>
    </row>
    <row r="300" spans="1:24" ht="15" customHeight="1" x14ac:dyDescent="0.25">
      <c r="A300" s="629" t="s">
        <v>508</v>
      </c>
      <c r="B300" s="650">
        <f>1-' Plan Energi 2030-S'!AC71/100</f>
        <v>0.20599999999999996</v>
      </c>
      <c r="C300" s="650"/>
      <c r="D300" s="650">
        <f>1-' Plan Energi 2006'!AC71/100</f>
        <v>0.22799999999999998</v>
      </c>
      <c r="E300" s="650"/>
      <c r="F300" s="650">
        <f>1-' Plan Energi 2008'!AC71/100</f>
        <v>0.22799999999999998</v>
      </c>
      <c r="G300" s="650"/>
      <c r="H300" s="650">
        <f>1-' Plan Energi 2009'!AC71/100</f>
        <v>0.22799999999999998</v>
      </c>
      <c r="I300" s="650"/>
      <c r="J300" s="650">
        <f>1-' Plan Energi 2011'!AC71/100</f>
        <v>0.22799999999999998</v>
      </c>
      <c r="K300" s="650"/>
      <c r="L300" s="650">
        <f>1-' Plan Energi 2013'!AC71/100</f>
        <v>0.22799999999999998</v>
      </c>
      <c r="M300" s="650"/>
      <c r="N300" s="650">
        <f>1-' Plan Energi 2015'!AC71/100</f>
        <v>0.22799999999999998</v>
      </c>
      <c r="O300" s="650"/>
      <c r="P300" s="650">
        <f>1-' Plan Energi 2017'!AC71/100</f>
        <v>0.20599999999999996</v>
      </c>
      <c r="Q300" s="650"/>
      <c r="R300" s="650">
        <f>1-' Plan Energi 2019'!AC71/100</f>
        <v>0.20599999999999996</v>
      </c>
      <c r="S300" s="650"/>
      <c r="T300" s="726">
        <f>Fjernvarmeprognose!R27</f>
        <v>0.21</v>
      </c>
      <c r="U300" s="650"/>
      <c r="V300" s="726">
        <f>Fjernvarmeprognose!T27</f>
        <v>0.23429381199811056</v>
      </c>
      <c r="W300" s="650"/>
      <c r="X300" s="604"/>
    </row>
    <row r="301" spans="1:24" ht="18" x14ac:dyDescent="0.35">
      <c r="A301" s="705" t="s">
        <v>661</v>
      </c>
      <c r="B301" s="650">
        <f>Fjernvarme!B14</f>
        <v>0</v>
      </c>
      <c r="C301" s="650"/>
      <c r="D301" s="650">
        <f>Fjernvarme!C14</f>
        <v>0</v>
      </c>
      <c r="E301" s="650"/>
      <c r="F301" s="650">
        <f>Fjernvarme!D14</f>
        <v>0</v>
      </c>
      <c r="G301" s="650"/>
      <c r="H301" s="650">
        <f>Fjernvarme!E14</f>
        <v>0</v>
      </c>
      <c r="I301" s="650"/>
      <c r="J301" s="650">
        <f>Fjernvarme!F14</f>
        <v>0</v>
      </c>
      <c r="K301" s="650"/>
      <c r="L301" s="650">
        <f>Fjernvarme!G14</f>
        <v>0</v>
      </c>
      <c r="M301" s="650"/>
      <c r="N301" s="650">
        <f>Fjernvarme!H14</f>
        <v>0</v>
      </c>
      <c r="O301" s="650"/>
      <c r="P301" s="650">
        <f>Fjernvarme!H14</f>
        <v>0</v>
      </c>
      <c r="Q301" s="650"/>
      <c r="R301" s="650">
        <f>Fjernvarme!I14</f>
        <v>0</v>
      </c>
      <c r="S301" s="650"/>
      <c r="T301" s="734">
        <f>Fjernvarme!J14</f>
        <v>0</v>
      </c>
      <c r="U301" s="650"/>
      <c r="V301" s="734">
        <f>Fjernvarme!L14</f>
        <v>0</v>
      </c>
      <c r="W301" s="604"/>
      <c r="X301" s="604"/>
    </row>
    <row r="302" spans="1:24" x14ac:dyDescent="0.25">
      <c r="A302" s="629" t="s">
        <v>357</v>
      </c>
      <c r="B302" s="629"/>
      <c r="C302" s="735"/>
      <c r="D302" s="629"/>
      <c r="E302" s="735"/>
      <c r="F302" s="629"/>
      <c r="G302" s="735"/>
      <c r="H302" s="629"/>
      <c r="I302" s="735"/>
      <c r="J302" s="629"/>
      <c r="K302" s="735"/>
      <c r="L302" s="629"/>
      <c r="M302" s="735"/>
      <c r="N302" s="629"/>
      <c r="O302" s="735"/>
      <c r="P302" s="629"/>
      <c r="Q302" s="735"/>
      <c r="R302" s="629"/>
      <c r="S302" s="735"/>
      <c r="T302" s="706"/>
      <c r="U302" s="735"/>
      <c r="V302" s="706"/>
      <c r="W302" s="735"/>
      <c r="X302" s="604"/>
    </row>
    <row r="303" spans="1:24" x14ac:dyDescent="0.25">
      <c r="A303" s="604" t="s">
        <v>145</v>
      </c>
      <c r="B303" s="650">
        <f>' Plan Energi 2030-S'!AF33/IF(' Plan Energi 2030-S'!AF$39&lt;0,' Plan Energi 2030-S'!AF$39,1)*-1</f>
        <v>0</v>
      </c>
      <c r="C303" s="650"/>
      <c r="D303" s="650">
        <f>' Plan Energi 2006'!AF33/IF(' Plan Energi 2006'!AF$39&lt;0,' Plan Energi 2006'!AF$39,1)*-1</f>
        <v>0</v>
      </c>
      <c r="E303" s="650"/>
      <c r="F303" s="650">
        <f>' Plan Energi 2008'!AF33/IF(' Plan Energi 2008'!AF$39&lt;0,' Plan Energi 2008'!AF$39,1)*-1</f>
        <v>0</v>
      </c>
      <c r="G303" s="650"/>
      <c r="H303" s="650">
        <f>' Plan Energi 2009'!AF33/IF(' Plan Energi 2009'!AF$39&lt;0,' Plan Energi 2009'!AF$39,1)*-1</f>
        <v>0</v>
      </c>
      <c r="I303" s="650"/>
      <c r="J303" s="650">
        <f>' Plan Energi 2011'!AF33/IF(' Plan Energi 2011'!AF$39&lt;0,' Plan Energi 2011'!AF$39,1)*-1</f>
        <v>0</v>
      </c>
      <c r="K303" s="650"/>
      <c r="L303" s="650">
        <f>' Plan Energi 2013'!AF33/IF(' Plan Energi 2013'!AF$39&lt;0,' Plan Energi 2013'!AF$39,1)*-1</f>
        <v>0</v>
      </c>
      <c r="M303" s="650"/>
      <c r="N303" s="650">
        <f>' Plan Energi 2015'!AF33/IF(' Plan Energi 2015'!AF$39&lt;0,' Plan Energi 2015'!AF$39,1)*-1</f>
        <v>0</v>
      </c>
      <c r="O303" s="650"/>
      <c r="P303" s="650">
        <f>' Plan Energi 2017'!AF33/IF(' Plan Energi 2017'!AF$39&lt;0,' Plan Energi 2017'!AF$39,1)*-1</f>
        <v>0</v>
      </c>
      <c r="Q303" s="650"/>
      <c r="R303" s="650">
        <f>' Plan Energi 2019'!AF33/IF(' Plan Energi 2019'!AF$39&lt;0,' Plan Energi 2019'!AF$39,1)*-1</f>
        <v>0</v>
      </c>
      <c r="S303" s="650"/>
      <c r="T303" s="726">
        <f>Fjernvarme!J16</f>
        <v>0</v>
      </c>
      <c r="U303" s="650"/>
      <c r="V303" s="726">
        <f>Fjernvarme!L16</f>
        <v>0</v>
      </c>
      <c r="W303" s="650"/>
      <c r="X303" s="604"/>
    </row>
    <row r="304" spans="1:24" x14ac:dyDescent="0.25">
      <c r="A304" s="604" t="s">
        <v>147</v>
      </c>
      <c r="B304" s="650">
        <f>' Plan Energi 2030-S'!AF34/IF(' Plan Energi 2030-S'!AF$39&lt;0,' Plan Energi 2030-S'!AF$39,1)*-1</f>
        <v>0</v>
      </c>
      <c r="C304" s="650"/>
      <c r="D304" s="650">
        <f>' Plan Energi 2006'!AF34/IF(' Plan Energi 2006'!AF$39&lt;0,' Plan Energi 2006'!AF$39,1)*-1</f>
        <v>0</v>
      </c>
      <c r="E304" s="650"/>
      <c r="F304" s="650">
        <f>' Plan Energi 2008'!AF34/IF(' Plan Energi 2008'!AF$39&lt;0,' Plan Energi 2008'!AF$39,1)*-1</f>
        <v>0</v>
      </c>
      <c r="G304" s="650"/>
      <c r="H304" s="650">
        <f>' Plan Energi 2009'!AF34/IF(' Plan Energi 2009'!AF$39&lt;0,' Plan Energi 2009'!AF$39,1)*-1</f>
        <v>0</v>
      </c>
      <c r="I304" s="650"/>
      <c r="J304" s="650">
        <f>' Plan Energi 2011'!AF34/IF(' Plan Energi 2011'!AF$39&lt;0,' Plan Energi 2011'!AF$39,1)*-1</f>
        <v>0</v>
      </c>
      <c r="K304" s="650"/>
      <c r="L304" s="650">
        <f>' Plan Energi 2013'!AF34/IF(' Plan Energi 2013'!AF$39&lt;0,' Plan Energi 2013'!AF$39,1)*-1</f>
        <v>0</v>
      </c>
      <c r="M304" s="650"/>
      <c r="N304" s="650">
        <f>' Plan Energi 2015'!AF34/IF(' Plan Energi 2015'!AF$39&lt;0,' Plan Energi 2015'!AF$39,1)*-1</f>
        <v>0</v>
      </c>
      <c r="O304" s="650"/>
      <c r="P304" s="650">
        <f>' Plan Energi 2017'!AF34/IF(' Plan Energi 2017'!AF$39&lt;0,' Plan Energi 2017'!AF$39,1)*-1</f>
        <v>0</v>
      </c>
      <c r="Q304" s="650"/>
      <c r="R304" s="650">
        <f>' Plan Energi 2019'!AF34/IF(' Plan Energi 2019'!AF$39&lt;0,' Plan Energi 2019'!AF$39,1)*-1</f>
        <v>0</v>
      </c>
      <c r="S304" s="650"/>
      <c r="T304" s="726">
        <f>Fjernvarme!J17</f>
        <v>0</v>
      </c>
      <c r="U304" s="650"/>
      <c r="V304" s="726">
        <f>Fjernvarme!L17</f>
        <v>0</v>
      </c>
      <c r="W304" s="650"/>
      <c r="X304" s="604"/>
    </row>
    <row r="305" spans="1:24" x14ac:dyDescent="0.25">
      <c r="A305" s="604" t="s">
        <v>149</v>
      </c>
      <c r="B305" s="650">
        <f>' Plan Energi 2030-S'!AF35/IF(' Plan Energi 2030-S'!AF$39&lt;0,' Plan Energi 2030-S'!AF$39,1)*-1</f>
        <v>0</v>
      </c>
      <c r="C305" s="650"/>
      <c r="D305" s="650">
        <f>' Plan Energi 2006'!AF35/IF(' Plan Energi 2006'!AF$39&lt;0,' Plan Energi 2006'!AF$39,1)*-1</f>
        <v>0</v>
      </c>
      <c r="E305" s="650"/>
      <c r="F305" s="650">
        <f>' Plan Energi 2008'!AF35/IF(' Plan Energi 2008'!AF$39&lt;0,' Plan Energi 2008'!AF$39,1)*-1</f>
        <v>0</v>
      </c>
      <c r="G305" s="650"/>
      <c r="H305" s="650">
        <f>' Plan Energi 2009'!AF35/IF(' Plan Energi 2009'!AF$39&lt;0,' Plan Energi 2009'!AF$39,1)*-1</f>
        <v>0</v>
      </c>
      <c r="I305" s="650"/>
      <c r="J305" s="650">
        <f>' Plan Energi 2011'!AF35/IF(' Plan Energi 2011'!AF$39&lt;0,' Plan Energi 2011'!AF$39,1)*-1</f>
        <v>0</v>
      </c>
      <c r="K305" s="650"/>
      <c r="L305" s="650">
        <f>' Plan Energi 2013'!AF35/IF(' Plan Energi 2013'!AF$39&lt;0,' Plan Energi 2013'!AF$39,1)*-1</f>
        <v>0</v>
      </c>
      <c r="M305" s="650"/>
      <c r="N305" s="650">
        <f>' Plan Energi 2015'!AF35/IF(' Plan Energi 2015'!AF$39&lt;0,' Plan Energi 2015'!AF$39,1)*-1</f>
        <v>0</v>
      </c>
      <c r="O305" s="650"/>
      <c r="P305" s="650">
        <f>' Plan Energi 2017'!AF35/IF(' Plan Energi 2017'!AF$39&lt;0,' Plan Energi 2017'!AF$39,1)*-1</f>
        <v>0</v>
      </c>
      <c r="Q305" s="650"/>
      <c r="R305" s="650">
        <f>' Plan Energi 2019'!AF35/IF(' Plan Energi 2019'!AF$39&lt;0,' Plan Energi 2019'!AF$39,1)*-1</f>
        <v>0</v>
      </c>
      <c r="S305" s="650"/>
      <c r="T305" s="726">
        <f>Fjernvarme!J18</f>
        <v>0</v>
      </c>
      <c r="U305" s="650"/>
      <c r="V305" s="726">
        <f>Fjernvarme!L18</f>
        <v>0</v>
      </c>
      <c r="W305" s="650"/>
      <c r="X305" s="604"/>
    </row>
    <row r="306" spans="1:24" x14ac:dyDescent="0.25">
      <c r="A306" s="604" t="s">
        <v>151</v>
      </c>
      <c r="B306" s="650">
        <f>' Plan Energi 2030-S'!AF36/IF(' Plan Energi 2030-S'!AF$39&lt;0,' Plan Energi 2030-S'!AF$39,1)*-1</f>
        <v>0</v>
      </c>
      <c r="C306" s="650"/>
      <c r="D306" s="650">
        <f>' Plan Energi 2006'!AF36/IF(' Plan Energi 2006'!AF$39&lt;0,' Plan Energi 2006'!AF$39,1)*-1</f>
        <v>0</v>
      </c>
      <c r="E306" s="650"/>
      <c r="F306" s="650">
        <f>' Plan Energi 2008'!AF36/IF(' Plan Energi 2008'!AF$39&lt;0,' Plan Energi 2008'!AF$39,1)*-1</f>
        <v>0</v>
      </c>
      <c r="G306" s="650"/>
      <c r="H306" s="650">
        <f>' Plan Energi 2009'!AF36/IF(' Plan Energi 2009'!AF$39&lt;0,' Plan Energi 2009'!AF$39,1)*-1</f>
        <v>0</v>
      </c>
      <c r="I306" s="650"/>
      <c r="J306" s="650">
        <f>' Plan Energi 2011'!AF36/IF(' Plan Energi 2011'!AF$39&lt;0,' Plan Energi 2011'!AF$39,1)*-1</f>
        <v>0</v>
      </c>
      <c r="K306" s="650"/>
      <c r="L306" s="650">
        <f>' Plan Energi 2013'!AF36/IF(' Plan Energi 2013'!AF$39&lt;0,' Plan Energi 2013'!AF$39,1)*-1</f>
        <v>0</v>
      </c>
      <c r="M306" s="650"/>
      <c r="N306" s="650">
        <f>' Plan Energi 2015'!AF36/IF(' Plan Energi 2015'!AF$39&lt;0,' Plan Energi 2015'!AF$39,1)*-1</f>
        <v>0</v>
      </c>
      <c r="O306" s="650"/>
      <c r="P306" s="650">
        <f>' Plan Energi 2017'!AF36/IF(' Plan Energi 2017'!AF$39&lt;0,' Plan Energi 2017'!AF$39,1)*-1</f>
        <v>0</v>
      </c>
      <c r="Q306" s="650"/>
      <c r="R306" s="650">
        <f>' Plan Energi 2019'!AF36/IF(' Plan Energi 2019'!AF$39&lt;0,' Plan Energi 2019'!AF$39,1)*-1</f>
        <v>0</v>
      </c>
      <c r="S306" s="650"/>
      <c r="T306" s="726">
        <f>Fjernvarme!J19</f>
        <v>0</v>
      </c>
      <c r="U306" s="650"/>
      <c r="V306" s="726">
        <f>Fjernvarme!L19</f>
        <v>0</v>
      </c>
      <c r="W306" s="650"/>
      <c r="X306" s="604"/>
    </row>
    <row r="307" spans="1:24" x14ac:dyDescent="0.25">
      <c r="A307" s="604" t="s">
        <v>153</v>
      </c>
      <c r="B307" s="650">
        <f>' Plan Energi 2030-S'!AF37/IF(' Plan Energi 2030-S'!AF$39&lt;0,' Plan Energi 2030-S'!AF$39,1)*-1</f>
        <v>0</v>
      </c>
      <c r="C307" s="650"/>
      <c r="D307" s="650">
        <f>' Plan Energi 2006'!AF37/IF(' Plan Energi 2006'!AF$39&lt;0,' Plan Energi 2006'!AF$39,1)*-1</f>
        <v>0</v>
      </c>
      <c r="E307" s="650"/>
      <c r="F307" s="650">
        <f>' Plan Energi 2008'!AF37/IF(' Plan Energi 2008'!AF$39&lt;0,' Plan Energi 2008'!AF$39,1)*-1</f>
        <v>0</v>
      </c>
      <c r="G307" s="650"/>
      <c r="H307" s="650">
        <f>' Plan Energi 2009'!AF37/IF(' Plan Energi 2009'!AF$39&lt;0,' Plan Energi 2009'!AF$39,1)*-1</f>
        <v>0</v>
      </c>
      <c r="I307" s="650"/>
      <c r="J307" s="650">
        <f>' Plan Energi 2011'!AF37/IF(' Plan Energi 2011'!AF$39&lt;0,' Plan Energi 2011'!AF$39,1)*-1</f>
        <v>0</v>
      </c>
      <c r="K307" s="650"/>
      <c r="L307" s="650">
        <f>' Plan Energi 2013'!AF37/IF(' Plan Energi 2013'!AF$39&lt;0,' Plan Energi 2013'!AF$39,1)*-1</f>
        <v>0</v>
      </c>
      <c r="M307" s="650"/>
      <c r="N307" s="650">
        <f>' Plan Energi 2015'!AF37/IF(' Plan Energi 2015'!AF$39&lt;0,' Plan Energi 2015'!AF$39,1)*-1</f>
        <v>0</v>
      </c>
      <c r="O307" s="650"/>
      <c r="P307" s="650">
        <f>' Plan Energi 2017'!AF37/IF(' Plan Energi 2017'!AF$39&lt;0,' Plan Energi 2017'!AF$39,1)*-1</f>
        <v>0</v>
      </c>
      <c r="Q307" s="650"/>
      <c r="R307" s="650">
        <f>' Plan Energi 2019'!AF37/IF(' Plan Energi 2019'!AF$39&lt;0,' Plan Energi 2019'!AF$39,1)*-1</f>
        <v>0</v>
      </c>
      <c r="S307" s="650"/>
      <c r="T307" s="726">
        <f>Fjernvarme!J20</f>
        <v>0</v>
      </c>
      <c r="U307" s="650"/>
      <c r="V307" s="726">
        <f>Fjernvarme!L20</f>
        <v>0</v>
      </c>
      <c r="W307" s="650"/>
      <c r="X307" s="604"/>
    </row>
    <row r="308" spans="1:24" x14ac:dyDescent="0.25">
      <c r="A308" s="604" t="s">
        <v>155</v>
      </c>
      <c r="B308" s="650">
        <f>' Plan Energi 2030-S'!AF38/IF(' Plan Energi 2030-S'!AF$39&lt;0,' Plan Energi 2030-S'!AF$39,1)*-1</f>
        <v>0</v>
      </c>
      <c r="C308" s="650"/>
      <c r="D308" s="650">
        <f>' Plan Energi 2006'!AF38/IF(' Plan Energi 2006'!AF$39&lt;0,' Plan Energi 2006'!AF$39,1)*-1</f>
        <v>0</v>
      </c>
      <c r="E308" s="650"/>
      <c r="F308" s="650">
        <f>' Plan Energi 2008'!AF38/IF(' Plan Energi 2008'!AF$39&lt;0,' Plan Energi 2008'!AF$39,1)*-1</f>
        <v>0</v>
      </c>
      <c r="G308" s="650"/>
      <c r="H308" s="650">
        <f>' Plan Energi 2009'!AF38/IF(' Plan Energi 2009'!AF$39&lt;0,' Plan Energi 2009'!AF$39,1)*-1</f>
        <v>0</v>
      </c>
      <c r="I308" s="650"/>
      <c r="J308" s="650">
        <f>' Plan Energi 2011'!AF38/IF(' Plan Energi 2011'!AF$39&lt;0,' Plan Energi 2011'!AF$39,1)*-1</f>
        <v>0</v>
      </c>
      <c r="K308" s="650"/>
      <c r="L308" s="650">
        <f>' Plan Energi 2013'!AF38/IF(' Plan Energi 2013'!AF$39&lt;0,' Plan Energi 2013'!AF$39,1)*-1</f>
        <v>0</v>
      </c>
      <c r="M308" s="650"/>
      <c r="N308" s="650">
        <f>' Plan Energi 2015'!AF38/IF(' Plan Energi 2015'!AF$39&lt;0,' Plan Energi 2015'!AF$39,1)*-1</f>
        <v>0</v>
      </c>
      <c r="O308" s="650"/>
      <c r="P308" s="650">
        <f>' Plan Energi 2017'!AF38/IF(' Plan Energi 2017'!AF$39&lt;0,' Plan Energi 2017'!AF$39,1)*-1</f>
        <v>0</v>
      </c>
      <c r="Q308" s="650"/>
      <c r="R308" s="650">
        <f>' Plan Energi 2019'!AF38/IF(' Plan Energi 2019'!AF$39&lt;0,' Plan Energi 2019'!AF$39,1)*-1</f>
        <v>0</v>
      </c>
      <c r="S308" s="650"/>
      <c r="T308" s="726">
        <f>Fjernvarme!J21</f>
        <v>0</v>
      </c>
      <c r="U308" s="650"/>
      <c r="V308" s="726">
        <f>Fjernvarme!L21</f>
        <v>0</v>
      </c>
      <c r="W308" s="650"/>
      <c r="X308" s="604"/>
    </row>
    <row r="309" spans="1:24" x14ac:dyDescent="0.25">
      <c r="A309" s="604" t="s">
        <v>159</v>
      </c>
      <c r="B309" s="650">
        <f>' Plan Energi 2030-S'!AF61/IF(' Plan Energi 2030-S'!AF$62&lt;0,' Plan Energi 2030-S'!AF$62,1)*-1</f>
        <v>1</v>
      </c>
      <c r="C309" s="650"/>
      <c r="D309" s="650">
        <f>' Plan Energi 2006'!AF61/IF(' Plan Energi 2006'!AF$62&lt;0,' Plan Energi 2006'!AF$62,1)*-1</f>
        <v>1</v>
      </c>
      <c r="E309" s="650"/>
      <c r="F309" s="650">
        <f>' Plan Energi 2008'!AF61/IF(' Plan Energi 2008'!AF$62&lt;0,' Plan Energi 2008'!AF$62,1)*-1</f>
        <v>1</v>
      </c>
      <c r="G309" s="650"/>
      <c r="H309" s="650">
        <f>' Plan Energi 2009'!AF61/IF(' Plan Energi 2009'!AF$62&lt;0,' Plan Energi 2009'!AF$62,1)*-1</f>
        <v>1</v>
      </c>
      <c r="I309" s="650"/>
      <c r="J309" s="650">
        <f>' Plan Energi 2011'!AF61/IF(' Plan Energi 2011'!AF$62&lt;0,' Plan Energi 2011'!AF$62,1)*-1</f>
        <v>1</v>
      </c>
      <c r="K309" s="650"/>
      <c r="L309" s="650">
        <f>' Plan Energi 2013'!AF61/IF(' Plan Energi 2013'!AF$62&lt;0,' Plan Energi 2013'!AF$62,1)*-1</f>
        <v>1</v>
      </c>
      <c r="M309" s="650"/>
      <c r="N309" s="650">
        <f>' Plan Energi 2015'!AF61/IF(' Plan Energi 2015'!AF$62&lt;0,' Plan Energi 2015'!AF$62,1)*-1</f>
        <v>1</v>
      </c>
      <c r="O309" s="650"/>
      <c r="P309" s="650">
        <f>' Plan Energi 2017'!AF61/IF(' Plan Energi 2017'!AF$62&lt;0,' Plan Energi 2017'!AF$62,1)*-1</f>
        <v>1</v>
      </c>
      <c r="Q309" s="650"/>
      <c r="R309" s="650">
        <f>' Plan Energi 2019'!AF61/IF(' Plan Energi 2019'!AF$62&lt;0,' Plan Energi 2019'!AF$62,1)*-1</f>
        <v>1</v>
      </c>
      <c r="S309" s="650"/>
      <c r="T309" s="726">
        <f>Fjernvarme!J48</f>
        <v>0.99998119123309803</v>
      </c>
      <c r="U309" s="650"/>
      <c r="V309" s="726">
        <f>Fjernvarme!L48</f>
        <v>1</v>
      </c>
      <c r="W309" s="650"/>
      <c r="X309" s="604"/>
    </row>
    <row r="310" spans="1:24" ht="18" x14ac:dyDescent="0.35">
      <c r="A310" s="705" t="s">
        <v>666</v>
      </c>
      <c r="B310" s="650">
        <f>Fjernvarme!B22</f>
        <v>0</v>
      </c>
      <c r="C310" s="666"/>
      <c r="D310" s="650">
        <f>Fjernvarme!C22</f>
        <v>0</v>
      </c>
      <c r="E310" s="666"/>
      <c r="F310" s="650">
        <f>Fjernvarme!D22</f>
        <v>0</v>
      </c>
      <c r="G310" s="666"/>
      <c r="H310" s="650">
        <f>Fjernvarme!E22</f>
        <v>0</v>
      </c>
      <c r="I310" s="666"/>
      <c r="J310" s="650">
        <f>Fjernvarme!F22</f>
        <v>0</v>
      </c>
      <c r="K310" s="666"/>
      <c r="L310" s="650">
        <f>Fjernvarme!G22</f>
        <v>0</v>
      </c>
      <c r="M310" s="666"/>
      <c r="N310" s="650">
        <f>Fjernvarme!H22</f>
        <v>0</v>
      </c>
      <c r="O310" s="666"/>
      <c r="P310" s="650">
        <f>Fjernvarme!H22</f>
        <v>0</v>
      </c>
      <c r="Q310" s="666"/>
      <c r="R310" s="650">
        <f>Fjernvarme!I22</f>
        <v>0</v>
      </c>
      <c r="S310" s="666"/>
      <c r="T310" s="734">
        <f>Fjernvarme!J22</f>
        <v>0</v>
      </c>
      <c r="U310" s="666"/>
      <c r="V310" s="734">
        <f>Fjernvarme!L22</f>
        <v>0</v>
      </c>
      <c r="W310" s="604"/>
      <c r="X310" s="604"/>
    </row>
    <row r="311" spans="1:24" ht="15" customHeight="1" x14ac:dyDescent="0.25">
      <c r="A311" s="629" t="s">
        <v>358</v>
      </c>
      <c r="B311" s="629"/>
      <c r="C311" s="706"/>
      <c r="D311" s="629"/>
      <c r="E311" s="706"/>
      <c r="F311" s="629"/>
      <c r="G311" s="706"/>
      <c r="H311" s="629"/>
      <c r="I311" s="706"/>
      <c r="J311" s="629"/>
      <c r="K311" s="706"/>
      <c r="L311" s="629"/>
      <c r="M311" s="706"/>
      <c r="N311" s="629"/>
      <c r="O311" s="706"/>
      <c r="P311" s="629"/>
      <c r="Q311" s="706"/>
      <c r="R311" s="629"/>
      <c r="S311" s="706"/>
      <c r="T311" s="706"/>
      <c r="U311" s="706"/>
      <c r="V311" s="706"/>
      <c r="W311" s="706"/>
      <c r="X311" s="604"/>
    </row>
    <row r="312" spans="1:24" ht="15" customHeight="1" x14ac:dyDescent="0.25">
      <c r="A312" s="604" t="s">
        <v>163</v>
      </c>
      <c r="B312" s="650">
        <f>' Plan Energi 2030-S'!AF40/IF(' Plan Energi 2030-S'!AF$43&lt;0,' Plan Energi 2030-S'!AF$43,1)*-1</f>
        <v>0</v>
      </c>
      <c r="C312" s="650"/>
      <c r="D312" s="650">
        <f>' Plan Energi 2006'!AF40/IF(' Plan Energi 2006'!AF$43&lt;0,' Plan Energi 2006'!AF$43,1)*-1</f>
        <v>0</v>
      </c>
      <c r="E312" s="650"/>
      <c r="F312" s="650">
        <f>' Plan Energi 2008'!AF40/IF(' Plan Energi 2008'!AF$43&lt;0,' Plan Energi 2008'!AF$43,1)*-1</f>
        <v>0</v>
      </c>
      <c r="G312" s="650"/>
      <c r="H312" s="650">
        <f>' Plan Energi 2009'!AF40/IF(' Plan Energi 2009'!AF$43&lt;0,' Plan Energi 2009'!AF$43,1)*-1</f>
        <v>0</v>
      </c>
      <c r="I312" s="650"/>
      <c r="J312" s="650">
        <f>' Plan Energi 2011'!AF40/IF(' Plan Energi 2011'!AF$43&lt;0,' Plan Energi 2011'!AF$43,1)*-1</f>
        <v>0</v>
      </c>
      <c r="K312" s="650"/>
      <c r="L312" s="650">
        <f>' Plan Energi 2013'!AF40/IF(' Plan Energi 2013'!AF$43&lt;0,' Plan Energi 2013'!AF$43,1)*-1</f>
        <v>0</v>
      </c>
      <c r="M312" s="650"/>
      <c r="N312" s="650">
        <f>' Plan Energi 2015'!AF40/IF(' Plan Energi 2015'!AF$43&lt;0,' Plan Energi 2015'!AF$43,1)*-1</f>
        <v>0</v>
      </c>
      <c r="O312" s="650"/>
      <c r="P312" s="650">
        <f>' Plan Energi 2017'!AF40/IF(' Plan Energi 2017'!AF$43&lt;0,' Plan Energi 2017'!AF$43,1)*-1</f>
        <v>0</v>
      </c>
      <c r="Q312" s="650"/>
      <c r="R312" s="650">
        <f>' Plan Energi 2019'!AF40/IF(' Plan Energi 2019'!AF$43&lt;0,' Plan Energi 2019'!AF$43,1)*-1</f>
        <v>0</v>
      </c>
      <c r="S312" s="650"/>
      <c r="T312" s="726">
        <f>Fjernvarme!J24</f>
        <v>0</v>
      </c>
      <c r="U312" s="650"/>
      <c r="V312" s="726">
        <f>Fjernvarme!L24</f>
        <v>0</v>
      </c>
      <c r="W312" s="650"/>
      <c r="X312" s="604"/>
    </row>
    <row r="313" spans="1:24" ht="15" customHeight="1" x14ac:dyDescent="0.25">
      <c r="A313" s="604" t="s">
        <v>165</v>
      </c>
      <c r="B313" s="650">
        <f>' Plan Energi 2030-S'!AF41/IF(' Plan Energi 2030-S'!AF$43&lt;0,' Plan Energi 2030-S'!AF$43,1)*-1</f>
        <v>0</v>
      </c>
      <c r="C313" s="650"/>
      <c r="D313" s="650">
        <f>' Plan Energi 2006'!AF41/IF(' Plan Energi 2006'!AF$43&lt;0,' Plan Energi 2006'!AF$43,1)*-1</f>
        <v>0</v>
      </c>
      <c r="E313" s="650"/>
      <c r="F313" s="650">
        <f>' Plan Energi 2008'!AF41/IF(' Plan Energi 2008'!AF$43&lt;0,' Plan Energi 2008'!AF$43,1)*-1</f>
        <v>0</v>
      </c>
      <c r="G313" s="650"/>
      <c r="H313" s="650">
        <f>' Plan Energi 2009'!AF41/IF(' Plan Energi 2009'!AF$43&lt;0,' Plan Energi 2009'!AF$43,1)*-1</f>
        <v>0</v>
      </c>
      <c r="I313" s="650"/>
      <c r="J313" s="650">
        <f>' Plan Energi 2011'!AF41/IF(' Plan Energi 2011'!AF$43&lt;0,' Plan Energi 2011'!AF$43,1)*-1</f>
        <v>0</v>
      </c>
      <c r="K313" s="650"/>
      <c r="L313" s="650">
        <f>' Plan Energi 2013'!AF41/IF(' Plan Energi 2013'!AF$43&lt;0,' Plan Energi 2013'!AF$43,1)*-1</f>
        <v>0</v>
      </c>
      <c r="M313" s="650"/>
      <c r="N313" s="650">
        <f>' Plan Energi 2015'!AF41/IF(' Plan Energi 2015'!AF$43&lt;0,' Plan Energi 2015'!AF$43,1)*-1</f>
        <v>0</v>
      </c>
      <c r="O313" s="650"/>
      <c r="P313" s="650">
        <f>' Plan Energi 2017'!AF41/IF(' Plan Energi 2017'!AF$43&lt;0,' Plan Energi 2017'!AF$43,1)*-1</f>
        <v>0</v>
      </c>
      <c r="Q313" s="650"/>
      <c r="R313" s="650">
        <f>' Plan Energi 2019'!AF41/IF(' Plan Energi 2019'!AF$43&lt;0,' Plan Energi 2019'!AF$43,1)*-1</f>
        <v>0</v>
      </c>
      <c r="S313" s="650"/>
      <c r="T313" s="726">
        <f>Fjernvarme!J25</f>
        <v>0</v>
      </c>
      <c r="U313" s="650"/>
      <c r="V313" s="726">
        <f>Fjernvarme!L25</f>
        <v>0</v>
      </c>
      <c r="W313" s="650"/>
      <c r="X313" s="604"/>
    </row>
    <row r="314" spans="1:24" ht="15" customHeight="1" x14ac:dyDescent="0.25">
      <c r="A314" s="604" t="s">
        <v>167</v>
      </c>
      <c r="B314" s="650">
        <f>' Plan Energi 2030-S'!AF42/IF(' Plan Energi 2030-S'!AF$43&lt;0,' Plan Energi 2030-S'!AF$43,1)*-1</f>
        <v>0</v>
      </c>
      <c r="C314" s="650"/>
      <c r="D314" s="650">
        <f>' Plan Energi 2006'!AF42/IF(' Plan Energi 2006'!AF$43&lt;0,' Plan Energi 2006'!AF$43,1)*-1</f>
        <v>0</v>
      </c>
      <c r="E314" s="650"/>
      <c r="F314" s="650">
        <f>' Plan Energi 2008'!AF42/IF(' Plan Energi 2008'!AF$43&lt;0,' Plan Energi 2008'!AF$43,1)*-1</f>
        <v>0</v>
      </c>
      <c r="G314" s="650"/>
      <c r="H314" s="650">
        <f>' Plan Energi 2009'!AF42/IF(' Plan Energi 2009'!AF$43&lt;0,' Plan Energi 2009'!AF$43,1)*-1</f>
        <v>0</v>
      </c>
      <c r="I314" s="650"/>
      <c r="J314" s="650">
        <f>' Plan Energi 2011'!AF42/IF(' Plan Energi 2011'!AF$43&lt;0,' Plan Energi 2011'!AF$43,1)*-1</f>
        <v>0</v>
      </c>
      <c r="K314" s="650"/>
      <c r="L314" s="650">
        <f>' Plan Energi 2013'!AF42/IF(' Plan Energi 2013'!AF$43&lt;0,' Plan Energi 2013'!AF$43,1)*-1</f>
        <v>0</v>
      </c>
      <c r="M314" s="650"/>
      <c r="N314" s="650">
        <f>' Plan Energi 2015'!AF42/IF(' Plan Energi 2015'!AF$43&lt;0,' Plan Energi 2015'!AF$43,1)*-1</f>
        <v>0</v>
      </c>
      <c r="O314" s="650"/>
      <c r="P314" s="650">
        <f>' Plan Energi 2017'!AF42/IF(' Plan Energi 2017'!AF$43&lt;0,' Plan Energi 2017'!AF$43,1)*-1</f>
        <v>0</v>
      </c>
      <c r="Q314" s="650"/>
      <c r="R314" s="650">
        <f>' Plan Energi 2019'!AF42/IF(' Plan Energi 2019'!AF$43&lt;0,' Plan Energi 2019'!AF$43,1)*-1</f>
        <v>0</v>
      </c>
      <c r="S314" s="650"/>
      <c r="T314" s="726">
        <f>Fjernvarme!J26</f>
        <v>0</v>
      </c>
      <c r="U314" s="650"/>
      <c r="V314" s="726">
        <f>Fjernvarme!L26</f>
        <v>0</v>
      </c>
      <c r="W314" s="650"/>
      <c r="X314" s="604"/>
    </row>
    <row r="315" spans="1:24" ht="18" x14ac:dyDescent="0.35">
      <c r="A315" s="705" t="s">
        <v>657</v>
      </c>
      <c r="B315" s="650">
        <f>Fjernvarme!B27</f>
        <v>0</v>
      </c>
      <c r="C315" s="666"/>
      <c r="D315" s="650">
        <f>Fjernvarme!C27</f>
        <v>0</v>
      </c>
      <c r="E315" s="666"/>
      <c r="F315" s="650">
        <f>Fjernvarme!D27</f>
        <v>0</v>
      </c>
      <c r="G315" s="666"/>
      <c r="H315" s="650">
        <f>Fjernvarme!E27</f>
        <v>0</v>
      </c>
      <c r="I315" s="666"/>
      <c r="J315" s="650">
        <f>Fjernvarme!F27</f>
        <v>0</v>
      </c>
      <c r="K315" s="666"/>
      <c r="L315" s="650">
        <f>Fjernvarme!G27</f>
        <v>0</v>
      </c>
      <c r="M315" s="666"/>
      <c r="N315" s="650">
        <f>Fjernvarme!H27</f>
        <v>0</v>
      </c>
      <c r="O315" s="666"/>
      <c r="P315" s="650">
        <f>Fjernvarme!H27</f>
        <v>0</v>
      </c>
      <c r="Q315" s="666"/>
      <c r="R315" s="650">
        <f>Fjernvarme!I27</f>
        <v>0</v>
      </c>
      <c r="S315" s="666"/>
      <c r="T315" s="734">
        <f>Fjernvarme!J27</f>
        <v>0</v>
      </c>
      <c r="U315" s="604"/>
      <c r="V315" s="734">
        <f>Fjernvarme!L27</f>
        <v>0</v>
      </c>
      <c r="W315" s="604"/>
      <c r="X315" s="604"/>
    </row>
    <row r="316" spans="1:24" ht="15" customHeight="1" x14ac:dyDescent="0.25">
      <c r="A316" s="629" t="s">
        <v>359</v>
      </c>
      <c r="B316" s="629"/>
      <c r="C316" s="706"/>
      <c r="D316" s="629"/>
      <c r="E316" s="706"/>
      <c r="F316" s="629"/>
      <c r="G316" s="706"/>
      <c r="H316" s="629"/>
      <c r="I316" s="706"/>
      <c r="J316" s="629"/>
      <c r="K316" s="706"/>
      <c r="L316" s="629"/>
      <c r="M316" s="706"/>
      <c r="N316" s="629"/>
      <c r="O316" s="706"/>
      <c r="P316" s="629"/>
      <c r="Q316" s="706"/>
      <c r="R316" s="629"/>
      <c r="S316" s="706"/>
      <c r="T316" s="706"/>
      <c r="U316" s="706"/>
      <c r="V316" s="706"/>
      <c r="W316" s="706"/>
      <c r="X316" s="604"/>
    </row>
    <row r="317" spans="1:24" ht="15" customHeight="1" x14ac:dyDescent="0.25">
      <c r="A317" s="604" t="s">
        <v>173</v>
      </c>
      <c r="B317" s="650">
        <f>' Plan Energi 2030-S'!AF44/IF(' Plan Energi 2030-S'!AF$52&lt;0,' Plan Energi 2030-S'!AF$52,1)*-1</f>
        <v>0</v>
      </c>
      <c r="C317" s="650"/>
      <c r="D317" s="650">
        <f>' Plan Energi 2006'!AF44/IF(' Plan Energi 2006'!AF$52&lt;0,' Plan Energi 2006'!AF$52,1)*-1</f>
        <v>0</v>
      </c>
      <c r="E317" s="650"/>
      <c r="F317" s="650">
        <f>' Plan Energi 2008'!AF44/IF(' Plan Energi 2008'!AF$52&lt;0,' Plan Energi 2008'!AF$52,1)*-1</f>
        <v>0</v>
      </c>
      <c r="G317" s="650"/>
      <c r="H317" s="650">
        <f>' Plan Energi 2009'!AF44/IF(' Plan Energi 2009'!AF$52&lt;0,' Plan Energi 2009'!AF$52,1)*-1</f>
        <v>0</v>
      </c>
      <c r="I317" s="650"/>
      <c r="J317" s="650">
        <f>' Plan Energi 2011'!AF44/IF(' Plan Energi 2011'!AF$52&lt;0,' Plan Energi 2011'!AF$52,1)*-1</f>
        <v>0</v>
      </c>
      <c r="K317" s="650"/>
      <c r="L317" s="650">
        <f>' Plan Energi 2013'!AF44/IF(' Plan Energi 2013'!AF$52&lt;0,' Plan Energi 2013'!AF$52,1)*-1</f>
        <v>0</v>
      </c>
      <c r="M317" s="650"/>
      <c r="N317" s="650">
        <f>' Plan Energi 2015'!AF44/IF(' Plan Energi 2015'!AF$52&lt;0,' Plan Energi 2015'!AF$52,1)*-1</f>
        <v>0</v>
      </c>
      <c r="O317" s="650"/>
      <c r="P317" s="650">
        <f>' Plan Energi 2017'!AF44/IF(' Plan Energi 2017'!AF$52&lt;0,' Plan Energi 2017'!AF$52,1)*-1</f>
        <v>0</v>
      </c>
      <c r="Q317" s="650"/>
      <c r="R317" s="650">
        <f>' Plan Energi 2019'!AF44/IF(' Plan Energi 2019'!AF$52&lt;0,' Plan Energi 2019'!AF$52,1)*-1</f>
        <v>0</v>
      </c>
      <c r="S317" s="650"/>
      <c r="T317" s="726">
        <f>Fjernvarme!J29</f>
        <v>0</v>
      </c>
      <c r="U317" s="650"/>
      <c r="V317" s="726">
        <f>Fjernvarme!L29</f>
        <v>0</v>
      </c>
      <c r="W317" s="650"/>
      <c r="X317" s="604"/>
    </row>
    <row r="318" spans="1:24" ht="15" customHeight="1" x14ac:dyDescent="0.25">
      <c r="A318" s="604" t="s">
        <v>175</v>
      </c>
      <c r="B318" s="650">
        <f>' Plan Energi 2030-S'!AF45/IF(' Plan Energi 2030-S'!AF$52&lt;0,' Plan Energi 2030-S'!AF$52,1)*-1</f>
        <v>0</v>
      </c>
      <c r="C318" s="650"/>
      <c r="D318" s="650">
        <f>' Plan Energi 2006'!AF45/IF(' Plan Energi 2006'!AF$52&lt;0,' Plan Energi 2006'!AF$52,1)*-1</f>
        <v>0</v>
      </c>
      <c r="E318" s="650"/>
      <c r="F318" s="650">
        <f>' Plan Energi 2008'!AF45/IF(' Plan Energi 2008'!AF$52&lt;0,' Plan Energi 2008'!AF$52,1)*-1</f>
        <v>0</v>
      </c>
      <c r="G318" s="650"/>
      <c r="H318" s="650">
        <f>' Plan Energi 2009'!AF45/IF(' Plan Energi 2009'!AF$52&lt;0,' Plan Energi 2009'!AF$52,1)*-1</f>
        <v>0</v>
      </c>
      <c r="I318" s="650"/>
      <c r="J318" s="650">
        <f>' Plan Energi 2011'!AF45/IF(' Plan Energi 2011'!AF$52&lt;0,' Plan Energi 2011'!AF$52,1)*-1</f>
        <v>0</v>
      </c>
      <c r="K318" s="650"/>
      <c r="L318" s="650">
        <f>' Plan Energi 2013'!AF45/IF(' Plan Energi 2013'!AF$52&lt;0,' Plan Energi 2013'!AF$52,1)*-1</f>
        <v>0</v>
      </c>
      <c r="M318" s="650"/>
      <c r="N318" s="650">
        <f>' Plan Energi 2015'!AF45/IF(' Plan Energi 2015'!AF$52&lt;0,' Plan Energi 2015'!AF$52,1)*-1</f>
        <v>0</v>
      </c>
      <c r="O318" s="650"/>
      <c r="P318" s="650">
        <f>' Plan Energi 2017'!AF45/IF(' Plan Energi 2017'!AF$52&lt;0,' Plan Energi 2017'!AF$52,1)*-1</f>
        <v>0</v>
      </c>
      <c r="Q318" s="650"/>
      <c r="R318" s="650">
        <f>' Plan Energi 2019'!AF45/IF(' Plan Energi 2019'!AF$52&lt;0,' Plan Energi 2019'!AF$52,1)*-1</f>
        <v>0</v>
      </c>
      <c r="S318" s="650"/>
      <c r="T318" s="726">
        <f>Fjernvarme!J30</f>
        <v>0</v>
      </c>
      <c r="U318" s="650"/>
      <c r="V318" s="726">
        <f>Fjernvarme!L30</f>
        <v>0</v>
      </c>
      <c r="W318" s="650"/>
      <c r="X318" s="604"/>
    </row>
    <row r="319" spans="1:24" ht="15" customHeight="1" x14ac:dyDescent="0.25">
      <c r="A319" s="604" t="s">
        <v>177</v>
      </c>
      <c r="B319" s="650">
        <f>' Plan Energi 2030-S'!AF46/IF(' Plan Energi 2030-S'!AF$52&lt;0,' Plan Energi 2030-S'!AF$52,1)*-1</f>
        <v>0</v>
      </c>
      <c r="C319" s="650"/>
      <c r="D319" s="650">
        <f>' Plan Energi 2006'!AF46/IF(' Plan Energi 2006'!AF$52&lt;0,' Plan Energi 2006'!AF$52,1)*-1</f>
        <v>0</v>
      </c>
      <c r="E319" s="650"/>
      <c r="F319" s="650">
        <f>' Plan Energi 2008'!AF46/IF(' Plan Energi 2008'!AF$52&lt;0,' Plan Energi 2008'!AF$52,1)*-1</f>
        <v>0</v>
      </c>
      <c r="G319" s="650"/>
      <c r="H319" s="650">
        <f>' Plan Energi 2009'!AF46/IF(' Plan Energi 2009'!AF$52&lt;0,' Plan Energi 2009'!AF$52,1)*-1</f>
        <v>0</v>
      </c>
      <c r="I319" s="650"/>
      <c r="J319" s="650">
        <f>' Plan Energi 2011'!AF46/IF(' Plan Energi 2011'!AF$52&lt;0,' Plan Energi 2011'!AF$52,1)*-1</f>
        <v>0</v>
      </c>
      <c r="K319" s="650"/>
      <c r="L319" s="650">
        <f>' Plan Energi 2013'!AF46/IF(' Plan Energi 2013'!AF$52&lt;0,' Plan Energi 2013'!AF$52,1)*-1</f>
        <v>0</v>
      </c>
      <c r="M319" s="650"/>
      <c r="N319" s="650">
        <f>' Plan Energi 2015'!AF46/IF(' Plan Energi 2015'!AF$52&lt;0,' Plan Energi 2015'!AF$52,1)*-1</f>
        <v>0</v>
      </c>
      <c r="O319" s="650"/>
      <c r="P319" s="650">
        <f>' Plan Energi 2017'!AF46/IF(' Plan Energi 2017'!AF$52&lt;0,' Plan Energi 2017'!AF$52,1)*-1</f>
        <v>0</v>
      </c>
      <c r="Q319" s="650"/>
      <c r="R319" s="650">
        <f>' Plan Energi 2019'!AF46/IF(' Plan Energi 2019'!AF$52&lt;0,' Plan Energi 2019'!AF$52,1)*-1</f>
        <v>0</v>
      </c>
      <c r="S319" s="650"/>
      <c r="T319" s="726">
        <f>Fjernvarme!J31</f>
        <v>0</v>
      </c>
      <c r="U319" s="650"/>
      <c r="V319" s="726">
        <f>Fjernvarme!L31</f>
        <v>0</v>
      </c>
      <c r="W319" s="650"/>
      <c r="X319" s="604"/>
    </row>
    <row r="320" spans="1:24" ht="15" customHeight="1" x14ac:dyDescent="0.25">
      <c r="A320" s="604" t="s">
        <v>179</v>
      </c>
      <c r="B320" s="650">
        <f>' Plan Energi 2030-S'!AF47/IF(' Plan Energi 2030-S'!AF$52&lt;0,' Plan Energi 2030-S'!AF$52,1)*-1</f>
        <v>0</v>
      </c>
      <c r="C320" s="650"/>
      <c r="D320" s="650">
        <f>' Plan Energi 2006'!AF47/IF(' Plan Energi 2006'!AF$52&lt;0,' Plan Energi 2006'!AF$52,1)*-1</f>
        <v>0</v>
      </c>
      <c r="E320" s="650"/>
      <c r="F320" s="650">
        <f>' Plan Energi 2008'!AF47/IF(' Plan Energi 2008'!AF$52&lt;0,' Plan Energi 2008'!AF$52,1)*-1</f>
        <v>0</v>
      </c>
      <c r="G320" s="650"/>
      <c r="H320" s="650">
        <f>' Plan Energi 2009'!AF47/IF(' Plan Energi 2009'!AF$52&lt;0,' Plan Energi 2009'!AF$52,1)*-1</f>
        <v>0</v>
      </c>
      <c r="I320" s="650"/>
      <c r="J320" s="650">
        <f>' Plan Energi 2011'!AF47/IF(' Plan Energi 2011'!AF$52&lt;0,' Plan Energi 2011'!AF$52,1)*-1</f>
        <v>0</v>
      </c>
      <c r="K320" s="650"/>
      <c r="L320" s="650">
        <f>' Plan Energi 2013'!AF47/IF(' Plan Energi 2013'!AF$52&lt;0,' Plan Energi 2013'!AF$52,1)*-1</f>
        <v>0</v>
      </c>
      <c r="M320" s="650"/>
      <c r="N320" s="650">
        <f>' Plan Energi 2015'!AF47/IF(' Plan Energi 2015'!AF$52&lt;0,' Plan Energi 2015'!AF$52,1)*-1</f>
        <v>0</v>
      </c>
      <c r="O320" s="650"/>
      <c r="P320" s="650">
        <f>' Plan Energi 2017'!AF47/IF(' Plan Energi 2017'!AF$52&lt;0,' Plan Energi 2017'!AF$52,1)*-1</f>
        <v>0</v>
      </c>
      <c r="Q320" s="650"/>
      <c r="R320" s="650">
        <f>' Plan Energi 2019'!AF47/IF(' Plan Energi 2019'!AF$52&lt;0,' Plan Energi 2019'!AF$52,1)*-1</f>
        <v>0</v>
      </c>
      <c r="S320" s="650"/>
      <c r="T320" s="726">
        <f>Fjernvarme!J32</f>
        <v>0</v>
      </c>
      <c r="U320" s="650"/>
      <c r="V320" s="726">
        <f>Fjernvarme!L32</f>
        <v>0</v>
      </c>
      <c r="W320" s="650"/>
      <c r="X320" s="604"/>
    </row>
    <row r="321" spans="1:24" ht="15" customHeight="1" x14ac:dyDescent="0.25">
      <c r="A321" s="604" t="s">
        <v>181</v>
      </c>
      <c r="B321" s="650">
        <f>' Plan Energi 2030-S'!AF48/IF(' Plan Energi 2030-S'!AF$52&lt;0,' Plan Energi 2030-S'!AF$52,1)*-1</f>
        <v>0</v>
      </c>
      <c r="C321" s="650"/>
      <c r="D321" s="650">
        <f>' Plan Energi 2006'!AF48/IF(' Plan Energi 2006'!AF$52&lt;0,' Plan Energi 2006'!AF$52,1)*-1</f>
        <v>0</v>
      </c>
      <c r="E321" s="650"/>
      <c r="F321" s="650">
        <f>' Plan Energi 2008'!AF48/IF(' Plan Energi 2008'!AF$52&lt;0,' Plan Energi 2008'!AF$52,1)*-1</f>
        <v>0</v>
      </c>
      <c r="G321" s="650"/>
      <c r="H321" s="650">
        <f>' Plan Energi 2009'!AF48/IF(' Plan Energi 2009'!AF$52&lt;0,' Plan Energi 2009'!AF$52,1)*-1</f>
        <v>0</v>
      </c>
      <c r="I321" s="650"/>
      <c r="J321" s="650">
        <f>' Plan Energi 2011'!AF48/IF(' Plan Energi 2011'!AF$52&lt;0,' Plan Energi 2011'!AF$52,1)*-1</f>
        <v>0</v>
      </c>
      <c r="K321" s="650"/>
      <c r="L321" s="650">
        <f>' Plan Energi 2013'!AF48/IF(' Plan Energi 2013'!AF$52&lt;0,' Plan Energi 2013'!AF$52,1)*-1</f>
        <v>0</v>
      </c>
      <c r="M321" s="650"/>
      <c r="N321" s="650">
        <f>' Plan Energi 2015'!AF48/IF(' Plan Energi 2015'!AF$52&lt;0,' Plan Energi 2015'!AF$52,1)*-1</f>
        <v>0</v>
      </c>
      <c r="O321" s="650"/>
      <c r="P321" s="650">
        <f>' Plan Energi 2017'!AF48/IF(' Plan Energi 2017'!AF$52&lt;0,' Plan Energi 2017'!AF$52,1)*-1</f>
        <v>0</v>
      </c>
      <c r="Q321" s="650"/>
      <c r="R321" s="650">
        <f>' Plan Energi 2019'!AF48/IF(' Plan Energi 2019'!AF$52&lt;0,' Plan Energi 2019'!AF$52,1)*-1</f>
        <v>0</v>
      </c>
      <c r="S321" s="650"/>
      <c r="T321" s="726">
        <f>Fjernvarme!J33</f>
        <v>0</v>
      </c>
      <c r="U321" s="650"/>
      <c r="V321" s="726">
        <f>Fjernvarme!L33</f>
        <v>0</v>
      </c>
      <c r="W321" s="650"/>
      <c r="X321" s="604"/>
    </row>
    <row r="322" spans="1:24" ht="15" customHeight="1" x14ac:dyDescent="0.25">
      <c r="A322" s="604" t="s">
        <v>183</v>
      </c>
      <c r="B322" s="650">
        <f>' Plan Energi 2030-S'!AF49/IF(' Plan Energi 2030-S'!AF$52&lt;0,' Plan Energi 2030-S'!AF$52,1)*-1</f>
        <v>0</v>
      </c>
      <c r="C322" s="650"/>
      <c r="D322" s="650">
        <f>' Plan Energi 2006'!AF49/IF(' Plan Energi 2006'!AF$52&lt;0,' Plan Energi 2006'!AF$52,1)*-1</f>
        <v>0</v>
      </c>
      <c r="E322" s="650"/>
      <c r="F322" s="650">
        <f>' Plan Energi 2008'!AF49/IF(' Plan Energi 2008'!AF$52&lt;0,' Plan Energi 2008'!AF$52,1)*-1</f>
        <v>0</v>
      </c>
      <c r="G322" s="650"/>
      <c r="H322" s="650">
        <f>' Plan Energi 2009'!AF49/IF(' Plan Energi 2009'!AF$52&lt;0,' Plan Energi 2009'!AF$52,1)*-1</f>
        <v>0</v>
      </c>
      <c r="I322" s="650"/>
      <c r="J322" s="650">
        <f>' Plan Energi 2011'!AF49/IF(' Plan Energi 2011'!AF$52&lt;0,' Plan Energi 2011'!AF$52,1)*-1</f>
        <v>0</v>
      </c>
      <c r="K322" s="650"/>
      <c r="L322" s="650">
        <f>' Plan Energi 2013'!AF49/IF(' Plan Energi 2013'!AF$52&lt;0,' Plan Energi 2013'!AF$52,1)*-1</f>
        <v>0</v>
      </c>
      <c r="M322" s="650"/>
      <c r="N322" s="650">
        <f>' Plan Energi 2015'!AF49/IF(' Plan Energi 2015'!AF$52&lt;0,' Plan Energi 2015'!AF$52,1)*-1</f>
        <v>0</v>
      </c>
      <c r="O322" s="650"/>
      <c r="P322" s="650">
        <f>' Plan Energi 2017'!AF49/IF(' Plan Energi 2017'!AF$52&lt;0,' Plan Energi 2017'!AF$52,1)*-1</f>
        <v>0</v>
      </c>
      <c r="Q322" s="650"/>
      <c r="R322" s="650">
        <f>' Plan Energi 2019'!AF49/IF(' Plan Energi 2019'!AF$52&lt;0,' Plan Energi 2019'!AF$52,1)*-1</f>
        <v>0</v>
      </c>
      <c r="S322" s="650"/>
      <c r="T322" s="726">
        <f>Fjernvarme!J34</f>
        <v>0</v>
      </c>
      <c r="U322" s="650"/>
      <c r="V322" s="726">
        <f>Fjernvarme!L34</f>
        <v>0</v>
      </c>
      <c r="W322" s="650"/>
      <c r="X322" s="604"/>
    </row>
    <row r="323" spans="1:24" ht="15" customHeight="1" x14ac:dyDescent="0.25">
      <c r="A323" s="604" t="s">
        <v>185</v>
      </c>
      <c r="B323" s="650">
        <f>' Plan Energi 2030-S'!AF50/IF(' Plan Energi 2030-S'!AF$52&lt;0,' Plan Energi 2030-S'!AF$52,1)*-1</f>
        <v>0</v>
      </c>
      <c r="C323" s="650"/>
      <c r="D323" s="650">
        <f>' Plan Energi 2006'!AF50/IF(' Plan Energi 2006'!AF$52&lt;0,' Plan Energi 2006'!AF$52,1)*-1</f>
        <v>0</v>
      </c>
      <c r="E323" s="650"/>
      <c r="F323" s="650">
        <f>' Plan Energi 2008'!AF50/IF(' Plan Energi 2008'!AF$52&lt;0,' Plan Energi 2008'!AF$52,1)*-1</f>
        <v>0</v>
      </c>
      <c r="G323" s="650"/>
      <c r="H323" s="650">
        <f>' Plan Energi 2009'!AF50/IF(' Plan Energi 2009'!AF$52&lt;0,' Plan Energi 2009'!AF$52,1)*-1</f>
        <v>0</v>
      </c>
      <c r="I323" s="650"/>
      <c r="J323" s="650">
        <f>' Plan Energi 2011'!AF50/IF(' Plan Energi 2011'!AF$52&lt;0,' Plan Energi 2011'!AF$52,1)*-1</f>
        <v>0</v>
      </c>
      <c r="K323" s="650"/>
      <c r="L323" s="650">
        <f>' Plan Energi 2013'!AF50/IF(' Plan Energi 2013'!AF$52&lt;0,' Plan Energi 2013'!AF$52,1)*-1</f>
        <v>0</v>
      </c>
      <c r="M323" s="650"/>
      <c r="N323" s="650">
        <f>' Plan Energi 2015'!AF50/IF(' Plan Energi 2015'!AF$52&lt;0,' Plan Energi 2015'!AF$52,1)*-1</f>
        <v>0</v>
      </c>
      <c r="O323" s="650"/>
      <c r="P323" s="650">
        <f>' Plan Energi 2017'!AF50/IF(' Plan Energi 2017'!AF$52&lt;0,' Plan Energi 2017'!AF$52,1)*-1</f>
        <v>0</v>
      </c>
      <c r="Q323" s="650"/>
      <c r="R323" s="650">
        <f>' Plan Energi 2019'!AF50/IF(' Plan Energi 2019'!AF$52&lt;0,' Plan Energi 2019'!AF$52,1)*-1</f>
        <v>0</v>
      </c>
      <c r="S323" s="650"/>
      <c r="T323" s="726">
        <f>Fjernvarme!J35</f>
        <v>0</v>
      </c>
      <c r="U323" s="650"/>
      <c r="V323" s="726">
        <f>Fjernvarme!L35</f>
        <v>0</v>
      </c>
      <c r="W323" s="650"/>
      <c r="X323" s="604"/>
    </row>
    <row r="324" spans="1:24" ht="15" customHeight="1" x14ac:dyDescent="0.25">
      <c r="A324" s="604" t="s">
        <v>187</v>
      </c>
      <c r="B324" s="650">
        <f>' Plan Energi 2030-S'!AF51/IF(' Plan Energi 2030-S'!AF$52&lt;0,' Plan Energi 2030-S'!AF$52,1)*-1</f>
        <v>0</v>
      </c>
      <c r="C324" s="650"/>
      <c r="D324" s="650">
        <f>' Plan Energi 2006'!AF51/IF(' Plan Energi 2006'!AF$52&lt;0,' Plan Energi 2006'!AF$52,1)*-1</f>
        <v>0</v>
      </c>
      <c r="E324" s="650"/>
      <c r="F324" s="650">
        <f>' Plan Energi 2008'!AF51/IF(' Plan Energi 2008'!AF$52&lt;0,' Plan Energi 2008'!AF$52,1)*-1</f>
        <v>0</v>
      </c>
      <c r="G324" s="650"/>
      <c r="H324" s="650">
        <f>' Plan Energi 2009'!AF51/IF(' Plan Energi 2009'!AF$52&lt;0,' Plan Energi 2009'!AF$52,1)*-1</f>
        <v>0</v>
      </c>
      <c r="I324" s="650"/>
      <c r="J324" s="650">
        <f>' Plan Energi 2011'!AF51/IF(' Plan Energi 2011'!AF$52&lt;0,' Plan Energi 2011'!AF$52,1)*-1</f>
        <v>0</v>
      </c>
      <c r="K324" s="650"/>
      <c r="L324" s="650">
        <f>' Plan Energi 2013'!AF51/IF(' Plan Energi 2013'!AF$52&lt;0,' Plan Energi 2013'!AF$52,1)*-1</f>
        <v>0</v>
      </c>
      <c r="M324" s="650"/>
      <c r="N324" s="650">
        <f>' Plan Energi 2015'!AF51/IF(' Plan Energi 2015'!AF$52&lt;0,' Plan Energi 2015'!AF$52,1)*-1</f>
        <v>0</v>
      </c>
      <c r="O324" s="650"/>
      <c r="P324" s="650">
        <f>' Plan Energi 2017'!AF51/IF(' Plan Energi 2017'!AF$52&lt;0,' Plan Energi 2017'!AF$52,1)*-1</f>
        <v>0</v>
      </c>
      <c r="Q324" s="650"/>
      <c r="R324" s="650">
        <f>' Plan Energi 2019'!AF51/IF(' Plan Energi 2019'!AF$52&lt;0,' Plan Energi 2019'!AF$52,1)*-1</f>
        <v>0</v>
      </c>
      <c r="S324" s="650"/>
      <c r="T324" s="726">
        <f>Fjernvarme!J36</f>
        <v>0</v>
      </c>
      <c r="U324" s="650"/>
      <c r="V324" s="726">
        <f>Fjernvarme!L36</f>
        <v>0</v>
      </c>
      <c r="W324" s="650"/>
      <c r="X324" s="604"/>
    </row>
    <row r="325" spans="1:24" ht="18" x14ac:dyDescent="0.35">
      <c r="A325" s="705" t="s">
        <v>658</v>
      </c>
      <c r="B325" s="650">
        <f>Fjernvarme!B37</f>
        <v>0</v>
      </c>
      <c r="C325" s="666"/>
      <c r="D325" s="650">
        <f>Fjernvarme!C37</f>
        <v>0</v>
      </c>
      <c r="E325" s="666"/>
      <c r="F325" s="650">
        <f>Fjernvarme!D37</f>
        <v>0</v>
      </c>
      <c r="G325" s="666"/>
      <c r="H325" s="650">
        <f>Fjernvarme!E37</f>
        <v>0</v>
      </c>
      <c r="I325" s="666"/>
      <c r="J325" s="650">
        <f>Fjernvarme!F37</f>
        <v>0</v>
      </c>
      <c r="K325" s="666"/>
      <c r="L325" s="650">
        <f>Fjernvarme!G37</f>
        <v>0</v>
      </c>
      <c r="M325" s="666"/>
      <c r="N325" s="650">
        <f>Fjernvarme!H37</f>
        <v>0</v>
      </c>
      <c r="O325" s="666"/>
      <c r="P325" s="650">
        <f>Fjernvarme!H37</f>
        <v>0</v>
      </c>
      <c r="Q325" s="666"/>
      <c r="R325" s="650">
        <f>Fjernvarme!I37</f>
        <v>0</v>
      </c>
      <c r="S325" s="666"/>
      <c r="T325" s="734">
        <f>Fjernvarme!J37</f>
        <v>0</v>
      </c>
      <c r="U325" s="604"/>
      <c r="V325" s="734">
        <f>Fjernvarme!L37</f>
        <v>0</v>
      </c>
      <c r="W325" s="604"/>
      <c r="X325" s="604"/>
    </row>
    <row r="326" spans="1:24" x14ac:dyDescent="0.25">
      <c r="A326" s="629" t="s">
        <v>360</v>
      </c>
      <c r="B326" s="629"/>
      <c r="C326" s="706"/>
      <c r="D326" s="629"/>
      <c r="E326" s="706"/>
      <c r="F326" s="629"/>
      <c r="G326" s="706"/>
      <c r="H326" s="629"/>
      <c r="I326" s="706"/>
      <c r="J326" s="629"/>
      <c r="K326" s="706"/>
      <c r="L326" s="629"/>
      <c r="M326" s="706"/>
      <c r="N326" s="629"/>
      <c r="O326" s="706"/>
      <c r="P326" s="629"/>
      <c r="Q326" s="706"/>
      <c r="R326" s="629"/>
      <c r="S326" s="706"/>
      <c r="T326" s="706"/>
      <c r="U326" s="706"/>
      <c r="V326" s="706"/>
      <c r="W326" s="706"/>
      <c r="X326" s="604"/>
    </row>
    <row r="327" spans="1:24" x14ac:dyDescent="0.25">
      <c r="A327" s="604" t="s">
        <v>193</v>
      </c>
      <c r="B327" s="650">
        <f>' Plan Energi 2030-S'!AF53/IF(' Plan Energi 2030-S'!AF$55&lt;0,' Plan Energi 2030-S'!AF$55,1)*-1</f>
        <v>0</v>
      </c>
      <c r="C327" s="650"/>
      <c r="D327" s="650">
        <f>' Plan Energi 2006'!AF53/IF(' Plan Energi 2006'!AF$55&lt;0,' Plan Energi 2006'!AF$55,1)*-1</f>
        <v>0</v>
      </c>
      <c r="E327" s="650"/>
      <c r="F327" s="650">
        <f>' Plan Energi 2008'!AF53/IF(' Plan Energi 2008'!AF$55&lt;0,' Plan Energi 2008'!AF$55,1)*-1</f>
        <v>0</v>
      </c>
      <c r="G327" s="650"/>
      <c r="H327" s="650">
        <f>' Plan Energi 2009'!AF53/IF(' Plan Energi 2009'!AF$55&lt;0,' Plan Energi 2009'!AF$55,1)*-1</f>
        <v>0</v>
      </c>
      <c r="I327" s="650"/>
      <c r="J327" s="650">
        <f>' Plan Energi 2011'!AF53/IF(' Plan Energi 2011'!AF$55&lt;0,' Plan Energi 2011'!AF$55,1)*-1</f>
        <v>0</v>
      </c>
      <c r="K327" s="650"/>
      <c r="L327" s="650">
        <f>' Plan Energi 2013'!AF53/IF(' Plan Energi 2013'!AF$55&lt;0,' Plan Energi 2013'!AF$55,1)*-1</f>
        <v>0</v>
      </c>
      <c r="M327" s="650"/>
      <c r="N327" s="650">
        <f>' Plan Energi 2015'!AF53/IF(' Plan Energi 2015'!AF$55&lt;0,' Plan Energi 2015'!AF$55,1)*-1</f>
        <v>0</v>
      </c>
      <c r="O327" s="650"/>
      <c r="P327" s="650">
        <f>' Plan Energi 2017'!AF53/IF(' Plan Energi 2017'!AF$55&lt;0,' Plan Energi 2017'!AF$55,1)*-1</f>
        <v>0</v>
      </c>
      <c r="Q327" s="650"/>
      <c r="R327" s="650">
        <f>' Plan Energi 2019'!AF53/IF(' Plan Energi 2019'!AF$55&lt;0,' Plan Energi 2019'!AF$55,1)*-1</f>
        <v>0</v>
      </c>
      <c r="S327" s="650"/>
      <c r="T327" s="726">
        <f>Fjernvarme!J39</f>
        <v>0</v>
      </c>
      <c r="U327" s="650"/>
      <c r="V327" s="726">
        <f>Fjernvarme!L39</f>
        <v>0</v>
      </c>
      <c r="W327" s="650"/>
      <c r="X327" s="604"/>
    </row>
    <row r="328" spans="1:24" x14ac:dyDescent="0.25">
      <c r="A328" s="604" t="s">
        <v>195</v>
      </c>
      <c r="B328" s="650">
        <f>' Plan Energi 2030-S'!AF54/IF(' Plan Energi 2030-S'!AF$55&lt;0,' Plan Energi 2030-S'!AF$55,1)*-1</f>
        <v>0</v>
      </c>
      <c r="C328" s="650"/>
      <c r="D328" s="650">
        <f>' Plan Energi 2006'!AF54/IF(' Plan Energi 2006'!AF$55&lt;0,' Plan Energi 2006'!AF$55,1)*-1</f>
        <v>0</v>
      </c>
      <c r="E328" s="650"/>
      <c r="F328" s="650">
        <f>' Plan Energi 2008'!AF54/IF(' Plan Energi 2008'!AF$55&lt;0,' Plan Energi 2008'!AF$55,1)*-1</f>
        <v>0</v>
      </c>
      <c r="G328" s="650"/>
      <c r="H328" s="650">
        <f>' Plan Energi 2009'!AF54/IF(' Plan Energi 2009'!AF$55&lt;0,' Plan Energi 2009'!AF$55,1)*-1</f>
        <v>0</v>
      </c>
      <c r="I328" s="650"/>
      <c r="J328" s="650">
        <f>' Plan Energi 2011'!AF54/IF(' Plan Energi 2011'!AF$55&lt;0,' Plan Energi 2011'!AF$55,1)*-1</f>
        <v>0</v>
      </c>
      <c r="K328" s="650"/>
      <c r="L328" s="650">
        <f>' Plan Energi 2013'!AF54/IF(' Plan Energi 2013'!AF$55&lt;0,' Plan Energi 2013'!AF$55,1)*-1</f>
        <v>0</v>
      </c>
      <c r="M328" s="650"/>
      <c r="N328" s="650">
        <f>' Plan Energi 2015'!AF54/IF(' Plan Energi 2015'!AF$55&lt;0,' Plan Energi 2015'!AF$55,1)*-1</f>
        <v>0</v>
      </c>
      <c r="O328" s="650"/>
      <c r="P328" s="650">
        <f>' Plan Energi 2017'!AF54/IF(' Plan Energi 2017'!AF$55&lt;0,' Plan Energi 2017'!AF$55,1)*-1</f>
        <v>0</v>
      </c>
      <c r="Q328" s="650"/>
      <c r="R328" s="650">
        <f>' Plan Energi 2019'!AF54/IF(' Plan Energi 2019'!AF$55&lt;0,' Plan Energi 2019'!AF$55,1)*-1</f>
        <v>0</v>
      </c>
      <c r="S328" s="650"/>
      <c r="T328" s="726">
        <f>Fjernvarme!J40</f>
        <v>0</v>
      </c>
      <c r="U328" s="650"/>
      <c r="V328" s="726">
        <f>Fjernvarme!L40</f>
        <v>0</v>
      </c>
      <c r="W328" s="650"/>
      <c r="X328" s="604"/>
    </row>
    <row r="329" spans="1:24" ht="18" x14ac:dyDescent="0.35">
      <c r="A329" s="705" t="s">
        <v>659</v>
      </c>
      <c r="B329" s="650">
        <f>Fjernvarme!B41</f>
        <v>0</v>
      </c>
      <c r="C329" s="666"/>
      <c r="D329" s="650">
        <f>Fjernvarme!C41</f>
        <v>0</v>
      </c>
      <c r="E329" s="666"/>
      <c r="F329" s="650">
        <f>Fjernvarme!D41</f>
        <v>0</v>
      </c>
      <c r="G329" s="666"/>
      <c r="H329" s="650">
        <f>Fjernvarme!E41</f>
        <v>0</v>
      </c>
      <c r="I329" s="666"/>
      <c r="J329" s="650">
        <f>Fjernvarme!F41</f>
        <v>0</v>
      </c>
      <c r="K329" s="666"/>
      <c r="L329" s="650">
        <f>Fjernvarme!G41</f>
        <v>0</v>
      </c>
      <c r="M329" s="666"/>
      <c r="N329" s="650">
        <f>Fjernvarme!H41</f>
        <v>0</v>
      </c>
      <c r="O329" s="666"/>
      <c r="P329" s="650">
        <f>Fjernvarme!H41</f>
        <v>0</v>
      </c>
      <c r="Q329" s="666"/>
      <c r="R329" s="650">
        <f>Fjernvarme!I41</f>
        <v>0</v>
      </c>
      <c r="S329" s="666"/>
      <c r="T329" s="734">
        <f>Fjernvarme!J41</f>
        <v>0</v>
      </c>
      <c r="U329" s="604"/>
      <c r="V329" s="734">
        <f>Fjernvarme!L41</f>
        <v>0</v>
      </c>
      <c r="W329" s="604"/>
      <c r="X329" s="604"/>
    </row>
    <row r="330" spans="1:24" x14ac:dyDescent="0.25">
      <c r="A330" s="629" t="s">
        <v>361</v>
      </c>
      <c r="B330" s="629"/>
      <c r="C330" s="706"/>
      <c r="D330" s="629"/>
      <c r="E330" s="706"/>
      <c r="F330" s="629"/>
      <c r="G330" s="706"/>
      <c r="H330" s="629"/>
      <c r="I330" s="706"/>
      <c r="J330" s="629"/>
      <c r="K330" s="706"/>
      <c r="L330" s="629"/>
      <c r="M330" s="706"/>
      <c r="N330" s="629"/>
      <c r="O330" s="706"/>
      <c r="P330" s="629"/>
      <c r="Q330" s="706"/>
      <c r="R330" s="629"/>
      <c r="S330" s="706"/>
      <c r="T330" s="706"/>
      <c r="U330" s="706"/>
      <c r="V330" s="706"/>
      <c r="W330" s="706"/>
      <c r="X330" s="604"/>
    </row>
    <row r="331" spans="1:24" x14ac:dyDescent="0.25">
      <c r="A331" s="604" t="s">
        <v>201</v>
      </c>
      <c r="B331" s="650">
        <f>' Plan Energi 2030-S'!AF56/IF(' Plan Energi 2030-S'!AF$62&lt;0,' Plan Energi 2030-S'!AF$62,1)*-1</f>
        <v>0</v>
      </c>
      <c r="C331" s="650"/>
      <c r="D331" s="650">
        <f>' Plan Energi 2006'!AF56/IF(' Plan Energi 2006'!AF$62&lt;0,' Plan Energi 2006'!AF$62,1)*-1</f>
        <v>0</v>
      </c>
      <c r="E331" s="650"/>
      <c r="F331" s="650">
        <f>' Plan Energi 2008'!AF56/IF(' Plan Energi 2008'!AF$62&lt;0,' Plan Energi 2008'!AF$62,1)*-1</f>
        <v>0</v>
      </c>
      <c r="G331" s="650"/>
      <c r="H331" s="650">
        <f>' Plan Energi 2009'!AF56/IF(' Plan Energi 2009'!AF$62&lt;0,' Plan Energi 2009'!AF$62,1)*-1</f>
        <v>0</v>
      </c>
      <c r="I331" s="650"/>
      <c r="J331" s="650">
        <f>' Plan Energi 2011'!AF56/IF(' Plan Energi 2011'!AF$62&lt;0,' Plan Energi 2011'!AF$62,1)*-1</f>
        <v>0</v>
      </c>
      <c r="K331" s="650"/>
      <c r="L331" s="650">
        <f>' Plan Energi 2013'!AF56/IF(' Plan Energi 2013'!AF$62&lt;0,' Plan Energi 2013'!AF$62,1)*-1</f>
        <v>0</v>
      </c>
      <c r="M331" s="650"/>
      <c r="N331" s="650">
        <f>' Plan Energi 2015'!AF56/IF(' Plan Energi 2015'!AF$62&lt;0,' Plan Energi 2015'!AF$62,1)*-1</f>
        <v>0</v>
      </c>
      <c r="O331" s="650"/>
      <c r="P331" s="650">
        <f>' Plan Energi 2017'!AF56/IF(' Plan Energi 2017'!AF$62&lt;0,' Plan Energi 2017'!AF$62,1)*-1</f>
        <v>0</v>
      </c>
      <c r="Q331" s="650"/>
      <c r="R331" s="650">
        <f>' Plan Energi 2019'!AF56/IF(' Plan Energi 2019'!AF$62&lt;0,' Plan Energi 2019'!AF$62,1)*-1</f>
        <v>0</v>
      </c>
      <c r="S331" s="650"/>
      <c r="T331" s="726">
        <f>Fjernvarme!J43</f>
        <v>0</v>
      </c>
      <c r="U331" s="650"/>
      <c r="V331" s="726">
        <f>Fjernvarme!L43</f>
        <v>0</v>
      </c>
      <c r="W331" s="650"/>
      <c r="X331" s="604"/>
    </row>
    <row r="332" spans="1:24" x14ac:dyDescent="0.25">
      <c r="A332" s="604" t="s">
        <v>203</v>
      </c>
      <c r="B332" s="650">
        <f>' Plan Energi 2030-S'!AF57/IF(' Plan Energi 2030-S'!AF$62&lt;0,' Plan Energi 2030-S'!AF$62,1)*-1</f>
        <v>0</v>
      </c>
      <c r="C332" s="650"/>
      <c r="D332" s="650">
        <f>' Plan Energi 2006'!AF57/IF(' Plan Energi 2006'!AF$62&lt;0,' Plan Energi 2006'!AF$62,1)*-1</f>
        <v>0</v>
      </c>
      <c r="E332" s="650"/>
      <c r="F332" s="650">
        <f>' Plan Energi 2008'!AF57/IF(' Plan Energi 2008'!AF$62&lt;0,' Plan Energi 2008'!AF$62,1)*-1</f>
        <v>0</v>
      </c>
      <c r="G332" s="650"/>
      <c r="H332" s="650">
        <f>' Plan Energi 2009'!AF57/IF(' Plan Energi 2009'!AF$62&lt;0,' Plan Energi 2009'!AF$62,1)*-1</f>
        <v>0</v>
      </c>
      <c r="I332" s="650"/>
      <c r="J332" s="650">
        <f>' Plan Energi 2011'!AF57/IF(' Plan Energi 2011'!AF$62&lt;0,' Plan Energi 2011'!AF$62,1)*-1</f>
        <v>0</v>
      </c>
      <c r="K332" s="650"/>
      <c r="L332" s="650">
        <f>' Plan Energi 2013'!AF57/IF(' Plan Energi 2013'!AF$62&lt;0,' Plan Energi 2013'!AF$62,1)*-1</f>
        <v>0</v>
      </c>
      <c r="M332" s="650"/>
      <c r="N332" s="650">
        <f>' Plan Energi 2015'!AF57/IF(' Plan Energi 2015'!AF$62&lt;0,' Plan Energi 2015'!AF$62,1)*-1</f>
        <v>0</v>
      </c>
      <c r="O332" s="650"/>
      <c r="P332" s="650">
        <f>' Plan Energi 2017'!AF57/IF(' Plan Energi 2017'!AF$62&lt;0,' Plan Energi 2017'!AF$62,1)*-1</f>
        <v>0</v>
      </c>
      <c r="Q332" s="650"/>
      <c r="R332" s="650">
        <f>' Plan Energi 2019'!AF57/IF(' Plan Energi 2019'!AF$62&lt;0,' Plan Energi 2019'!AF$62,1)*-1</f>
        <v>0</v>
      </c>
      <c r="S332" s="650"/>
      <c r="T332" s="726">
        <f>Fjernvarme!J44</f>
        <v>0</v>
      </c>
      <c r="U332" s="650"/>
      <c r="V332" s="726">
        <f>Fjernvarme!L44</f>
        <v>0</v>
      </c>
      <c r="W332" s="650"/>
      <c r="X332" s="604"/>
    </row>
    <row r="333" spans="1:24" x14ac:dyDescent="0.25">
      <c r="A333" s="604" t="s">
        <v>205</v>
      </c>
      <c r="B333" s="650">
        <f>' Plan Energi 2030-S'!AF58/IF(' Plan Energi 2030-S'!AF$62&lt;0,' Plan Energi 2030-S'!AF$62,1)*-1</f>
        <v>0</v>
      </c>
      <c r="C333" s="650"/>
      <c r="D333" s="650">
        <f>' Plan Energi 2006'!AF58/IF(' Plan Energi 2006'!AF$62&lt;0,' Plan Energi 2006'!AF$62,1)*-1</f>
        <v>0</v>
      </c>
      <c r="E333" s="650"/>
      <c r="F333" s="650">
        <f>' Plan Energi 2008'!AF58/IF(' Plan Energi 2008'!AF$62&lt;0,' Plan Energi 2008'!AF$62,1)*-1</f>
        <v>0</v>
      </c>
      <c r="G333" s="650"/>
      <c r="H333" s="650">
        <f>' Plan Energi 2009'!AF58/IF(' Plan Energi 2009'!AF$62&lt;0,' Plan Energi 2009'!AF$62,1)*-1</f>
        <v>0</v>
      </c>
      <c r="I333" s="650"/>
      <c r="J333" s="650">
        <f>' Plan Energi 2011'!AF58/IF(' Plan Energi 2011'!AF$62&lt;0,' Plan Energi 2011'!AF$62,1)*-1</f>
        <v>0</v>
      </c>
      <c r="K333" s="650"/>
      <c r="L333" s="650">
        <f>' Plan Energi 2013'!AF58/IF(' Plan Energi 2013'!AF$62&lt;0,' Plan Energi 2013'!AF$62,1)*-1</f>
        <v>0</v>
      </c>
      <c r="M333" s="650"/>
      <c r="N333" s="650">
        <f>' Plan Energi 2015'!AF58/IF(' Plan Energi 2015'!AF$62&lt;0,' Plan Energi 2015'!AF$62,1)*-1</f>
        <v>0</v>
      </c>
      <c r="O333" s="650"/>
      <c r="P333" s="650">
        <f>' Plan Energi 2017'!AF58/IF(' Plan Energi 2017'!AF$62&lt;0,' Plan Energi 2017'!AF$62,1)*-1</f>
        <v>0</v>
      </c>
      <c r="Q333" s="650"/>
      <c r="R333" s="650">
        <f>' Plan Energi 2019'!AF58/IF(' Plan Energi 2019'!AF$62&lt;0,' Plan Energi 2019'!AF$62,1)*-1</f>
        <v>0</v>
      </c>
      <c r="S333" s="650"/>
      <c r="T333" s="726">
        <f>Fjernvarme!J45</f>
        <v>0</v>
      </c>
      <c r="U333" s="650"/>
      <c r="V333" s="726">
        <f>Fjernvarme!L45</f>
        <v>0</v>
      </c>
      <c r="W333" s="650"/>
      <c r="X333" s="604"/>
    </row>
    <row r="334" spans="1:24" x14ac:dyDescent="0.25">
      <c r="A334" s="604" t="s">
        <v>207</v>
      </c>
      <c r="B334" s="650">
        <f>' Plan Energi 2030-S'!AF59/IF(' Plan Energi 2030-S'!AF$62&lt;0,' Plan Energi 2030-S'!AF$62,1)*-1</f>
        <v>0</v>
      </c>
      <c r="C334" s="650"/>
      <c r="D334" s="650">
        <f>' Plan Energi 2006'!AF59/IF(' Plan Energi 2006'!AF$62&lt;0,' Plan Energi 2006'!AF$62,1)*-1</f>
        <v>0</v>
      </c>
      <c r="E334" s="650"/>
      <c r="F334" s="650">
        <f>' Plan Energi 2008'!AF59/IF(' Plan Energi 2008'!AF$62&lt;0,' Plan Energi 2008'!AF$62,1)*-1</f>
        <v>0</v>
      </c>
      <c r="G334" s="650"/>
      <c r="H334" s="650">
        <f>' Plan Energi 2009'!AF59/IF(' Plan Energi 2009'!AF$62&lt;0,' Plan Energi 2009'!AF$62,1)*-1</f>
        <v>0</v>
      </c>
      <c r="I334" s="650"/>
      <c r="J334" s="650">
        <f>' Plan Energi 2011'!AF59/IF(' Plan Energi 2011'!AF$62&lt;0,' Plan Energi 2011'!AF$62,1)*-1</f>
        <v>0</v>
      </c>
      <c r="K334" s="650"/>
      <c r="L334" s="650">
        <f>' Plan Energi 2013'!AF59/IF(' Plan Energi 2013'!AF$62&lt;0,' Plan Energi 2013'!AF$62,1)*-1</f>
        <v>0</v>
      </c>
      <c r="M334" s="650"/>
      <c r="N334" s="650">
        <f>' Plan Energi 2015'!AF59/IF(' Plan Energi 2015'!AF$62&lt;0,' Plan Energi 2015'!AF$62,1)*-1</f>
        <v>0</v>
      </c>
      <c r="O334" s="650"/>
      <c r="P334" s="650">
        <f>' Plan Energi 2017'!AF59/IF(' Plan Energi 2017'!AF$62&lt;0,' Plan Energi 2017'!AF$62,1)*-1</f>
        <v>0</v>
      </c>
      <c r="Q334" s="650"/>
      <c r="R334" s="650">
        <f>' Plan Energi 2019'!AF59/IF(' Plan Energi 2019'!AF$62&lt;0,' Plan Energi 2019'!AF$62,1)*-1</f>
        <v>0</v>
      </c>
      <c r="S334" s="650"/>
      <c r="T334" s="726">
        <f>Fjernvarme!J46</f>
        <v>0</v>
      </c>
      <c r="U334" s="650"/>
      <c r="V334" s="726">
        <f>Fjernvarme!L46</f>
        <v>0</v>
      </c>
      <c r="W334" s="650"/>
      <c r="X334" s="604"/>
    </row>
    <row r="335" spans="1:24" x14ac:dyDescent="0.25">
      <c r="A335" s="604" t="s">
        <v>362</v>
      </c>
      <c r="B335" s="650">
        <f>' Plan Energi 2030-S'!AF60/IF(' Plan Energi 2030-S'!AF$62&lt;0,' Plan Energi 2030-S'!AF$62,1)*-1</f>
        <v>0</v>
      </c>
      <c r="C335" s="650"/>
      <c r="D335" s="650">
        <f>' Plan Energi 2006'!AF60/IF(' Plan Energi 2006'!AF$62&lt;0,' Plan Energi 2006'!AF$62,1)*-1</f>
        <v>0</v>
      </c>
      <c r="E335" s="650"/>
      <c r="F335" s="650">
        <f>' Plan Energi 2008'!AF60/IF(' Plan Energi 2008'!AF$62&lt;0,' Plan Energi 2008'!AF$62,1)*-1</f>
        <v>0</v>
      </c>
      <c r="G335" s="650"/>
      <c r="H335" s="650">
        <f>' Plan Energi 2009'!AF60/IF(' Plan Energi 2009'!AF$62&lt;0,' Plan Energi 2009'!AF$62,1)*-1</f>
        <v>0</v>
      </c>
      <c r="I335" s="650"/>
      <c r="J335" s="650">
        <f>' Plan Energi 2011'!AF60/IF(' Plan Energi 2011'!AF$62&lt;0,' Plan Energi 2011'!AF$62,1)*-1</f>
        <v>0</v>
      </c>
      <c r="K335" s="650"/>
      <c r="L335" s="650">
        <f>' Plan Energi 2013'!AF60/IF(' Plan Energi 2013'!AF$62&lt;0,' Plan Energi 2013'!AF$62,1)*-1</f>
        <v>0</v>
      </c>
      <c r="M335" s="650"/>
      <c r="N335" s="650">
        <f>' Plan Energi 2015'!AF60/IF(' Plan Energi 2015'!AF$62&lt;0,' Plan Energi 2015'!AF$62,1)*-1</f>
        <v>0</v>
      </c>
      <c r="O335" s="650"/>
      <c r="P335" s="650">
        <f>' Plan Energi 2017'!AF60/IF(' Plan Energi 2017'!AF$62&lt;0,' Plan Energi 2017'!AF$62,1)*-1</f>
        <v>0</v>
      </c>
      <c r="Q335" s="650"/>
      <c r="R335" s="650">
        <f>' Plan Energi 2019'!AF60/IF(' Plan Energi 2019'!AF$62&lt;0,' Plan Energi 2019'!AF$62,1)*-1</f>
        <v>0</v>
      </c>
      <c r="S335" s="650"/>
      <c r="T335" s="726">
        <f>Fjernvarme!J47</f>
        <v>1.880876690198799E-5</v>
      </c>
      <c r="U335" s="650"/>
      <c r="V335" s="726">
        <f>Fjernvarme!L47</f>
        <v>0</v>
      </c>
      <c r="W335" s="650"/>
      <c r="X335" s="604"/>
    </row>
    <row r="336" spans="1:24" ht="18" x14ac:dyDescent="0.35">
      <c r="A336" s="705" t="s">
        <v>660</v>
      </c>
      <c r="B336" s="650">
        <f>Fjernvarme!B49</f>
        <v>0</v>
      </c>
      <c r="C336" s="666"/>
      <c r="D336" s="650">
        <f>Fjernvarme!C49</f>
        <v>0</v>
      </c>
      <c r="E336" s="666"/>
      <c r="F336" s="650">
        <f>Fjernvarme!D49</f>
        <v>0</v>
      </c>
      <c r="G336" s="666"/>
      <c r="H336" s="650">
        <f>Fjernvarme!E49</f>
        <v>0</v>
      </c>
      <c r="I336" s="666"/>
      <c r="J336" s="650">
        <f>Fjernvarme!F49</f>
        <v>0</v>
      </c>
      <c r="K336" s="666"/>
      <c r="L336" s="650">
        <f>Fjernvarme!G49</f>
        <v>0</v>
      </c>
      <c r="M336" s="666"/>
      <c r="N336" s="650">
        <f>Fjernvarme!H49</f>
        <v>0</v>
      </c>
      <c r="O336" s="666"/>
      <c r="P336" s="650">
        <f>Fjernvarme!H49</f>
        <v>0</v>
      </c>
      <c r="Q336" s="666"/>
      <c r="R336" s="650">
        <f>Fjernvarme!I49</f>
        <v>0</v>
      </c>
      <c r="S336" s="666"/>
      <c r="T336" s="734">
        <f>Fjernvarme!J49</f>
        <v>0</v>
      </c>
      <c r="U336" s="604"/>
      <c r="V336" s="734">
        <f>Fjernvarme!L49</f>
        <v>0</v>
      </c>
      <c r="W336" s="604"/>
      <c r="X336" s="604"/>
    </row>
    <row r="337" spans="1:24" x14ac:dyDescent="0.25">
      <c r="A337" s="629" t="s">
        <v>363</v>
      </c>
      <c r="B337" s="629"/>
      <c r="C337" s="706"/>
      <c r="D337" s="629"/>
      <c r="E337" s="706"/>
      <c r="F337" s="629"/>
      <c r="G337" s="706"/>
      <c r="H337" s="629"/>
      <c r="I337" s="706"/>
      <c r="J337" s="629"/>
      <c r="K337" s="706"/>
      <c r="L337" s="629"/>
      <c r="M337" s="706"/>
      <c r="N337" s="629"/>
      <c r="O337" s="706"/>
      <c r="P337" s="629"/>
      <c r="Q337" s="706"/>
      <c r="R337" s="629"/>
      <c r="S337" s="706"/>
      <c r="T337" s="706"/>
      <c r="U337" s="706"/>
      <c r="V337" s="706"/>
      <c r="W337" s="706"/>
      <c r="X337" s="604"/>
    </row>
    <row r="338" spans="1:24" x14ac:dyDescent="0.25">
      <c r="A338" s="604" t="s">
        <v>215</v>
      </c>
      <c r="B338" s="650">
        <f>' Plan Energi 2030-S'!AF63/IF((' Plan Energi 2030-S'!AF$63+' Plan Energi 2030-S'!AF$64+' Plan Energi 2030-S'!AF$65+' Plan Energi 2030-S'!AF$66+' Plan Energi 2030-S'!AF$67+' Plan Energi 2030-S'!AF$68)&gt;0,' Plan Energi 2030-S'!AF$63+' Plan Energi 2030-S'!AF$64+' Plan Energi 2030-S'!AF$65+' Plan Energi 2030-S'!AF$66+' Plan Energi 2030-S'!AF$67+' Plan Energi 2030-S'!AF$68,1)</f>
        <v>0</v>
      </c>
      <c r="C338" s="650"/>
      <c r="D338" s="650">
        <f>' Plan Energi 2006'!AF63/IF((' Plan Energi 2006'!AF$63+' Plan Energi 2006'!AF$64+' Plan Energi 2006'!AF$65+' Plan Energi 2006'!AF$66+' Plan Energi 2006'!AF$67+' Plan Energi 2006'!AF$68)&gt;0,' Plan Energi 2006'!AF$63+' Plan Energi 2006'!AF$64+' Plan Energi 2006'!AF$65+' Plan Energi 2006'!AF$66+' Plan Energi 2006'!AF$67+' Plan Energi 2006'!AF$68,1)</f>
        <v>0</v>
      </c>
      <c r="E338" s="650"/>
      <c r="F338" s="650">
        <f>' Plan Energi 2008'!AF63/IF((' Plan Energi 2008'!AF$63+' Plan Energi 2008'!AF$64+' Plan Energi 2008'!AF$65+' Plan Energi 2008'!AF$66+' Plan Energi 2008'!AF$67+' Plan Energi 2008'!AF$68)&gt;0,' Plan Energi 2008'!AF$63+' Plan Energi 2008'!AF$64+' Plan Energi 2008'!AF$65+' Plan Energi 2008'!AF$66+' Plan Energi 2008'!AF$67+' Plan Energi 2008'!AF$68,1)</f>
        <v>0</v>
      </c>
      <c r="G338" s="650"/>
      <c r="H338" s="650">
        <f>' Plan Energi 2009'!AF63/IF((' Plan Energi 2009'!AF$63+' Plan Energi 2009'!AF$64+' Plan Energi 2009'!AF$65+' Plan Energi 2009'!AF$66+' Plan Energi 2009'!AF$67+' Plan Energi 2009'!AF$68)&gt;0,' Plan Energi 2009'!AF$63+' Plan Energi 2009'!AF$64+' Plan Energi 2009'!AF$65+' Plan Energi 2009'!AF$66+' Plan Energi 2009'!AF$67+' Plan Energi 2009'!AF$68,1)</f>
        <v>0</v>
      </c>
      <c r="I338" s="650"/>
      <c r="J338" s="650">
        <f>' Plan Energi 2011'!AF63/IF((' Plan Energi 2011'!AF$63+' Plan Energi 2011'!AF$64+' Plan Energi 2011'!AF$65+' Plan Energi 2011'!AF$66+' Plan Energi 2011'!AF$67+' Plan Energi 2011'!AF$68)&gt;0,' Plan Energi 2011'!AF$63+' Plan Energi 2011'!AF$64+' Plan Energi 2011'!AF$65+' Plan Energi 2011'!AF$66+' Plan Energi 2011'!AF$67+' Plan Energi 2011'!AF$68,1)</f>
        <v>0</v>
      </c>
      <c r="K338" s="650"/>
      <c r="L338" s="650">
        <f>' Plan Energi 2013'!AF63/IF((' Plan Energi 2013'!AF$63+' Plan Energi 2013'!AF$64+' Plan Energi 2013'!AF$65+' Plan Energi 2013'!AF$66+' Plan Energi 2013'!AF$67+' Plan Energi 2013'!AF$68)&gt;0,' Plan Energi 2013'!AF$63+' Plan Energi 2013'!AF$64+' Plan Energi 2013'!AF$65+' Plan Energi 2013'!AF$66+' Plan Energi 2013'!AF$67+' Plan Energi 2013'!AF$68,1)</f>
        <v>0</v>
      </c>
      <c r="M338" s="650"/>
      <c r="N338" s="650">
        <f>' Plan Energi 2015'!AF63/IF((' Plan Energi 2015'!AF$63+' Plan Energi 2015'!AF$64+' Plan Energi 2015'!AF$65+' Plan Energi 2015'!AF$66+' Plan Energi 2015'!AF$67+' Plan Energi 2015'!AF$68)&gt;0,' Plan Energi 2015'!AF$63+' Plan Energi 2015'!AF$64+' Plan Energi 2015'!AF$65+' Plan Energi 2015'!AF$66+' Plan Energi 2015'!AF$67+' Plan Energi 2015'!AF$68,1)</f>
        <v>0</v>
      </c>
      <c r="O338" s="650"/>
      <c r="P338" s="650">
        <f>' Plan Energi 2017'!AF63/IF((' Plan Energi 2017'!AF$63+' Plan Energi 2017'!AF$64+' Plan Energi 2017'!AF$65+' Plan Energi 2017'!AF$66+' Plan Energi 2017'!AF$67+' Plan Energi 2017'!AF$68)&gt;0,' Plan Energi 2017'!AF$63+' Plan Energi 2017'!AF$64+' Plan Energi 2017'!AF$65+' Plan Energi 2017'!AF$66+' Plan Energi 2017'!AF$67+' Plan Energi 2017'!AF$68,1)</f>
        <v>0</v>
      </c>
      <c r="Q338" s="650"/>
      <c r="R338" s="650">
        <f>' Plan Energi 2019'!AF63/IF((' Plan Energi 2019'!AF$63+' Plan Energi 2019'!AF$64+' Plan Energi 2019'!AF$65+' Plan Energi 2019'!AF$66+' Plan Energi 2019'!AF$67+' Plan Energi 2019'!AF$68)&gt;0,' Plan Energi 2019'!AF$63+' Plan Energi 2019'!AF$64+' Plan Energi 2019'!AF$65+' Plan Energi 2019'!AF$66+' Plan Energi 2019'!AF$67+' Plan Energi 2019'!AF$68,1)</f>
        <v>0</v>
      </c>
      <c r="S338" s="650"/>
      <c r="T338" s="726">
        <f>Fjernvarme!J51</f>
        <v>0</v>
      </c>
      <c r="U338" s="650"/>
      <c r="V338" s="726">
        <f>Fjernvarme!L51</f>
        <v>0</v>
      </c>
      <c r="W338" s="650"/>
      <c r="X338" s="604"/>
    </row>
    <row r="339" spans="1:24" x14ac:dyDescent="0.25">
      <c r="A339" s="604" t="s">
        <v>217</v>
      </c>
      <c r="B339" s="650">
        <f>' Plan Energi 2030-S'!AF64/IF((' Plan Energi 2030-S'!AF$63+' Plan Energi 2030-S'!AF$64+' Plan Energi 2030-S'!AF$65+' Plan Energi 2030-S'!AF$66+' Plan Energi 2030-S'!AF$67+' Plan Energi 2030-S'!AF$68)&gt;0,' Plan Energi 2030-S'!AF$63+' Plan Energi 2030-S'!AF$64+' Plan Energi 2030-S'!AF$65+' Plan Energi 2030-S'!AF$66+' Plan Energi 2030-S'!AF$67+' Plan Energi 2030-S'!AF$68,1)</f>
        <v>0</v>
      </c>
      <c r="C339" s="650"/>
      <c r="D339" s="650">
        <f>' Plan Energi 2006'!AF64/IF((' Plan Energi 2006'!AF$63+' Plan Energi 2006'!AF$64+' Plan Energi 2006'!AF$65+' Plan Energi 2006'!AF$66+' Plan Energi 2006'!AF$67+' Plan Energi 2006'!AF$68)&gt;0,' Plan Energi 2006'!AF$63+' Plan Energi 2006'!AF$64+' Plan Energi 2006'!AF$65+' Plan Energi 2006'!AF$66+' Plan Energi 2006'!AF$67+' Plan Energi 2006'!AF$68,1)</f>
        <v>0</v>
      </c>
      <c r="E339" s="650"/>
      <c r="F339" s="650">
        <f>' Plan Energi 2008'!AF64/IF((' Plan Energi 2008'!AF$63+' Plan Energi 2008'!AF$64+' Plan Energi 2008'!AF$65+' Plan Energi 2008'!AF$66+' Plan Energi 2008'!AF$67+' Plan Energi 2008'!AF$68)&gt;0,' Plan Energi 2008'!AF$63+' Plan Energi 2008'!AF$64+' Plan Energi 2008'!AF$65+' Plan Energi 2008'!AF$66+' Plan Energi 2008'!AF$67+' Plan Energi 2008'!AF$68,1)</f>
        <v>0</v>
      </c>
      <c r="G339" s="650"/>
      <c r="H339" s="650">
        <f>' Plan Energi 2009'!AF64/IF((' Plan Energi 2009'!AF$63+' Plan Energi 2009'!AF$64+' Plan Energi 2009'!AF$65+' Plan Energi 2009'!AF$66+' Plan Energi 2009'!AF$67+' Plan Energi 2009'!AF$68)&gt;0,' Plan Energi 2009'!AF$63+' Plan Energi 2009'!AF$64+' Plan Energi 2009'!AF$65+' Plan Energi 2009'!AF$66+' Plan Energi 2009'!AF$67+' Plan Energi 2009'!AF$68,1)</f>
        <v>0</v>
      </c>
      <c r="I339" s="650"/>
      <c r="J339" s="650">
        <f>' Plan Energi 2011'!AF64/IF((' Plan Energi 2011'!AF$63+' Plan Energi 2011'!AF$64+' Plan Energi 2011'!AF$65+' Plan Energi 2011'!AF$66+' Plan Energi 2011'!AF$67+' Plan Energi 2011'!AF$68)&gt;0,' Plan Energi 2011'!AF$63+' Plan Energi 2011'!AF$64+' Plan Energi 2011'!AF$65+' Plan Energi 2011'!AF$66+' Plan Energi 2011'!AF$67+' Plan Energi 2011'!AF$68,1)</f>
        <v>0</v>
      </c>
      <c r="K339" s="650"/>
      <c r="L339" s="650">
        <f>' Plan Energi 2013'!AF64/IF((' Plan Energi 2013'!AF$63+' Plan Energi 2013'!AF$64+' Plan Energi 2013'!AF$65+' Plan Energi 2013'!AF$66+' Plan Energi 2013'!AF$67+' Plan Energi 2013'!AF$68)&gt;0,' Plan Energi 2013'!AF$63+' Plan Energi 2013'!AF$64+' Plan Energi 2013'!AF$65+' Plan Energi 2013'!AF$66+' Plan Energi 2013'!AF$67+' Plan Energi 2013'!AF$68,1)</f>
        <v>0</v>
      </c>
      <c r="M339" s="650"/>
      <c r="N339" s="650">
        <f>' Plan Energi 2015'!AF64/IF((' Plan Energi 2015'!AF$63+' Plan Energi 2015'!AF$64+' Plan Energi 2015'!AF$65+' Plan Energi 2015'!AF$66+' Plan Energi 2015'!AF$67+' Plan Energi 2015'!AF$68)&gt;0,' Plan Energi 2015'!AF$63+' Plan Energi 2015'!AF$64+' Plan Energi 2015'!AF$65+' Plan Energi 2015'!AF$66+' Plan Energi 2015'!AF$67+' Plan Energi 2015'!AF$68,1)</f>
        <v>0</v>
      </c>
      <c r="O339" s="650"/>
      <c r="P339" s="650">
        <f>' Plan Energi 2017'!AF64/IF((' Plan Energi 2017'!AF$63+' Plan Energi 2017'!AF$64+' Plan Energi 2017'!AF$65+' Plan Energi 2017'!AF$66+' Plan Energi 2017'!AF$67+' Plan Energi 2017'!AF$68)&gt;0,' Plan Energi 2017'!AF$63+' Plan Energi 2017'!AF$64+' Plan Energi 2017'!AF$65+' Plan Energi 2017'!AF$66+' Plan Energi 2017'!AF$67+' Plan Energi 2017'!AF$68,1)</f>
        <v>0</v>
      </c>
      <c r="Q339" s="650"/>
      <c r="R339" s="650">
        <f>' Plan Energi 2019'!AF64/IF((' Plan Energi 2019'!AF$63+' Plan Energi 2019'!AF$64+' Plan Energi 2019'!AF$65+' Plan Energi 2019'!AF$66+' Plan Energi 2019'!AF$67+' Plan Energi 2019'!AF$68)&gt;0,' Plan Energi 2019'!AF$63+' Plan Energi 2019'!AF$64+' Plan Energi 2019'!AF$65+' Plan Energi 2019'!AF$66+' Plan Energi 2019'!AF$67+' Plan Energi 2019'!AF$68,1)</f>
        <v>0</v>
      </c>
      <c r="S339" s="650"/>
      <c r="T339" s="726">
        <f>Fjernvarme!J52</f>
        <v>0</v>
      </c>
      <c r="U339" s="650"/>
      <c r="V339" s="726">
        <f>Fjernvarme!L52</f>
        <v>0</v>
      </c>
      <c r="W339" s="650"/>
      <c r="X339" s="604"/>
    </row>
    <row r="340" spans="1:24" x14ac:dyDescent="0.25">
      <c r="A340" s="604" t="s">
        <v>219</v>
      </c>
      <c r="B340" s="650">
        <f>' Plan Energi 2030-S'!AF65/IF((' Plan Energi 2030-S'!AF$63+' Plan Energi 2030-S'!AF$64+' Plan Energi 2030-S'!AF$65+' Plan Energi 2030-S'!AF$66+' Plan Energi 2030-S'!AF$67+' Plan Energi 2030-S'!AF$68)&gt;0,' Plan Energi 2030-S'!AF$63+' Plan Energi 2030-S'!AF$64+' Plan Energi 2030-S'!AF$65+' Plan Energi 2030-S'!AF$66+' Plan Energi 2030-S'!AF$67+' Plan Energi 2030-S'!AF$68,1)</f>
        <v>0</v>
      </c>
      <c r="C340" s="650"/>
      <c r="D340" s="650">
        <f>' Plan Energi 2006'!AF65/IF((' Plan Energi 2006'!AF$63+' Plan Energi 2006'!AF$64+' Plan Energi 2006'!AF$65+' Plan Energi 2006'!AF$66+' Plan Energi 2006'!AF$67+' Plan Energi 2006'!AF$68)&gt;0,' Plan Energi 2006'!AF$63+' Plan Energi 2006'!AF$64+' Plan Energi 2006'!AF$65+' Plan Energi 2006'!AF$66+' Plan Energi 2006'!AF$67+' Plan Energi 2006'!AF$68,1)</f>
        <v>0</v>
      </c>
      <c r="E340" s="650"/>
      <c r="F340" s="650">
        <f>' Plan Energi 2008'!AF65/IF((' Plan Energi 2008'!AF$63+' Plan Energi 2008'!AF$64+' Plan Energi 2008'!AF$65+' Plan Energi 2008'!AF$66+' Plan Energi 2008'!AF$67+' Plan Energi 2008'!AF$68)&gt;0,' Plan Energi 2008'!AF$63+' Plan Energi 2008'!AF$64+' Plan Energi 2008'!AF$65+' Plan Energi 2008'!AF$66+' Plan Energi 2008'!AF$67+' Plan Energi 2008'!AF$68,1)</f>
        <v>0</v>
      </c>
      <c r="G340" s="650"/>
      <c r="H340" s="650">
        <f>' Plan Energi 2009'!AF65/IF((' Plan Energi 2009'!AF$63+' Plan Energi 2009'!AF$64+' Plan Energi 2009'!AF$65+' Plan Energi 2009'!AF$66+' Plan Energi 2009'!AF$67+' Plan Energi 2009'!AF$68)&gt;0,' Plan Energi 2009'!AF$63+' Plan Energi 2009'!AF$64+' Plan Energi 2009'!AF$65+' Plan Energi 2009'!AF$66+' Plan Energi 2009'!AF$67+' Plan Energi 2009'!AF$68,1)</f>
        <v>0</v>
      </c>
      <c r="I340" s="650"/>
      <c r="J340" s="650">
        <f>' Plan Energi 2011'!AF65/IF((' Plan Energi 2011'!AF$63+' Plan Energi 2011'!AF$64+' Plan Energi 2011'!AF$65+' Plan Energi 2011'!AF$66+' Plan Energi 2011'!AF$67+' Plan Energi 2011'!AF$68)&gt;0,' Plan Energi 2011'!AF$63+' Plan Energi 2011'!AF$64+' Plan Energi 2011'!AF$65+' Plan Energi 2011'!AF$66+' Plan Energi 2011'!AF$67+' Plan Energi 2011'!AF$68,1)</f>
        <v>0</v>
      </c>
      <c r="K340" s="650"/>
      <c r="L340" s="650">
        <f>' Plan Energi 2013'!AF65/IF((' Plan Energi 2013'!AF$63+' Plan Energi 2013'!AF$64+' Plan Energi 2013'!AF$65+' Plan Energi 2013'!AF$66+' Plan Energi 2013'!AF$67+' Plan Energi 2013'!AF$68)&gt;0,' Plan Energi 2013'!AF$63+' Plan Energi 2013'!AF$64+' Plan Energi 2013'!AF$65+' Plan Energi 2013'!AF$66+' Plan Energi 2013'!AF$67+' Plan Energi 2013'!AF$68,1)</f>
        <v>0</v>
      </c>
      <c r="M340" s="650"/>
      <c r="N340" s="650">
        <f>' Plan Energi 2015'!AF65/IF((' Plan Energi 2015'!AF$63+' Plan Energi 2015'!AF$64+' Plan Energi 2015'!AF$65+' Plan Energi 2015'!AF$66+' Plan Energi 2015'!AF$67+' Plan Energi 2015'!AF$68)&gt;0,' Plan Energi 2015'!AF$63+' Plan Energi 2015'!AF$64+' Plan Energi 2015'!AF$65+' Plan Energi 2015'!AF$66+' Plan Energi 2015'!AF$67+' Plan Energi 2015'!AF$68,1)</f>
        <v>0</v>
      </c>
      <c r="O340" s="650"/>
      <c r="P340" s="650">
        <f>' Plan Energi 2017'!AF65/IF((' Plan Energi 2017'!AF$63+' Plan Energi 2017'!AF$64+' Plan Energi 2017'!AF$65+' Plan Energi 2017'!AF$66+' Plan Energi 2017'!AF$67+' Plan Energi 2017'!AF$68)&gt;0,' Plan Energi 2017'!AF$63+' Plan Energi 2017'!AF$64+' Plan Energi 2017'!AF$65+' Plan Energi 2017'!AF$66+' Plan Energi 2017'!AF$67+' Plan Energi 2017'!AF$68,1)</f>
        <v>0</v>
      </c>
      <c r="Q340" s="650"/>
      <c r="R340" s="650">
        <f>' Plan Energi 2019'!AF65/IF((' Plan Energi 2019'!AF$63+' Plan Energi 2019'!AF$64+' Plan Energi 2019'!AF$65+' Plan Energi 2019'!AF$66+' Plan Energi 2019'!AF$67+' Plan Energi 2019'!AF$68)&gt;0,' Plan Energi 2019'!AF$63+' Plan Energi 2019'!AF$64+' Plan Energi 2019'!AF$65+' Plan Energi 2019'!AF$66+' Plan Energi 2019'!AF$67+' Plan Energi 2019'!AF$68,1)</f>
        <v>0</v>
      </c>
      <c r="S340" s="650"/>
      <c r="T340" s="726">
        <f>Fjernvarme!J53</f>
        <v>0</v>
      </c>
      <c r="U340" s="650"/>
      <c r="V340" s="726">
        <f>Fjernvarme!L53</f>
        <v>0</v>
      </c>
      <c r="W340" s="650"/>
      <c r="X340" s="604"/>
    </row>
    <row r="341" spans="1:24" x14ac:dyDescent="0.25">
      <c r="A341" s="604" t="s">
        <v>221</v>
      </c>
      <c r="B341" s="650">
        <f>' Plan Energi 2030-S'!AF66/IF((' Plan Energi 2030-S'!AF$63+' Plan Energi 2030-S'!AF$64+' Plan Energi 2030-S'!AF$65+' Plan Energi 2030-S'!AF$66+' Plan Energi 2030-S'!AF$67+' Plan Energi 2030-S'!AF$68)&gt;0,' Plan Energi 2030-S'!AF$63+' Plan Energi 2030-S'!AF$64+' Plan Energi 2030-S'!AF$65+' Plan Energi 2030-S'!AF$66+' Plan Energi 2030-S'!AF$67+' Plan Energi 2030-S'!AF$68,1)</f>
        <v>0</v>
      </c>
      <c r="C341" s="650"/>
      <c r="D341" s="650">
        <f>' Plan Energi 2006'!AF66/IF((' Plan Energi 2006'!AF$63+' Plan Energi 2006'!AF$64+' Plan Energi 2006'!AF$65+' Plan Energi 2006'!AF$66+' Plan Energi 2006'!AF$67+' Plan Energi 2006'!AF$68)&gt;0,' Plan Energi 2006'!AF$63+' Plan Energi 2006'!AF$64+' Plan Energi 2006'!AF$65+' Plan Energi 2006'!AF$66+' Plan Energi 2006'!AF$67+' Plan Energi 2006'!AF$68,1)</f>
        <v>0</v>
      </c>
      <c r="E341" s="650"/>
      <c r="F341" s="650">
        <f>' Plan Energi 2008'!AF66/IF((' Plan Energi 2008'!AF$63+' Plan Energi 2008'!AF$64+' Plan Energi 2008'!AF$65+' Plan Energi 2008'!AF$66+' Plan Energi 2008'!AF$67+' Plan Energi 2008'!AF$68)&gt;0,' Plan Energi 2008'!AF$63+' Plan Energi 2008'!AF$64+' Plan Energi 2008'!AF$65+' Plan Energi 2008'!AF$66+' Plan Energi 2008'!AF$67+' Plan Energi 2008'!AF$68,1)</f>
        <v>0</v>
      </c>
      <c r="G341" s="650"/>
      <c r="H341" s="650">
        <f>' Plan Energi 2009'!AF66/IF((' Plan Energi 2009'!AF$63+' Plan Energi 2009'!AF$64+' Plan Energi 2009'!AF$65+' Plan Energi 2009'!AF$66+' Plan Energi 2009'!AF$67+' Plan Energi 2009'!AF$68)&gt;0,' Plan Energi 2009'!AF$63+' Plan Energi 2009'!AF$64+' Plan Energi 2009'!AF$65+' Plan Energi 2009'!AF$66+' Plan Energi 2009'!AF$67+' Plan Energi 2009'!AF$68,1)</f>
        <v>0</v>
      </c>
      <c r="I341" s="650"/>
      <c r="J341" s="650">
        <f>' Plan Energi 2011'!AF66/IF((' Plan Energi 2011'!AF$63+' Plan Energi 2011'!AF$64+' Plan Energi 2011'!AF$65+' Plan Energi 2011'!AF$66+' Plan Energi 2011'!AF$67+' Plan Energi 2011'!AF$68)&gt;0,' Plan Energi 2011'!AF$63+' Plan Energi 2011'!AF$64+' Plan Energi 2011'!AF$65+' Plan Energi 2011'!AF$66+' Plan Energi 2011'!AF$67+' Plan Energi 2011'!AF$68,1)</f>
        <v>0</v>
      </c>
      <c r="K341" s="650"/>
      <c r="L341" s="650">
        <f>' Plan Energi 2013'!AF66/IF((' Plan Energi 2013'!AF$63+' Plan Energi 2013'!AF$64+' Plan Energi 2013'!AF$65+' Plan Energi 2013'!AF$66+' Plan Energi 2013'!AF$67+' Plan Energi 2013'!AF$68)&gt;0,' Plan Energi 2013'!AF$63+' Plan Energi 2013'!AF$64+' Plan Energi 2013'!AF$65+' Plan Energi 2013'!AF$66+' Plan Energi 2013'!AF$67+' Plan Energi 2013'!AF$68,1)</f>
        <v>0</v>
      </c>
      <c r="M341" s="650"/>
      <c r="N341" s="650">
        <f>' Plan Energi 2015'!AF66/IF((' Plan Energi 2015'!AF$63+' Plan Energi 2015'!AF$64+' Plan Energi 2015'!AF$65+' Plan Energi 2015'!AF$66+' Plan Energi 2015'!AF$67+' Plan Energi 2015'!AF$68)&gt;0,' Plan Energi 2015'!AF$63+' Plan Energi 2015'!AF$64+' Plan Energi 2015'!AF$65+' Plan Energi 2015'!AF$66+' Plan Energi 2015'!AF$67+' Plan Energi 2015'!AF$68,1)</f>
        <v>0</v>
      </c>
      <c r="O341" s="650"/>
      <c r="P341" s="650">
        <f>' Plan Energi 2017'!AF66/IF((' Plan Energi 2017'!AF$63+' Plan Energi 2017'!AF$64+' Plan Energi 2017'!AF$65+' Plan Energi 2017'!AF$66+' Plan Energi 2017'!AF$67+' Plan Energi 2017'!AF$68)&gt;0,' Plan Energi 2017'!AF$63+' Plan Energi 2017'!AF$64+' Plan Energi 2017'!AF$65+' Plan Energi 2017'!AF$66+' Plan Energi 2017'!AF$67+' Plan Energi 2017'!AF$68,1)</f>
        <v>0</v>
      </c>
      <c r="Q341" s="650"/>
      <c r="R341" s="650">
        <f>' Plan Energi 2019'!AF66/IF((' Plan Energi 2019'!AF$63+' Plan Energi 2019'!AF$64+' Plan Energi 2019'!AF$65+' Plan Energi 2019'!AF$66+' Plan Energi 2019'!AF$67+' Plan Energi 2019'!AF$68)&gt;0,' Plan Energi 2019'!AF$63+' Plan Energi 2019'!AF$64+' Plan Energi 2019'!AF$65+' Plan Energi 2019'!AF$66+' Plan Energi 2019'!AF$67+' Plan Energi 2019'!AF$68,1)</f>
        <v>0</v>
      </c>
      <c r="S341" s="650"/>
      <c r="T341" s="726">
        <f>Fjernvarme!J54</f>
        <v>0</v>
      </c>
      <c r="U341" s="650"/>
      <c r="V341" s="726">
        <f>Fjernvarme!L54</f>
        <v>0</v>
      </c>
      <c r="W341" s="650"/>
      <c r="X341" s="604"/>
    </row>
    <row r="342" spans="1:24" x14ac:dyDescent="0.25">
      <c r="A342" s="604" t="s">
        <v>223</v>
      </c>
      <c r="B342" s="650">
        <f>' Plan Energi 2030-S'!AF67/IF((' Plan Energi 2030-S'!AF$63+' Plan Energi 2030-S'!AF$64+' Plan Energi 2030-S'!AF$65+' Plan Energi 2030-S'!AF$66+' Plan Energi 2030-S'!AF$67+' Plan Energi 2030-S'!AF$68)&gt;0,' Plan Energi 2030-S'!AF$63+' Plan Energi 2030-S'!AF$64+' Plan Energi 2030-S'!AF$65+' Plan Energi 2030-S'!AF$66+' Plan Energi 2030-S'!AF$67+' Plan Energi 2030-S'!AF$68,1)</f>
        <v>0</v>
      </c>
      <c r="C342" s="650"/>
      <c r="D342" s="650">
        <f>' Plan Energi 2006'!AF67/IF((' Plan Energi 2006'!AF$63+' Plan Energi 2006'!AF$64+' Plan Energi 2006'!AF$65+' Plan Energi 2006'!AF$66+' Plan Energi 2006'!AF$67+' Plan Energi 2006'!AF$68)&gt;0,' Plan Energi 2006'!AF$63+' Plan Energi 2006'!AF$64+' Plan Energi 2006'!AF$65+' Plan Energi 2006'!AF$66+' Plan Energi 2006'!AF$67+' Plan Energi 2006'!AF$68,1)</f>
        <v>0</v>
      </c>
      <c r="E342" s="650"/>
      <c r="F342" s="650">
        <f>' Plan Energi 2008'!AF67/IF((' Plan Energi 2008'!AF$63+' Plan Energi 2008'!AF$64+' Plan Energi 2008'!AF$65+' Plan Energi 2008'!AF$66+' Plan Energi 2008'!AF$67+' Plan Energi 2008'!AF$68)&gt;0,' Plan Energi 2008'!AF$63+' Plan Energi 2008'!AF$64+' Plan Energi 2008'!AF$65+' Plan Energi 2008'!AF$66+' Plan Energi 2008'!AF$67+' Plan Energi 2008'!AF$68,1)</f>
        <v>0</v>
      </c>
      <c r="G342" s="650"/>
      <c r="H342" s="650">
        <f>' Plan Energi 2009'!AF67/IF((' Plan Energi 2009'!AF$63+' Plan Energi 2009'!AF$64+' Plan Energi 2009'!AF$65+' Plan Energi 2009'!AF$66+' Plan Energi 2009'!AF$67+' Plan Energi 2009'!AF$68)&gt;0,' Plan Energi 2009'!AF$63+' Plan Energi 2009'!AF$64+' Plan Energi 2009'!AF$65+' Plan Energi 2009'!AF$66+' Plan Energi 2009'!AF$67+' Plan Energi 2009'!AF$68,1)</f>
        <v>0</v>
      </c>
      <c r="I342" s="650"/>
      <c r="J342" s="650">
        <f>' Plan Energi 2011'!AF67/IF((' Plan Energi 2011'!AF$63+' Plan Energi 2011'!AF$64+' Plan Energi 2011'!AF$65+' Plan Energi 2011'!AF$66+' Plan Energi 2011'!AF$67+' Plan Energi 2011'!AF$68)&gt;0,' Plan Energi 2011'!AF$63+' Plan Energi 2011'!AF$64+' Plan Energi 2011'!AF$65+' Plan Energi 2011'!AF$66+' Plan Energi 2011'!AF$67+' Plan Energi 2011'!AF$68,1)</f>
        <v>0</v>
      </c>
      <c r="K342" s="650"/>
      <c r="L342" s="650">
        <f>' Plan Energi 2013'!AF67/IF((' Plan Energi 2013'!AF$63+' Plan Energi 2013'!AF$64+' Plan Energi 2013'!AF$65+' Plan Energi 2013'!AF$66+' Plan Energi 2013'!AF$67+' Plan Energi 2013'!AF$68)&gt;0,' Plan Energi 2013'!AF$63+' Plan Energi 2013'!AF$64+' Plan Energi 2013'!AF$65+' Plan Energi 2013'!AF$66+' Plan Energi 2013'!AF$67+' Plan Energi 2013'!AF$68,1)</f>
        <v>0</v>
      </c>
      <c r="M342" s="650"/>
      <c r="N342" s="650">
        <f>' Plan Energi 2015'!AF67/IF((' Plan Energi 2015'!AF$63+' Plan Energi 2015'!AF$64+' Plan Energi 2015'!AF$65+' Plan Energi 2015'!AF$66+' Plan Energi 2015'!AF$67+' Plan Energi 2015'!AF$68)&gt;0,' Plan Energi 2015'!AF$63+' Plan Energi 2015'!AF$64+' Plan Energi 2015'!AF$65+' Plan Energi 2015'!AF$66+' Plan Energi 2015'!AF$67+' Plan Energi 2015'!AF$68,1)</f>
        <v>0</v>
      </c>
      <c r="O342" s="650"/>
      <c r="P342" s="650">
        <f>' Plan Energi 2017'!AF67/IF((' Plan Energi 2017'!AF$63+' Plan Energi 2017'!AF$64+' Plan Energi 2017'!AF$65+' Plan Energi 2017'!AF$66+' Plan Energi 2017'!AF$67+' Plan Energi 2017'!AF$68)&gt;0,' Plan Energi 2017'!AF$63+' Plan Energi 2017'!AF$64+' Plan Energi 2017'!AF$65+' Plan Energi 2017'!AF$66+' Plan Energi 2017'!AF$67+' Plan Energi 2017'!AF$68,1)</f>
        <v>0</v>
      </c>
      <c r="Q342" s="650"/>
      <c r="R342" s="650">
        <f>' Plan Energi 2019'!AF67/IF((' Plan Energi 2019'!AF$63+' Plan Energi 2019'!AF$64+' Plan Energi 2019'!AF$65+' Plan Energi 2019'!AF$66+' Plan Energi 2019'!AF$67+' Plan Energi 2019'!AF$68)&gt;0,' Plan Energi 2019'!AF$63+' Plan Energi 2019'!AF$64+' Plan Energi 2019'!AF$65+' Plan Energi 2019'!AF$66+' Plan Energi 2019'!AF$67+' Plan Energi 2019'!AF$68,1)</f>
        <v>0</v>
      </c>
      <c r="S342" s="650"/>
      <c r="T342" s="726">
        <f>Fjernvarme!J55</f>
        <v>0</v>
      </c>
      <c r="U342" s="650"/>
      <c r="V342" s="726">
        <f>Fjernvarme!L55</f>
        <v>0</v>
      </c>
      <c r="W342" s="650"/>
      <c r="X342" s="604"/>
    </row>
    <row r="343" spans="1:24" x14ac:dyDescent="0.25">
      <c r="A343" s="604" t="s">
        <v>225</v>
      </c>
      <c r="B343" s="650">
        <f>' Plan Energi 2030-S'!AF68/IF((' Plan Energi 2030-S'!AF$63+' Plan Energi 2030-S'!AF$64+' Plan Energi 2030-S'!AF$65+' Plan Energi 2030-S'!AF$66+' Plan Energi 2030-S'!AF$67+' Plan Energi 2030-S'!AF$68)&gt;0,' Plan Energi 2030-S'!AF$63+' Plan Energi 2030-S'!AF$64+' Plan Energi 2030-S'!AF$65+' Plan Energi 2030-S'!AF$66+' Plan Energi 2030-S'!AF$67+' Plan Energi 2030-S'!AF$68,1)</f>
        <v>1</v>
      </c>
      <c r="C343" s="650"/>
      <c r="D343" s="650">
        <f>' Plan Energi 2006'!AF68/IF((' Plan Energi 2006'!AF$63+' Plan Energi 2006'!AF$64+' Plan Energi 2006'!AF$65+' Plan Energi 2006'!AF$66+' Plan Energi 2006'!AF$67+' Plan Energi 2006'!AF$68)&gt;0,' Plan Energi 2006'!AF$63+' Plan Energi 2006'!AF$64+' Plan Energi 2006'!AF$65+' Plan Energi 2006'!AF$66+' Plan Energi 2006'!AF$67+' Plan Energi 2006'!AF$68,1)</f>
        <v>1</v>
      </c>
      <c r="E343" s="650"/>
      <c r="F343" s="650">
        <f>' Plan Energi 2008'!AF68/IF((' Plan Energi 2008'!AF$63+' Plan Energi 2008'!AF$64+' Plan Energi 2008'!AF$65+' Plan Energi 2008'!AF$66+' Plan Energi 2008'!AF$67+' Plan Energi 2008'!AF$68)&gt;0,' Plan Energi 2008'!AF$63+' Plan Energi 2008'!AF$64+' Plan Energi 2008'!AF$65+' Plan Energi 2008'!AF$66+' Plan Energi 2008'!AF$67+' Plan Energi 2008'!AF$68,1)</f>
        <v>1</v>
      </c>
      <c r="G343" s="650"/>
      <c r="H343" s="650">
        <f>' Plan Energi 2009'!AF68/IF((' Plan Energi 2009'!AF$63+' Plan Energi 2009'!AF$64+' Plan Energi 2009'!AF$65+' Plan Energi 2009'!AF$66+' Plan Energi 2009'!AF$67+' Plan Energi 2009'!AF$68)&gt;0,' Plan Energi 2009'!AF$63+' Plan Energi 2009'!AF$64+' Plan Energi 2009'!AF$65+' Plan Energi 2009'!AF$66+' Plan Energi 2009'!AF$67+' Plan Energi 2009'!AF$68,1)</f>
        <v>1</v>
      </c>
      <c r="I343" s="650"/>
      <c r="J343" s="650">
        <f>' Plan Energi 2011'!AF68/IF((' Plan Energi 2011'!AF$63+' Plan Energi 2011'!AF$64+' Plan Energi 2011'!AF$65+' Plan Energi 2011'!AF$66+' Plan Energi 2011'!AF$67+' Plan Energi 2011'!AF$68)&gt;0,' Plan Energi 2011'!AF$63+' Plan Energi 2011'!AF$64+' Plan Energi 2011'!AF$65+' Plan Energi 2011'!AF$66+' Plan Energi 2011'!AF$67+' Plan Energi 2011'!AF$68,1)</f>
        <v>1</v>
      </c>
      <c r="K343" s="650"/>
      <c r="L343" s="650">
        <f>' Plan Energi 2013'!AF68/IF((' Plan Energi 2013'!AF$63+' Plan Energi 2013'!AF$64+' Plan Energi 2013'!AF$65+' Plan Energi 2013'!AF$66+' Plan Energi 2013'!AF$67+' Plan Energi 2013'!AF$68)&gt;0,' Plan Energi 2013'!AF$63+' Plan Energi 2013'!AF$64+' Plan Energi 2013'!AF$65+' Plan Energi 2013'!AF$66+' Plan Energi 2013'!AF$67+' Plan Energi 2013'!AF$68,1)</f>
        <v>1</v>
      </c>
      <c r="M343" s="650"/>
      <c r="N343" s="650">
        <f>' Plan Energi 2015'!AF68/IF((' Plan Energi 2015'!AF$63+' Plan Energi 2015'!AF$64+' Plan Energi 2015'!AF$65+' Plan Energi 2015'!AF$66+' Plan Energi 2015'!AF$67+' Plan Energi 2015'!AF$68)&gt;0,' Plan Energi 2015'!AF$63+' Plan Energi 2015'!AF$64+' Plan Energi 2015'!AF$65+' Plan Energi 2015'!AF$66+' Plan Energi 2015'!AF$67+' Plan Energi 2015'!AF$68,1)</f>
        <v>1</v>
      </c>
      <c r="O343" s="650"/>
      <c r="P343" s="650">
        <f>' Plan Energi 2017'!AF68/IF((' Plan Energi 2017'!AF$63+' Plan Energi 2017'!AF$64+' Plan Energi 2017'!AF$65+' Plan Energi 2017'!AF$66+' Plan Energi 2017'!AF$67+' Plan Energi 2017'!AF$68)&gt;0,' Plan Energi 2017'!AF$63+' Plan Energi 2017'!AF$64+' Plan Energi 2017'!AF$65+' Plan Energi 2017'!AF$66+' Plan Energi 2017'!AF$67+' Plan Energi 2017'!AF$68,1)</f>
        <v>1</v>
      </c>
      <c r="Q343" s="650"/>
      <c r="R343" s="650">
        <f>' Plan Energi 2019'!AF68/IF((' Plan Energi 2019'!AF$63+' Plan Energi 2019'!AF$64+' Plan Energi 2019'!AF$65+' Plan Energi 2019'!AF$66+' Plan Energi 2019'!AF$67+' Plan Energi 2019'!AF$68)&gt;0,' Plan Energi 2019'!AF$63+' Plan Energi 2019'!AF$64+' Plan Energi 2019'!AF$65+' Plan Energi 2019'!AF$66+' Plan Energi 2019'!AF$67+' Plan Energi 2019'!AF$68,1)</f>
        <v>1</v>
      </c>
      <c r="S343" s="650"/>
      <c r="T343" s="726">
        <f>Fjernvarme!J56</f>
        <v>1</v>
      </c>
      <c r="U343" s="650"/>
      <c r="V343" s="726">
        <f>Fjernvarme!L56</f>
        <v>1</v>
      </c>
      <c r="W343" s="650"/>
      <c r="X343" s="604"/>
    </row>
    <row r="344" spans="1:24" x14ac:dyDescent="0.25">
      <c r="A344" s="629" t="s">
        <v>364</v>
      </c>
      <c r="B344" s="666" t="s">
        <v>27</v>
      </c>
      <c r="C344" s="666" t="s">
        <v>30</v>
      </c>
      <c r="D344" s="666" t="s">
        <v>27</v>
      </c>
      <c r="E344" s="666" t="s">
        <v>30</v>
      </c>
      <c r="F344" s="666" t="s">
        <v>27</v>
      </c>
      <c r="G344" s="666" t="s">
        <v>30</v>
      </c>
      <c r="H344" s="666" t="s">
        <v>27</v>
      </c>
      <c r="I344" s="666" t="s">
        <v>30</v>
      </c>
      <c r="J344" s="666" t="s">
        <v>27</v>
      </c>
      <c r="K344" s="666" t="s">
        <v>30</v>
      </c>
      <c r="L344" s="666" t="s">
        <v>27</v>
      </c>
      <c r="M344" s="666" t="s">
        <v>30</v>
      </c>
      <c r="N344" s="666" t="s">
        <v>27</v>
      </c>
      <c r="O344" s="666" t="s">
        <v>30</v>
      </c>
      <c r="P344" s="666" t="s">
        <v>27</v>
      </c>
      <c r="Q344" s="666" t="s">
        <v>30</v>
      </c>
      <c r="R344" s="666" t="s">
        <v>27</v>
      </c>
      <c r="S344" s="666" t="s">
        <v>30</v>
      </c>
      <c r="T344" s="666" t="s">
        <v>27</v>
      </c>
      <c r="U344" s="666" t="s">
        <v>30</v>
      </c>
      <c r="V344" s="666" t="s">
        <v>27</v>
      </c>
      <c r="W344" s="666" t="s">
        <v>30</v>
      </c>
      <c r="X344" s="604"/>
    </row>
    <row r="345" spans="1:24" x14ac:dyDescent="0.25">
      <c r="A345" s="604" t="s">
        <v>145</v>
      </c>
      <c r="B345" s="717">
        <f>' Plan Energi 2030-S'!Z33/100</f>
        <v>0</v>
      </c>
      <c r="C345" s="717">
        <f>' Plan Energi 2030-S'!AB33/100</f>
        <v>0</v>
      </c>
      <c r="D345" s="717">
        <f>' Plan Energi 2006'!Z33/100</f>
        <v>0.38700000000000001</v>
      </c>
      <c r="E345" s="717">
        <f>' Plan Energi 2006'!AB33/100</f>
        <v>0.53</v>
      </c>
      <c r="F345" s="717">
        <f>' Plan Energi 2008'!Z33/100</f>
        <v>0</v>
      </c>
      <c r="G345" s="717">
        <f>' Plan Energi 2008'!AB33/100</f>
        <v>0</v>
      </c>
      <c r="H345" s="717">
        <f>' Plan Energi 2009'!Z33/100</f>
        <v>0</v>
      </c>
      <c r="I345" s="717">
        <f>' Plan Energi 2009'!AB33/100</f>
        <v>0</v>
      </c>
      <c r="J345" s="717">
        <f>' Plan Energi 2011'!Z33/100</f>
        <v>0.34399999999999997</v>
      </c>
      <c r="K345" s="717">
        <f>' Plan Energi 2011'!AB33/100</f>
        <v>0.51600000000000001</v>
      </c>
      <c r="L345" s="717">
        <f>' Plan Energi 2013'!Z33/100</f>
        <v>0.34399999999999997</v>
      </c>
      <c r="M345" s="717">
        <f>' Plan Energi 2013'!AB33/100</f>
        <v>0.51600000000000001</v>
      </c>
      <c r="N345" s="717">
        <f>' Plan Energi 2015'!Z33/100</f>
        <v>0.34399999999999997</v>
      </c>
      <c r="O345" s="717">
        <f>' Plan Energi 2015'!AB33/100</f>
        <v>0.51600000000000001</v>
      </c>
      <c r="P345" s="717">
        <f>' Plan Energi 2017'!Z33/100</f>
        <v>0</v>
      </c>
      <c r="Q345" s="717">
        <f>' Plan Energi 2017'!AB33/100</f>
        <v>0</v>
      </c>
      <c r="R345" s="717">
        <f>' Plan Energi 2019'!Z33/100</f>
        <v>0</v>
      </c>
      <c r="S345" s="717">
        <f>' Plan Energi 2019'!AB33/100</f>
        <v>0</v>
      </c>
      <c r="T345" s="736">
        <f>'Tekniske virkning'!R4</f>
        <v>0</v>
      </c>
      <c r="U345" s="736">
        <f>'Tekniske virkning'!S4</f>
        <v>0</v>
      </c>
      <c r="V345" s="736">
        <f>'Tekniske virkning'!T4</f>
        <v>0.34399999999999997</v>
      </c>
      <c r="W345" s="737">
        <f>'Tekniske virkning'!U4</f>
        <v>0.51600000000000001</v>
      </c>
      <c r="X345" s="604"/>
    </row>
    <row r="346" spans="1:24" x14ac:dyDescent="0.25">
      <c r="A346" s="604" t="s">
        <v>147</v>
      </c>
      <c r="B346" s="717">
        <f>' Plan Energi 2030-S'!Z34/100</f>
        <v>0</v>
      </c>
      <c r="C346" s="717">
        <f>' Plan Energi 2030-S'!AB34/100</f>
        <v>0</v>
      </c>
      <c r="D346" s="717">
        <f>' Plan Energi 2006'!Z34/100</f>
        <v>0</v>
      </c>
      <c r="E346" s="717">
        <f>' Plan Energi 2006'!AB34/100</f>
        <v>0</v>
      </c>
      <c r="F346" s="717">
        <f>' Plan Energi 2008'!Z34/100</f>
        <v>0</v>
      </c>
      <c r="G346" s="717">
        <f>' Plan Energi 2008'!AB34/100</f>
        <v>0</v>
      </c>
      <c r="H346" s="717">
        <f>' Plan Energi 2009'!Z34/100</f>
        <v>0</v>
      </c>
      <c r="I346" s="717">
        <f>' Plan Energi 2009'!AB34/100</f>
        <v>0</v>
      </c>
      <c r="J346" s="717">
        <f>' Plan Energi 2011'!Z34/100</f>
        <v>0</v>
      </c>
      <c r="K346" s="717">
        <f>' Plan Energi 2011'!AB34/100</f>
        <v>0</v>
      </c>
      <c r="L346" s="717">
        <f>' Plan Energi 2013'!Z34/100</f>
        <v>0</v>
      </c>
      <c r="M346" s="717">
        <f>' Plan Energi 2013'!AB34/100</f>
        <v>0</v>
      </c>
      <c r="N346" s="717">
        <f>' Plan Energi 2015'!Z34/100</f>
        <v>0</v>
      </c>
      <c r="O346" s="717">
        <f>' Plan Energi 2015'!AB34/100</f>
        <v>0</v>
      </c>
      <c r="P346" s="717">
        <f>' Plan Energi 2017'!Z34/100</f>
        <v>0</v>
      </c>
      <c r="Q346" s="717">
        <f>' Plan Energi 2017'!AB34/100</f>
        <v>0</v>
      </c>
      <c r="R346" s="717">
        <f>' Plan Energi 2019'!Z34/100</f>
        <v>0</v>
      </c>
      <c r="S346" s="717">
        <f>' Plan Energi 2019'!AB34/100</f>
        <v>0</v>
      </c>
      <c r="T346" s="736">
        <f>'Tekniske virkning'!R5</f>
        <v>0</v>
      </c>
      <c r="U346" s="736">
        <f>'Tekniske virkning'!S5</f>
        <v>0</v>
      </c>
      <c r="V346" s="736">
        <f>'Tekniske virkning'!T5</f>
        <v>0</v>
      </c>
      <c r="W346" s="737">
        <f>'Tekniske virkning'!U5</f>
        <v>0</v>
      </c>
      <c r="X346" s="604"/>
    </row>
    <row r="347" spans="1:24" x14ac:dyDescent="0.25">
      <c r="A347" s="604" t="s">
        <v>149</v>
      </c>
      <c r="B347" s="717">
        <f>' Plan Energi 2030-S'!Z35/100</f>
        <v>0</v>
      </c>
      <c r="C347" s="717">
        <f>' Plan Energi 2030-S'!AB35/100</f>
        <v>0</v>
      </c>
      <c r="D347" s="717">
        <f>' Plan Energi 2006'!Z35/100</f>
        <v>0</v>
      </c>
      <c r="E347" s="717">
        <f>' Plan Energi 2006'!AB35/100</f>
        <v>0</v>
      </c>
      <c r="F347" s="717">
        <f>' Plan Energi 2008'!Z35/100</f>
        <v>0</v>
      </c>
      <c r="G347" s="717">
        <f>' Plan Energi 2008'!AB35/100</f>
        <v>0</v>
      </c>
      <c r="H347" s="717">
        <f>' Plan Energi 2009'!Z35/100</f>
        <v>0</v>
      </c>
      <c r="I347" s="717">
        <f>' Plan Energi 2009'!AB35/100</f>
        <v>0</v>
      </c>
      <c r="J347" s="717">
        <f>' Plan Energi 2011'!Z35/100</f>
        <v>0</v>
      </c>
      <c r="K347" s="717">
        <f>' Plan Energi 2011'!AB35/100</f>
        <v>0</v>
      </c>
      <c r="L347" s="717">
        <f>' Plan Energi 2013'!Z35/100</f>
        <v>0</v>
      </c>
      <c r="M347" s="717">
        <f>' Plan Energi 2013'!AB35/100</f>
        <v>0</v>
      </c>
      <c r="N347" s="717">
        <f>' Plan Energi 2015'!Z35/100</f>
        <v>0</v>
      </c>
      <c r="O347" s="717">
        <f>' Plan Energi 2015'!AB35/100</f>
        <v>0</v>
      </c>
      <c r="P347" s="717">
        <f>' Plan Energi 2017'!Z35/100</f>
        <v>0</v>
      </c>
      <c r="Q347" s="717">
        <f>' Plan Energi 2017'!AB35/100</f>
        <v>0</v>
      </c>
      <c r="R347" s="717">
        <f>' Plan Energi 2019'!Z35/100</f>
        <v>0</v>
      </c>
      <c r="S347" s="717">
        <f>' Plan Energi 2019'!AB35/100</f>
        <v>0</v>
      </c>
      <c r="T347" s="736">
        <f>'Tekniske virkning'!R6</f>
        <v>0</v>
      </c>
      <c r="U347" s="736">
        <f>'Tekniske virkning'!S6</f>
        <v>0</v>
      </c>
      <c r="V347" s="736">
        <f>'Tekniske virkning'!T6</f>
        <v>0</v>
      </c>
      <c r="W347" s="737">
        <f>'Tekniske virkning'!U6</f>
        <v>0</v>
      </c>
      <c r="X347" s="604"/>
    </row>
    <row r="348" spans="1:24" x14ac:dyDescent="0.25">
      <c r="A348" s="604" t="s">
        <v>151</v>
      </c>
      <c r="B348" s="717">
        <f>' Plan Energi 2030-S'!Z36/100</f>
        <v>0</v>
      </c>
      <c r="C348" s="717">
        <f>' Plan Energi 2030-S'!AB36/100</f>
        <v>0</v>
      </c>
      <c r="D348" s="717">
        <f>' Plan Energi 2006'!Z36/100</f>
        <v>0</v>
      </c>
      <c r="E348" s="717">
        <f>' Plan Energi 2006'!AB36/100</f>
        <v>0</v>
      </c>
      <c r="F348" s="717">
        <f>' Plan Energi 2008'!Z36/100</f>
        <v>0</v>
      </c>
      <c r="G348" s="717">
        <f>' Plan Energi 2008'!AB36/100</f>
        <v>0</v>
      </c>
      <c r="H348" s="717">
        <f>' Plan Energi 2009'!Z36/100</f>
        <v>0</v>
      </c>
      <c r="I348" s="717">
        <f>' Plan Energi 2009'!AB36/100</f>
        <v>0</v>
      </c>
      <c r="J348" s="717">
        <f>' Plan Energi 2011'!Z36/100</f>
        <v>0</v>
      </c>
      <c r="K348" s="717">
        <f>' Plan Energi 2011'!AB36/100</f>
        <v>0</v>
      </c>
      <c r="L348" s="717">
        <f>' Plan Energi 2013'!Z36/100</f>
        <v>0</v>
      </c>
      <c r="M348" s="717">
        <f>' Plan Energi 2013'!AB36/100</f>
        <v>0</v>
      </c>
      <c r="N348" s="717">
        <f>' Plan Energi 2015'!Z36/100</f>
        <v>0</v>
      </c>
      <c r="O348" s="717">
        <f>' Plan Energi 2015'!AB36/100</f>
        <v>0</v>
      </c>
      <c r="P348" s="717">
        <f>' Plan Energi 2017'!Z36/100</f>
        <v>0</v>
      </c>
      <c r="Q348" s="717">
        <f>' Plan Energi 2017'!AB36/100</f>
        <v>0</v>
      </c>
      <c r="R348" s="717">
        <f>' Plan Energi 2019'!Z36/100</f>
        <v>0</v>
      </c>
      <c r="S348" s="717">
        <f>' Plan Energi 2019'!AB36/100</f>
        <v>0</v>
      </c>
      <c r="T348" s="736">
        <f>'Tekniske virkning'!R7</f>
        <v>0</v>
      </c>
      <c r="U348" s="736">
        <f>'Tekniske virkning'!S7</f>
        <v>0</v>
      </c>
      <c r="V348" s="736">
        <f>'Tekniske virkning'!T7</f>
        <v>0</v>
      </c>
      <c r="W348" s="737">
        <f>'Tekniske virkning'!U7</f>
        <v>0</v>
      </c>
      <c r="X348" s="604"/>
    </row>
    <row r="349" spans="1:24" x14ac:dyDescent="0.25">
      <c r="A349" s="604" t="s">
        <v>153</v>
      </c>
      <c r="B349" s="717">
        <f>' Plan Energi 2030-S'!Z37/100</f>
        <v>0</v>
      </c>
      <c r="C349" s="717">
        <f>' Plan Energi 2030-S'!AB37/100</f>
        <v>0</v>
      </c>
      <c r="D349" s="717">
        <f>' Plan Energi 2006'!Z37/100</f>
        <v>0</v>
      </c>
      <c r="E349" s="717">
        <f>' Plan Energi 2006'!AB37/100</f>
        <v>0</v>
      </c>
      <c r="F349" s="717">
        <f>' Plan Energi 2008'!Z37/100</f>
        <v>0</v>
      </c>
      <c r="G349" s="717">
        <f>' Plan Energi 2008'!AB37/100</f>
        <v>0</v>
      </c>
      <c r="H349" s="717">
        <f>' Plan Energi 2009'!Z37/100</f>
        <v>0</v>
      </c>
      <c r="I349" s="717">
        <f>' Plan Energi 2009'!AB37/100</f>
        <v>0</v>
      </c>
      <c r="J349" s="717">
        <f>' Plan Energi 2011'!Z37/100</f>
        <v>0</v>
      </c>
      <c r="K349" s="717">
        <f>' Plan Energi 2011'!AB37/100</f>
        <v>0</v>
      </c>
      <c r="L349" s="717">
        <f>' Plan Energi 2013'!Z37/100</f>
        <v>0</v>
      </c>
      <c r="M349" s="717">
        <f>' Plan Energi 2013'!AB37/100</f>
        <v>0</v>
      </c>
      <c r="N349" s="717">
        <f>' Plan Energi 2015'!Z37/100</f>
        <v>0</v>
      </c>
      <c r="O349" s="717">
        <f>' Plan Energi 2015'!AB37/100</f>
        <v>0</v>
      </c>
      <c r="P349" s="717">
        <f>' Plan Energi 2017'!Z37/100</f>
        <v>0</v>
      </c>
      <c r="Q349" s="717">
        <f>' Plan Energi 2017'!AB37/100</f>
        <v>0</v>
      </c>
      <c r="R349" s="717">
        <f>' Plan Energi 2019'!Z37/100</f>
        <v>0</v>
      </c>
      <c r="S349" s="717">
        <f>' Plan Energi 2019'!AB37/100</f>
        <v>0</v>
      </c>
      <c r="T349" s="736">
        <f>'Tekniske virkning'!R8</f>
        <v>0</v>
      </c>
      <c r="U349" s="736">
        <f>'Tekniske virkning'!S8</f>
        <v>4</v>
      </c>
      <c r="V349" s="736">
        <f>'Tekniske virkning'!T8</f>
        <v>0</v>
      </c>
      <c r="W349" s="737">
        <f>'Tekniske virkning'!U8</f>
        <v>4</v>
      </c>
      <c r="X349" s="604"/>
    </row>
    <row r="350" spans="1:24" x14ac:dyDescent="0.25">
      <c r="A350" s="604" t="s">
        <v>155</v>
      </c>
      <c r="B350" s="717">
        <f>' Plan Energi 2030-S'!Z38/100</f>
        <v>0</v>
      </c>
      <c r="C350" s="717">
        <f>' Plan Energi 2030-S'!AB38/100</f>
        <v>0</v>
      </c>
      <c r="D350" s="717">
        <f>' Plan Energi 2006'!Z38/100</f>
        <v>0</v>
      </c>
      <c r="E350" s="717">
        <f>' Plan Energi 2006'!AB38/100</f>
        <v>0</v>
      </c>
      <c r="F350" s="717">
        <f>' Plan Energi 2008'!Z38/100</f>
        <v>0</v>
      </c>
      <c r="G350" s="717">
        <f>' Plan Energi 2008'!AB38/100</f>
        <v>0</v>
      </c>
      <c r="H350" s="717">
        <f>' Plan Energi 2009'!Z38/100</f>
        <v>0</v>
      </c>
      <c r="I350" s="717">
        <f>' Plan Energi 2009'!AB38/100</f>
        <v>0</v>
      </c>
      <c r="J350" s="717">
        <f>' Plan Energi 2011'!Z38/100</f>
        <v>0</v>
      </c>
      <c r="K350" s="717">
        <f>' Plan Energi 2011'!AB38/100</f>
        <v>0</v>
      </c>
      <c r="L350" s="717">
        <f>' Plan Energi 2013'!Z38/100</f>
        <v>0</v>
      </c>
      <c r="M350" s="717">
        <f>' Plan Energi 2013'!AB38/100</f>
        <v>0</v>
      </c>
      <c r="N350" s="717">
        <f>' Plan Energi 2015'!Z38/100</f>
        <v>0</v>
      </c>
      <c r="O350" s="717">
        <f>' Plan Energi 2015'!AB38/100</f>
        <v>0</v>
      </c>
      <c r="P350" s="717">
        <f>' Plan Energi 2017'!Z38/100</f>
        <v>0</v>
      </c>
      <c r="Q350" s="717">
        <f>' Plan Energi 2017'!AB38/100</f>
        <v>0</v>
      </c>
      <c r="R350" s="717">
        <f>' Plan Energi 2019'!Z38/100</f>
        <v>0</v>
      </c>
      <c r="S350" s="717">
        <f>' Plan Energi 2019'!AB38/100</f>
        <v>0</v>
      </c>
      <c r="T350" s="736">
        <f>'Tekniske virkning'!R9</f>
        <v>0</v>
      </c>
      <c r="U350" s="736">
        <f>'Tekniske virkning'!S9</f>
        <v>1</v>
      </c>
      <c r="V350" s="736">
        <f>'Tekniske virkning'!T9</f>
        <v>0</v>
      </c>
      <c r="W350" s="737">
        <f>'Tekniske virkning'!U9</f>
        <v>1</v>
      </c>
      <c r="X350" s="604"/>
    </row>
    <row r="351" spans="1:24" x14ac:dyDescent="0.25">
      <c r="A351" s="604" t="s">
        <v>159</v>
      </c>
      <c r="B351" s="717">
        <f>' Plan Energi 2030-S'!Z61/100</f>
        <v>0.22600000000000001</v>
      </c>
      <c r="C351" s="717">
        <f>' Plan Energi 2030-S'!AB61/100</f>
        <v>0.52500000000000002</v>
      </c>
      <c r="D351" s="717">
        <f>' Plan Energi 2006'!Z61/100</f>
        <v>0.248</v>
      </c>
      <c r="E351" s="717">
        <f>' Plan Energi 2006'!AB61/100</f>
        <v>0.50800000000000001</v>
      </c>
      <c r="F351" s="717">
        <f>' Plan Energi 2008'!Z61/100</f>
        <v>0.215</v>
      </c>
      <c r="G351" s="717">
        <f>' Plan Energi 2008'!AB61/100</f>
        <v>0.51800000000000002</v>
      </c>
      <c r="H351" s="717">
        <f>' Plan Energi 2009'!Z61/100</f>
        <v>0.221</v>
      </c>
      <c r="I351" s="717">
        <f>' Plan Energi 2009'!AB61/100</f>
        <v>0.56600000000000006</v>
      </c>
      <c r="J351" s="717">
        <f>' Plan Energi 2011'!Z61/100</f>
        <v>0.22899999999999998</v>
      </c>
      <c r="K351" s="717">
        <f>' Plan Energi 2011'!AB61/100</f>
        <v>0.53500000000000003</v>
      </c>
      <c r="L351" s="717">
        <f>' Plan Energi 2013'!Z61/100</f>
        <v>0.23499999999999999</v>
      </c>
      <c r="M351" s="717">
        <f>' Plan Energi 2013'!AB61/100</f>
        <v>0.51700000000000002</v>
      </c>
      <c r="N351" s="717">
        <f>' Plan Energi 2015'!Z61/100</f>
        <v>0.20600000000000002</v>
      </c>
      <c r="O351" s="717">
        <f>' Plan Energi 2015'!AB61/100</f>
        <v>0.51</v>
      </c>
      <c r="P351" s="717">
        <f>' Plan Energi 2017'!Z61/100</f>
        <v>0.22600000000000001</v>
      </c>
      <c r="Q351" s="717">
        <f>' Plan Energi 2017'!AB61/100</f>
        <v>0.52500000000000002</v>
      </c>
      <c r="R351" s="717">
        <f>' Plan Energi 2019'!Z61/100</f>
        <v>0.22600000000000001</v>
      </c>
      <c r="S351" s="717">
        <f>' Plan Energi 2019'!AF61/IF(' Plan Energi 2019'!X61&gt;0,' Plan Energi 2019'!X61,1)</f>
        <v>0.52500000000000002</v>
      </c>
      <c r="T351" s="736">
        <f>'Tekniske virkning'!R32</f>
        <v>0.22600000000000001</v>
      </c>
      <c r="U351" s="736">
        <f>'Tekniske virkning'!S32</f>
        <v>0.52500000000000002</v>
      </c>
      <c r="V351" s="736">
        <f>'Tekniske virkning'!T32</f>
        <v>0.2</v>
      </c>
      <c r="W351" s="737">
        <f>'Tekniske virkning'!U32</f>
        <v>0.77</v>
      </c>
      <c r="X351" s="604"/>
    </row>
    <row r="352" spans="1:24" ht="15" customHeight="1" x14ac:dyDescent="0.25">
      <c r="A352" s="629" t="s">
        <v>365</v>
      </c>
      <c r="B352" s="717"/>
      <c r="C352" s="717"/>
      <c r="D352" s="717"/>
      <c r="E352" s="717"/>
      <c r="F352" s="717"/>
      <c r="G352" s="717"/>
      <c r="H352" s="717"/>
      <c r="I352" s="717"/>
      <c r="J352" s="717"/>
      <c r="K352" s="717"/>
      <c r="L352" s="717"/>
      <c r="M352" s="717"/>
      <c r="N352" s="717"/>
      <c r="O352" s="717"/>
      <c r="P352" s="717"/>
      <c r="Q352" s="717"/>
      <c r="R352" s="717"/>
      <c r="S352" s="717"/>
      <c r="T352" s="736">
        <f>'Tekniske virkning'!R10</f>
        <v>0</v>
      </c>
      <c r="U352" s="736">
        <f>'Tekniske virkning'!S10</f>
        <v>0</v>
      </c>
      <c r="V352" s="736">
        <f>'Tekniske virkning'!T10</f>
        <v>0</v>
      </c>
      <c r="W352" s="737">
        <f>'Tekniske virkning'!U10</f>
        <v>0</v>
      </c>
      <c r="X352" s="604"/>
    </row>
    <row r="353" spans="1:24" ht="15" customHeight="1" x14ac:dyDescent="0.25">
      <c r="A353" s="604" t="s">
        <v>163</v>
      </c>
      <c r="B353" s="717">
        <f>' Plan Energi 2030-S'!Z40/100</f>
        <v>0</v>
      </c>
      <c r="C353" s="717">
        <v>0</v>
      </c>
      <c r="D353" s="717">
        <f>' Plan Energi 2006'!Z40/100</f>
        <v>0</v>
      </c>
      <c r="E353" s="717">
        <v>0</v>
      </c>
      <c r="F353" s="717">
        <f>' Plan Energi 2008'!Z40/100</f>
        <v>0</v>
      </c>
      <c r="G353" s="717">
        <v>0</v>
      </c>
      <c r="H353" s="717">
        <f>' Plan Energi 2009'!Z40/100</f>
        <v>0</v>
      </c>
      <c r="I353" s="717">
        <v>0</v>
      </c>
      <c r="J353" s="717">
        <f>' Plan Energi 2011'!Z40/100</f>
        <v>0</v>
      </c>
      <c r="K353" s="717">
        <v>0</v>
      </c>
      <c r="L353" s="717">
        <f>' Plan Energi 2013'!Z40/100</f>
        <v>0</v>
      </c>
      <c r="M353" s="717">
        <v>0</v>
      </c>
      <c r="N353" s="717">
        <f>' Plan Energi 2015'!Z40/100</f>
        <v>0</v>
      </c>
      <c r="O353" s="717">
        <v>0</v>
      </c>
      <c r="P353" s="717">
        <f>' Plan Energi 2017'!Z40/100</f>
        <v>0</v>
      </c>
      <c r="Q353" s="717">
        <v>0</v>
      </c>
      <c r="R353" s="717">
        <f>' Plan Energi 2019'!Z40/100</f>
        <v>0</v>
      </c>
      <c r="S353" s="717">
        <v>0</v>
      </c>
      <c r="T353" s="736">
        <f>'Tekniske virkning'!R11</f>
        <v>0</v>
      </c>
      <c r="U353" s="736">
        <f>'Tekniske virkning'!S11</f>
        <v>0</v>
      </c>
      <c r="V353" s="736">
        <f>'Tekniske virkning'!T11</f>
        <v>0</v>
      </c>
      <c r="W353" s="737">
        <f>'Tekniske virkning'!U11</f>
        <v>0</v>
      </c>
      <c r="X353" s="604"/>
    </row>
    <row r="354" spans="1:24" ht="15" customHeight="1" x14ac:dyDescent="0.25">
      <c r="A354" s="604" t="s">
        <v>165</v>
      </c>
      <c r="B354" s="717">
        <f>' Plan Energi 2030-S'!Z41/100</f>
        <v>0</v>
      </c>
      <c r="C354" s="717">
        <v>0</v>
      </c>
      <c r="D354" s="717">
        <f>' Plan Energi 2006'!Z41/100</f>
        <v>0</v>
      </c>
      <c r="E354" s="717">
        <v>0</v>
      </c>
      <c r="F354" s="717">
        <f>' Plan Energi 2008'!Z41/100</f>
        <v>0</v>
      </c>
      <c r="G354" s="717">
        <v>0</v>
      </c>
      <c r="H354" s="717">
        <f>' Plan Energi 2009'!Z41/100</f>
        <v>0</v>
      </c>
      <c r="I354" s="717">
        <v>0</v>
      </c>
      <c r="J354" s="717">
        <f>' Plan Energi 2011'!Z41/100</f>
        <v>0</v>
      </c>
      <c r="K354" s="717">
        <v>0</v>
      </c>
      <c r="L354" s="717">
        <f>' Plan Energi 2013'!Z41/100</f>
        <v>0</v>
      </c>
      <c r="M354" s="717">
        <v>0</v>
      </c>
      <c r="N354" s="717">
        <f>' Plan Energi 2015'!Z41/100</f>
        <v>0</v>
      </c>
      <c r="O354" s="717">
        <v>0</v>
      </c>
      <c r="P354" s="717">
        <f>' Plan Energi 2017'!Z41/100</f>
        <v>0</v>
      </c>
      <c r="Q354" s="717">
        <v>0</v>
      </c>
      <c r="R354" s="717">
        <f>' Plan Energi 2019'!Z41/100</f>
        <v>0</v>
      </c>
      <c r="S354" s="717">
        <v>0</v>
      </c>
      <c r="T354" s="736">
        <f>'Tekniske virkning'!R12</f>
        <v>0</v>
      </c>
      <c r="U354" s="736">
        <f>'Tekniske virkning'!S12</f>
        <v>0</v>
      </c>
      <c r="V354" s="736">
        <f>'Tekniske virkning'!T12</f>
        <v>0</v>
      </c>
      <c r="W354" s="737">
        <f>'Tekniske virkning'!U12</f>
        <v>0</v>
      </c>
      <c r="X354" s="604"/>
    </row>
    <row r="355" spans="1:24" ht="15" customHeight="1" x14ac:dyDescent="0.25">
      <c r="A355" s="604" t="s">
        <v>167</v>
      </c>
      <c r="B355" s="717">
        <f>' Plan Energi 2030-S'!Z42/100</f>
        <v>0</v>
      </c>
      <c r="C355" s="717">
        <v>0</v>
      </c>
      <c r="D355" s="717">
        <f>' Plan Energi 2006'!Z42/100</f>
        <v>0</v>
      </c>
      <c r="E355" s="717">
        <v>0</v>
      </c>
      <c r="F355" s="717">
        <f>' Plan Energi 2008'!Z42/100</f>
        <v>0</v>
      </c>
      <c r="G355" s="717">
        <v>0</v>
      </c>
      <c r="H355" s="717">
        <f>' Plan Energi 2009'!Z42/100</f>
        <v>0</v>
      </c>
      <c r="I355" s="717">
        <v>0</v>
      </c>
      <c r="J355" s="717">
        <f>' Plan Energi 2011'!Z42/100</f>
        <v>0</v>
      </c>
      <c r="K355" s="717">
        <v>0</v>
      </c>
      <c r="L355" s="717">
        <f>' Plan Energi 2013'!Z42/100</f>
        <v>0</v>
      </c>
      <c r="M355" s="717">
        <v>0</v>
      </c>
      <c r="N355" s="717">
        <f>' Plan Energi 2015'!Z42/100</f>
        <v>0</v>
      </c>
      <c r="O355" s="717">
        <v>0</v>
      </c>
      <c r="P355" s="717">
        <f>' Plan Energi 2017'!Z42/100</f>
        <v>0</v>
      </c>
      <c r="Q355" s="717">
        <v>0</v>
      </c>
      <c r="R355" s="717">
        <f>' Plan Energi 2019'!Z42/100</f>
        <v>0</v>
      </c>
      <c r="S355" s="717">
        <v>0</v>
      </c>
      <c r="T355" s="736">
        <f>'Tekniske virkning'!R13</f>
        <v>0</v>
      </c>
      <c r="U355" s="736">
        <f>'Tekniske virkning'!S13</f>
        <v>0</v>
      </c>
      <c r="V355" s="736">
        <f>'Tekniske virkning'!T13</f>
        <v>0</v>
      </c>
      <c r="W355" s="737">
        <f>'Tekniske virkning'!U13</f>
        <v>0</v>
      </c>
      <c r="X355" s="604"/>
    </row>
    <row r="356" spans="1:24" ht="15" customHeight="1" x14ac:dyDescent="0.25">
      <c r="A356" s="629" t="s">
        <v>366</v>
      </c>
      <c r="B356" s="717"/>
      <c r="C356" s="717"/>
      <c r="D356" s="717"/>
      <c r="E356" s="717"/>
      <c r="F356" s="717"/>
      <c r="G356" s="717"/>
      <c r="H356" s="717"/>
      <c r="I356" s="717"/>
      <c r="J356" s="717"/>
      <c r="K356" s="717"/>
      <c r="L356" s="717"/>
      <c r="M356" s="717"/>
      <c r="N356" s="717"/>
      <c r="O356" s="717"/>
      <c r="P356" s="717"/>
      <c r="Q356" s="717"/>
      <c r="R356" s="717"/>
      <c r="S356" s="717"/>
      <c r="T356" s="736">
        <f>'Tekniske virkning'!R14</f>
        <v>0</v>
      </c>
      <c r="U356" s="736">
        <f>'Tekniske virkning'!S14</f>
        <v>0</v>
      </c>
      <c r="V356" s="736">
        <f>'Tekniske virkning'!T14</f>
        <v>0</v>
      </c>
      <c r="W356" s="737">
        <f>'Tekniske virkning'!U14</f>
        <v>0</v>
      </c>
      <c r="X356" s="604"/>
    </row>
    <row r="357" spans="1:24" ht="15" customHeight="1" x14ac:dyDescent="0.25">
      <c r="A357" s="604" t="s">
        <v>173</v>
      </c>
      <c r="B357" s="717">
        <f>' Plan Energi 2030-S'!Z44/100</f>
        <v>0</v>
      </c>
      <c r="C357" s="717">
        <f>' Plan Energi 2030-S'!AB44/100</f>
        <v>0</v>
      </c>
      <c r="D357" s="717">
        <f>' Plan Energi 2006'!Z44/100</f>
        <v>0</v>
      </c>
      <c r="E357" s="717">
        <f>' Plan Energi 2006'!AB44/100</f>
        <v>0</v>
      </c>
      <c r="F357" s="717">
        <f>' Plan Energi 2008'!Z44/100</f>
        <v>0</v>
      </c>
      <c r="G357" s="717">
        <f>' Plan Energi 2008'!AB44/100</f>
        <v>0</v>
      </c>
      <c r="H357" s="717">
        <f>' Plan Energi 2009'!Z44/100</f>
        <v>0</v>
      </c>
      <c r="I357" s="717">
        <f>' Plan Energi 2009'!AB44/100</f>
        <v>0</v>
      </c>
      <c r="J357" s="717">
        <f>' Plan Energi 2011'!Z44/100</f>
        <v>0</v>
      </c>
      <c r="K357" s="717">
        <f>' Plan Energi 2011'!AB44/100</f>
        <v>0</v>
      </c>
      <c r="L357" s="717">
        <f>' Plan Energi 2013'!Z44/100</f>
        <v>0</v>
      </c>
      <c r="M357" s="717">
        <f>' Plan Energi 2013'!AB44/100</f>
        <v>0</v>
      </c>
      <c r="N357" s="717">
        <f>' Plan Energi 2015'!Z44/100</f>
        <v>0</v>
      </c>
      <c r="O357" s="717">
        <f>' Plan Energi 2015'!AB44/100</f>
        <v>0</v>
      </c>
      <c r="P357" s="717">
        <f>' Plan Energi 2017'!Z44/100</f>
        <v>0</v>
      </c>
      <c r="Q357" s="717">
        <f>' Plan Energi 2017'!AB44/100</f>
        <v>0</v>
      </c>
      <c r="R357" s="717">
        <f>' Plan Energi 2019'!Z44/100</f>
        <v>0</v>
      </c>
      <c r="S357" s="717">
        <f>' Plan Energi 2019'!AB44/100</f>
        <v>0</v>
      </c>
      <c r="T357" s="736">
        <f>'Tekniske virkning'!R15</f>
        <v>0</v>
      </c>
      <c r="U357" s="736">
        <f>'Tekniske virkning'!S15</f>
        <v>0</v>
      </c>
      <c r="V357" s="736">
        <f>'Tekniske virkning'!T15</f>
        <v>0</v>
      </c>
      <c r="W357" s="737">
        <f>'Tekniske virkning'!U15</f>
        <v>0</v>
      </c>
      <c r="X357" s="604"/>
    </row>
    <row r="358" spans="1:24" ht="15" customHeight="1" x14ac:dyDescent="0.25">
      <c r="A358" s="604" t="s">
        <v>175</v>
      </c>
      <c r="B358" s="717">
        <f>' Plan Energi 2030-S'!Z45/100</f>
        <v>0</v>
      </c>
      <c r="C358" s="717">
        <f>' Plan Energi 2030-S'!AB45/100</f>
        <v>0</v>
      </c>
      <c r="D358" s="717">
        <f>' Plan Energi 2006'!Z45/100</f>
        <v>0</v>
      </c>
      <c r="E358" s="717">
        <f>' Plan Energi 2006'!AB45/100</f>
        <v>0</v>
      </c>
      <c r="F358" s="717">
        <f>' Plan Energi 2008'!Z45/100</f>
        <v>0</v>
      </c>
      <c r="G358" s="717">
        <f>' Plan Energi 2008'!AB45/100</f>
        <v>0</v>
      </c>
      <c r="H358" s="717">
        <f>' Plan Energi 2009'!Z45/100</f>
        <v>0</v>
      </c>
      <c r="I358" s="717">
        <f>' Plan Energi 2009'!AB45/100</f>
        <v>0</v>
      </c>
      <c r="J358" s="717">
        <f>' Plan Energi 2011'!Z45/100</f>
        <v>0</v>
      </c>
      <c r="K358" s="717">
        <f>' Plan Energi 2011'!AB45/100</f>
        <v>0</v>
      </c>
      <c r="L358" s="717">
        <f>' Plan Energi 2013'!Z45/100</f>
        <v>0</v>
      </c>
      <c r="M358" s="717">
        <f>' Plan Energi 2013'!AB45/100</f>
        <v>0</v>
      </c>
      <c r="N358" s="717">
        <f>' Plan Energi 2015'!Z45/100</f>
        <v>0</v>
      </c>
      <c r="O358" s="717">
        <f>' Plan Energi 2015'!AB45/100</f>
        <v>0</v>
      </c>
      <c r="P358" s="717">
        <f>' Plan Energi 2017'!Z45/100</f>
        <v>0</v>
      </c>
      <c r="Q358" s="717">
        <f>' Plan Energi 2017'!AB45/100</f>
        <v>0</v>
      </c>
      <c r="R358" s="717">
        <f>' Plan Energi 2019'!Z45/100</f>
        <v>0</v>
      </c>
      <c r="S358" s="717">
        <f>' Plan Energi 2019'!AB45/100</f>
        <v>0</v>
      </c>
      <c r="T358" s="736">
        <f>'Tekniske virkning'!R16</f>
        <v>0</v>
      </c>
      <c r="U358" s="736">
        <f>'Tekniske virkning'!S16</f>
        <v>0</v>
      </c>
      <c r="V358" s="736">
        <f>'Tekniske virkning'!T16</f>
        <v>0.38</v>
      </c>
      <c r="W358" s="737">
        <f>'Tekniske virkning'!U16</f>
        <v>0.34200000000000003</v>
      </c>
      <c r="X358" s="604"/>
    </row>
    <row r="359" spans="1:24" ht="15" customHeight="1" x14ac:dyDescent="0.25">
      <c r="A359" s="604" t="s">
        <v>177</v>
      </c>
      <c r="B359" s="717">
        <f>' Plan Energi 2030-S'!Z46/100</f>
        <v>0</v>
      </c>
      <c r="C359" s="717">
        <f>' Plan Energi 2030-S'!AB46/100</f>
        <v>0</v>
      </c>
      <c r="D359" s="717">
        <f>' Plan Energi 2006'!Z46/100</f>
        <v>0</v>
      </c>
      <c r="E359" s="717">
        <f>' Plan Energi 2006'!AB46/100</f>
        <v>0</v>
      </c>
      <c r="F359" s="717">
        <f>' Plan Energi 2008'!Z46/100</f>
        <v>0</v>
      </c>
      <c r="G359" s="717">
        <f>' Plan Energi 2008'!AB46/100</f>
        <v>0</v>
      </c>
      <c r="H359" s="717">
        <f>' Plan Energi 2009'!Z46/100</f>
        <v>0</v>
      </c>
      <c r="I359" s="717">
        <f>' Plan Energi 2009'!AB46/100</f>
        <v>0</v>
      </c>
      <c r="J359" s="717">
        <f>' Plan Energi 2011'!Z46/100</f>
        <v>0</v>
      </c>
      <c r="K359" s="717">
        <f>' Plan Energi 2011'!AB46/100</f>
        <v>0</v>
      </c>
      <c r="L359" s="717">
        <f>' Plan Energi 2013'!Z46/100</f>
        <v>0</v>
      </c>
      <c r="M359" s="717">
        <f>' Plan Energi 2013'!AB46/100</f>
        <v>0</v>
      </c>
      <c r="N359" s="717">
        <f>' Plan Energi 2015'!Z46/100</f>
        <v>0</v>
      </c>
      <c r="O359" s="717">
        <f>' Plan Energi 2015'!AB46/100</f>
        <v>0</v>
      </c>
      <c r="P359" s="717">
        <f>' Plan Energi 2017'!Z46/100</f>
        <v>0</v>
      </c>
      <c r="Q359" s="717">
        <f>' Plan Energi 2017'!AB46/100</f>
        <v>0</v>
      </c>
      <c r="R359" s="717">
        <f>' Plan Energi 2019'!Z46/100</f>
        <v>0</v>
      </c>
      <c r="S359" s="717">
        <f>' Plan Energi 2019'!AB46/100</f>
        <v>0</v>
      </c>
      <c r="T359" s="736">
        <f>'Tekniske virkning'!R17</f>
        <v>0</v>
      </c>
      <c r="U359" s="736">
        <f>'Tekniske virkning'!S17</f>
        <v>0</v>
      </c>
      <c r="V359" s="736">
        <f>'Tekniske virkning'!T17</f>
        <v>0</v>
      </c>
      <c r="W359" s="737">
        <f>'Tekniske virkning'!U17</f>
        <v>0</v>
      </c>
      <c r="X359" s="604"/>
    </row>
    <row r="360" spans="1:24" ht="15" customHeight="1" x14ac:dyDescent="0.25">
      <c r="A360" s="604" t="s">
        <v>179</v>
      </c>
      <c r="B360" s="717">
        <f>' Plan Energi 2030-S'!Z47/100</f>
        <v>0</v>
      </c>
      <c r="C360" s="717">
        <f>' Plan Energi 2030-S'!AB47/100</f>
        <v>0</v>
      </c>
      <c r="D360" s="717">
        <f>' Plan Energi 2006'!Z47/100</f>
        <v>0</v>
      </c>
      <c r="E360" s="717">
        <f>' Plan Energi 2006'!AB47/100</f>
        <v>0</v>
      </c>
      <c r="F360" s="717">
        <f>' Plan Energi 2008'!Z47/100</f>
        <v>0</v>
      </c>
      <c r="G360" s="717">
        <f>' Plan Energi 2008'!AB47/100</f>
        <v>0</v>
      </c>
      <c r="H360" s="717">
        <f>' Plan Energi 2009'!Z47/100</f>
        <v>0</v>
      </c>
      <c r="I360" s="717">
        <f>' Plan Energi 2009'!AB47/100</f>
        <v>0</v>
      </c>
      <c r="J360" s="717">
        <f>' Plan Energi 2011'!Z47/100</f>
        <v>0</v>
      </c>
      <c r="K360" s="717">
        <f>' Plan Energi 2011'!AB47/100</f>
        <v>0</v>
      </c>
      <c r="L360" s="717">
        <f>' Plan Energi 2013'!Z47/100</f>
        <v>0</v>
      </c>
      <c r="M360" s="717">
        <f>' Plan Energi 2013'!AB47/100</f>
        <v>0</v>
      </c>
      <c r="N360" s="717">
        <f>' Plan Energi 2015'!Z47/100</f>
        <v>0</v>
      </c>
      <c r="O360" s="717">
        <f>' Plan Energi 2015'!AB47/100</f>
        <v>0</v>
      </c>
      <c r="P360" s="717">
        <f>' Plan Energi 2017'!Z47/100</f>
        <v>0</v>
      </c>
      <c r="Q360" s="717">
        <f>' Plan Energi 2017'!AB47/100</f>
        <v>0</v>
      </c>
      <c r="R360" s="717">
        <f>' Plan Energi 2019'!Z47/100</f>
        <v>0</v>
      </c>
      <c r="S360" s="717">
        <f>' Plan Energi 2019'!AB47/100</f>
        <v>0</v>
      </c>
      <c r="T360" s="736">
        <f>'Tekniske virkning'!R18</f>
        <v>0</v>
      </c>
      <c r="U360" s="736">
        <f>'Tekniske virkning'!S18</f>
        <v>0</v>
      </c>
      <c r="V360" s="736">
        <f>'Tekniske virkning'!T18</f>
        <v>0</v>
      </c>
      <c r="W360" s="737">
        <f>'Tekniske virkning'!U18</f>
        <v>0</v>
      </c>
      <c r="X360" s="604"/>
    </row>
    <row r="361" spans="1:24" ht="15" customHeight="1" x14ac:dyDescent="0.25">
      <c r="A361" s="604" t="s">
        <v>181</v>
      </c>
      <c r="B361" s="717">
        <f>' Plan Energi 2030-S'!Z48/100</f>
        <v>0</v>
      </c>
      <c r="C361" s="717">
        <f>' Plan Energi 2030-S'!AB48/100</f>
        <v>0</v>
      </c>
      <c r="D361" s="717">
        <f>' Plan Energi 2006'!Z48/100</f>
        <v>0</v>
      </c>
      <c r="E361" s="717">
        <f>' Plan Energi 2006'!AB48/100</f>
        <v>0</v>
      </c>
      <c r="F361" s="717">
        <f>' Plan Energi 2008'!Z48/100</f>
        <v>0</v>
      </c>
      <c r="G361" s="717">
        <f>' Plan Energi 2008'!AB48/100</f>
        <v>0</v>
      </c>
      <c r="H361" s="717">
        <f>' Plan Energi 2009'!Z48/100</f>
        <v>0</v>
      </c>
      <c r="I361" s="717">
        <f>' Plan Energi 2009'!AB48/100</f>
        <v>0</v>
      </c>
      <c r="J361" s="717">
        <f>' Plan Energi 2011'!Z48/100</f>
        <v>0</v>
      </c>
      <c r="K361" s="717">
        <f>' Plan Energi 2011'!AB48/100</f>
        <v>0</v>
      </c>
      <c r="L361" s="717">
        <f>' Plan Energi 2013'!Z48/100</f>
        <v>0</v>
      </c>
      <c r="M361" s="717">
        <f>' Plan Energi 2013'!AB48/100</f>
        <v>0</v>
      </c>
      <c r="N361" s="717">
        <f>' Plan Energi 2015'!Z48/100</f>
        <v>0</v>
      </c>
      <c r="O361" s="717">
        <f>' Plan Energi 2015'!AB48/100</f>
        <v>0</v>
      </c>
      <c r="P361" s="717">
        <f>' Plan Energi 2017'!Z48/100</f>
        <v>0</v>
      </c>
      <c r="Q361" s="717">
        <f>' Plan Energi 2017'!AB48/100</f>
        <v>0</v>
      </c>
      <c r="R361" s="717">
        <f>' Plan Energi 2019'!Z48/100</f>
        <v>0</v>
      </c>
      <c r="S361" s="717">
        <f>' Plan Energi 2019'!AB48/100</f>
        <v>0</v>
      </c>
      <c r="T361" s="736">
        <f>'Tekniske virkning'!R19</f>
        <v>0</v>
      </c>
      <c r="U361" s="736">
        <f>'Tekniske virkning'!S19</f>
        <v>4</v>
      </c>
      <c r="V361" s="736">
        <f>'Tekniske virkning'!T19</f>
        <v>0</v>
      </c>
      <c r="W361" s="737">
        <f>'Tekniske virkning'!U19</f>
        <v>4</v>
      </c>
      <c r="X361" s="604"/>
    </row>
    <row r="362" spans="1:24" ht="15" customHeight="1" x14ac:dyDescent="0.25">
      <c r="A362" s="604" t="s">
        <v>183</v>
      </c>
      <c r="B362" s="717">
        <f>' Plan Energi 2030-S'!Z49/100</f>
        <v>0</v>
      </c>
      <c r="C362" s="717">
        <f>' Plan Energi 2030-S'!AB49/100</f>
        <v>0</v>
      </c>
      <c r="D362" s="717">
        <f>' Plan Energi 2006'!Z49/100</f>
        <v>0</v>
      </c>
      <c r="E362" s="717">
        <f>' Plan Energi 2006'!AB49/100</f>
        <v>0</v>
      </c>
      <c r="F362" s="717">
        <f>' Plan Energi 2008'!Z49/100</f>
        <v>0</v>
      </c>
      <c r="G362" s="717">
        <f>' Plan Energi 2008'!AB49/100</f>
        <v>0</v>
      </c>
      <c r="H362" s="717">
        <f>' Plan Energi 2009'!Z49/100</f>
        <v>0</v>
      </c>
      <c r="I362" s="717">
        <f>' Plan Energi 2009'!AB49/100</f>
        <v>0</v>
      </c>
      <c r="J362" s="717">
        <f>' Plan Energi 2011'!Z49/100</f>
        <v>0</v>
      </c>
      <c r="K362" s="717">
        <f>' Plan Energi 2011'!AB49/100</f>
        <v>0</v>
      </c>
      <c r="L362" s="717">
        <f>' Plan Energi 2013'!Z49/100</f>
        <v>0</v>
      </c>
      <c r="M362" s="717">
        <f>' Plan Energi 2013'!AB49/100</f>
        <v>0</v>
      </c>
      <c r="N362" s="717">
        <f>' Plan Energi 2015'!Z49/100</f>
        <v>0</v>
      </c>
      <c r="O362" s="717">
        <f>' Plan Energi 2015'!AB49/100</f>
        <v>0</v>
      </c>
      <c r="P362" s="717">
        <f>' Plan Energi 2017'!Z49/100</f>
        <v>0</v>
      </c>
      <c r="Q362" s="717">
        <f>' Plan Energi 2017'!AB49/100</f>
        <v>0</v>
      </c>
      <c r="R362" s="717">
        <f>' Plan Energi 2019'!Z49/100</f>
        <v>0</v>
      </c>
      <c r="S362" s="717">
        <f>' Plan Energi 2019'!AB49/100</f>
        <v>0</v>
      </c>
      <c r="T362" s="736">
        <f>'Tekniske virkning'!R20</f>
        <v>0</v>
      </c>
      <c r="U362" s="736">
        <f>'Tekniske virkning'!S20</f>
        <v>1</v>
      </c>
      <c r="V362" s="736">
        <f>'Tekniske virkning'!T20</f>
        <v>0</v>
      </c>
      <c r="W362" s="737">
        <f>'Tekniske virkning'!U20</f>
        <v>1</v>
      </c>
      <c r="X362" s="604"/>
    </row>
    <row r="363" spans="1:24" ht="15" customHeight="1" x14ac:dyDescent="0.25">
      <c r="A363" s="604" t="s">
        <v>185</v>
      </c>
      <c r="B363" s="717">
        <f>' Plan Energi 2030-S'!Z50/100</f>
        <v>0</v>
      </c>
      <c r="C363" s="717">
        <f>' Plan Energi 2030-S'!AB50/100</f>
        <v>0</v>
      </c>
      <c r="D363" s="717">
        <f>' Plan Energi 2006'!Z50/100</f>
        <v>0</v>
      </c>
      <c r="E363" s="717">
        <f>' Plan Energi 2006'!AB50/100</f>
        <v>0</v>
      </c>
      <c r="F363" s="717">
        <f>' Plan Energi 2008'!Z50/100</f>
        <v>0</v>
      </c>
      <c r="G363" s="717">
        <f>' Plan Energi 2008'!AB50/100</f>
        <v>0</v>
      </c>
      <c r="H363" s="717">
        <f>' Plan Energi 2009'!Z50/100</f>
        <v>0</v>
      </c>
      <c r="I363" s="717">
        <f>' Plan Energi 2009'!AB50/100</f>
        <v>0</v>
      </c>
      <c r="J363" s="717">
        <f>' Plan Energi 2011'!Z50/100</f>
        <v>0</v>
      </c>
      <c r="K363" s="717">
        <f>' Plan Energi 2011'!AB50/100</f>
        <v>0</v>
      </c>
      <c r="L363" s="717">
        <f>' Plan Energi 2013'!Z50/100</f>
        <v>0</v>
      </c>
      <c r="M363" s="717">
        <f>' Plan Energi 2013'!AB50/100</f>
        <v>0</v>
      </c>
      <c r="N363" s="717">
        <f>' Plan Energi 2015'!Z50/100</f>
        <v>0</v>
      </c>
      <c r="O363" s="717">
        <f>' Plan Energi 2015'!AB50/100</f>
        <v>0</v>
      </c>
      <c r="P363" s="717">
        <f>' Plan Energi 2017'!Z50/100</f>
        <v>0</v>
      </c>
      <c r="Q363" s="717">
        <f>' Plan Energi 2017'!AB50/100</f>
        <v>0</v>
      </c>
      <c r="R363" s="717">
        <f>' Plan Energi 2019'!Z50/100</f>
        <v>0</v>
      </c>
      <c r="S363" s="717">
        <f>' Plan Energi 2019'!AB50/100</f>
        <v>0</v>
      </c>
      <c r="T363" s="736">
        <f>'Tekniske virkning'!R21</f>
        <v>0</v>
      </c>
      <c r="U363" s="736">
        <f>'Tekniske virkning'!S21</f>
        <v>1</v>
      </c>
      <c r="V363" s="736">
        <f>'Tekniske virkning'!T21</f>
        <v>0</v>
      </c>
      <c r="W363" s="737">
        <f>'Tekniske virkning'!U21</f>
        <v>1</v>
      </c>
      <c r="X363" s="604"/>
    </row>
    <row r="364" spans="1:24" ht="15" customHeight="1" x14ac:dyDescent="0.25">
      <c r="A364" s="604" t="s">
        <v>187</v>
      </c>
      <c r="B364" s="717">
        <f>' Plan Energi 2030-S'!Z51/100</f>
        <v>0</v>
      </c>
      <c r="C364" s="717">
        <f>' Plan Energi 2030-S'!AB51/100</f>
        <v>0</v>
      </c>
      <c r="D364" s="717">
        <f>' Plan Energi 2006'!Z51/100</f>
        <v>0</v>
      </c>
      <c r="E364" s="717">
        <f>' Plan Energi 2006'!AB51/100</f>
        <v>0</v>
      </c>
      <c r="F364" s="717">
        <f>' Plan Energi 2008'!Z51/100</f>
        <v>0</v>
      </c>
      <c r="G364" s="717">
        <f>' Plan Energi 2008'!AB51/100</f>
        <v>0</v>
      </c>
      <c r="H364" s="717">
        <f>' Plan Energi 2009'!Z51/100</f>
        <v>0</v>
      </c>
      <c r="I364" s="717">
        <f>' Plan Energi 2009'!AB51/100</f>
        <v>0</v>
      </c>
      <c r="J364" s="717">
        <f>' Plan Energi 2011'!Z51/100</f>
        <v>0</v>
      </c>
      <c r="K364" s="717">
        <f>' Plan Energi 2011'!AB51/100</f>
        <v>0</v>
      </c>
      <c r="L364" s="717">
        <f>' Plan Energi 2013'!Z51/100</f>
        <v>0</v>
      </c>
      <c r="M364" s="717">
        <f>' Plan Energi 2013'!AB51/100</f>
        <v>0</v>
      </c>
      <c r="N364" s="717">
        <f>' Plan Energi 2015'!Z51/100</f>
        <v>0</v>
      </c>
      <c r="O364" s="717">
        <f>' Plan Energi 2015'!AB51/100</f>
        <v>0</v>
      </c>
      <c r="P364" s="717">
        <f>' Plan Energi 2017'!Z51/100</f>
        <v>0</v>
      </c>
      <c r="Q364" s="717">
        <f>' Plan Energi 2017'!AB51/100</f>
        <v>0</v>
      </c>
      <c r="R364" s="717">
        <f>' Plan Energi 2019'!Z51/100</f>
        <v>0</v>
      </c>
      <c r="S364" s="717">
        <f>' Plan Energi 2019'!AB51/100</f>
        <v>0</v>
      </c>
      <c r="T364" s="736">
        <f>'Tekniske virkning'!R22</f>
        <v>0</v>
      </c>
      <c r="U364" s="736">
        <f>'Tekniske virkning'!S22</f>
        <v>0</v>
      </c>
      <c r="V364" s="736">
        <f>'Tekniske virkning'!T22</f>
        <v>0</v>
      </c>
      <c r="W364" s="737">
        <f>'Tekniske virkning'!U22</f>
        <v>0</v>
      </c>
      <c r="X364" s="604"/>
    </row>
    <row r="365" spans="1:24" x14ac:dyDescent="0.25">
      <c r="A365" s="629" t="s">
        <v>367</v>
      </c>
      <c r="B365" s="717"/>
      <c r="C365" s="717"/>
      <c r="D365" s="717"/>
      <c r="E365" s="717"/>
      <c r="F365" s="717"/>
      <c r="G365" s="717"/>
      <c r="H365" s="717"/>
      <c r="I365" s="717"/>
      <c r="J365" s="717"/>
      <c r="K365" s="717"/>
      <c r="L365" s="717"/>
      <c r="M365" s="717"/>
      <c r="N365" s="717"/>
      <c r="O365" s="717"/>
      <c r="P365" s="717"/>
      <c r="Q365" s="717"/>
      <c r="R365" s="717"/>
      <c r="S365" s="717"/>
      <c r="T365" s="736">
        <f>'Tekniske virkning'!R23</f>
        <v>0</v>
      </c>
      <c r="U365" s="736">
        <f>'Tekniske virkning'!S23</f>
        <v>0</v>
      </c>
      <c r="V365" s="736">
        <f>'Tekniske virkning'!T23</f>
        <v>0</v>
      </c>
      <c r="W365" s="737">
        <f>'Tekniske virkning'!U23</f>
        <v>0</v>
      </c>
      <c r="X365" s="604"/>
    </row>
    <row r="366" spans="1:24" x14ac:dyDescent="0.25">
      <c r="A366" s="604" t="s">
        <v>193</v>
      </c>
      <c r="B366" s="717">
        <f>' Plan Energi 2030-S'!Z53/100</f>
        <v>0</v>
      </c>
      <c r="C366" s="717">
        <f>' Plan Energi 2030-S'!AB53/100</f>
        <v>0</v>
      </c>
      <c r="D366" s="717">
        <f>' Plan Energi 2006'!Z53/100</f>
        <v>0.31</v>
      </c>
      <c r="E366" s="717">
        <f>' Plan Energi 2006'!AB53/100</f>
        <v>0</v>
      </c>
      <c r="F366" s="717">
        <f>' Plan Energi 2008'!Z53/100</f>
        <v>0.26</v>
      </c>
      <c r="G366" s="717">
        <f>' Plan Energi 2008'!AB53/100</f>
        <v>0</v>
      </c>
      <c r="H366" s="717">
        <f>' Plan Energi 2009'!Z53/100</f>
        <v>0.25800000000000001</v>
      </c>
      <c r="I366" s="717">
        <f>' Plan Energi 2009'!AB53/100</f>
        <v>0</v>
      </c>
      <c r="J366" s="717">
        <f>' Plan Energi 2011'!Z53/100</f>
        <v>0.30099999999999999</v>
      </c>
      <c r="K366" s="717">
        <f>' Plan Energi 2011'!AB53/100</f>
        <v>0</v>
      </c>
      <c r="L366" s="717">
        <f>' Plan Energi 2013'!Z53/100</f>
        <v>0.30099999999999999</v>
      </c>
      <c r="M366" s="717">
        <f>' Plan Energi 2013'!AB53/100</f>
        <v>0</v>
      </c>
      <c r="N366" s="717">
        <f>' Plan Energi 2015'!Z53/100</f>
        <v>0</v>
      </c>
      <c r="O366" s="717">
        <f>' Plan Energi 2015'!AB53/100</f>
        <v>0</v>
      </c>
      <c r="P366" s="717">
        <f>' Plan Energi 2017'!Z53/100</f>
        <v>0</v>
      </c>
      <c r="Q366" s="717">
        <f>' Plan Energi 2017'!AB53/100</f>
        <v>0</v>
      </c>
      <c r="R366" s="717">
        <f>' Plan Energi 2019'!Z53/100</f>
        <v>0</v>
      </c>
      <c r="S366" s="717">
        <f>' Plan Energi 2019'!AB53/100</f>
        <v>0</v>
      </c>
      <c r="T366" s="736">
        <f>'Tekniske virkning'!R24</f>
        <v>0</v>
      </c>
      <c r="U366" s="736">
        <f>'Tekniske virkning'!S24</f>
        <v>0</v>
      </c>
      <c r="V366" s="736">
        <f>'Tekniske virkning'!T24</f>
        <v>0.313</v>
      </c>
      <c r="W366" s="737">
        <f>'Tekniske virkning'!U24</f>
        <v>0</v>
      </c>
      <c r="X366" s="604"/>
    </row>
    <row r="367" spans="1:24" x14ac:dyDescent="0.25">
      <c r="A367" s="604" t="s">
        <v>195</v>
      </c>
      <c r="B367" s="717">
        <f>' Plan Energi 2030-S'!Z54/100</f>
        <v>0</v>
      </c>
      <c r="C367" s="717">
        <f>' Plan Energi 2030-S'!AB54/100</f>
        <v>0</v>
      </c>
      <c r="D367" s="717">
        <f>' Plan Energi 2006'!Z54/100</f>
        <v>0</v>
      </c>
      <c r="E367" s="717">
        <f>' Plan Energi 2006'!AB54/100</f>
        <v>0</v>
      </c>
      <c r="F367" s="717">
        <f>' Plan Energi 2008'!Z54/100</f>
        <v>0</v>
      </c>
      <c r="G367" s="717">
        <f>' Plan Energi 2008'!AB54/100</f>
        <v>0</v>
      </c>
      <c r="H367" s="717">
        <f>' Plan Energi 2009'!Z54/100</f>
        <v>0</v>
      </c>
      <c r="I367" s="717">
        <f>' Plan Energi 2009'!AB54/100</f>
        <v>0</v>
      </c>
      <c r="J367" s="717">
        <f>' Plan Energi 2011'!Z54/100</f>
        <v>0</v>
      </c>
      <c r="K367" s="717">
        <f>' Plan Energi 2011'!AB54/100</f>
        <v>0</v>
      </c>
      <c r="L367" s="717">
        <f>' Plan Energi 2013'!Z54/100</f>
        <v>0</v>
      </c>
      <c r="M367" s="717">
        <f>' Plan Energi 2013'!AB54/100</f>
        <v>0</v>
      </c>
      <c r="N367" s="717">
        <f>' Plan Energi 2015'!Z54/100</f>
        <v>0</v>
      </c>
      <c r="O367" s="717">
        <f>' Plan Energi 2015'!AB54/100</f>
        <v>0</v>
      </c>
      <c r="P367" s="717">
        <f>' Plan Energi 2017'!Z54/100</f>
        <v>0</v>
      </c>
      <c r="Q367" s="717">
        <f>' Plan Energi 2017'!AB54/100</f>
        <v>0</v>
      </c>
      <c r="R367" s="717">
        <f>' Plan Energi 2019'!Z54/100</f>
        <v>0</v>
      </c>
      <c r="S367" s="717">
        <f>' Plan Energi 2019'!AB54/100</f>
        <v>0</v>
      </c>
      <c r="T367" s="736">
        <f>'Tekniske virkning'!R25</f>
        <v>0</v>
      </c>
      <c r="U367" s="736">
        <f>'Tekniske virkning'!S25</f>
        <v>0</v>
      </c>
      <c r="V367" s="736">
        <f>'Tekniske virkning'!T25</f>
        <v>0</v>
      </c>
      <c r="W367" s="737">
        <f>'Tekniske virkning'!U25</f>
        <v>0.96</v>
      </c>
      <c r="X367" s="604"/>
    </row>
    <row r="368" spans="1:24" x14ac:dyDescent="0.25">
      <c r="A368" s="629" t="s">
        <v>368</v>
      </c>
      <c r="B368" s="717"/>
      <c r="C368" s="717"/>
      <c r="D368" s="717"/>
      <c r="E368" s="717"/>
      <c r="F368" s="717"/>
      <c r="G368" s="717"/>
      <c r="H368" s="717"/>
      <c r="I368" s="717"/>
      <c r="J368" s="717"/>
      <c r="K368" s="717"/>
      <c r="L368" s="717"/>
      <c r="M368" s="717"/>
      <c r="N368" s="717"/>
      <c r="O368" s="717"/>
      <c r="P368" s="717"/>
      <c r="Q368" s="717"/>
      <c r="R368" s="717"/>
      <c r="S368" s="717"/>
      <c r="T368" s="736">
        <f>'Tekniske virkning'!R26</f>
        <v>0</v>
      </c>
      <c r="U368" s="736">
        <f>'Tekniske virkning'!S26</f>
        <v>0</v>
      </c>
      <c r="V368" s="736">
        <f>'Tekniske virkning'!T26</f>
        <v>0</v>
      </c>
      <c r="W368" s="737">
        <f>'Tekniske virkning'!U26</f>
        <v>0</v>
      </c>
      <c r="X368" s="604"/>
    </row>
    <row r="369" spans="1:24" x14ac:dyDescent="0.25">
      <c r="A369" s="604" t="s">
        <v>201</v>
      </c>
      <c r="B369" s="717">
        <f>' Plan Energi 2030-S'!Z56/100</f>
        <v>0</v>
      </c>
      <c r="C369" s="717">
        <f>' Plan Energi 2030-S'!AB56/100</f>
        <v>0</v>
      </c>
      <c r="D369" s="717">
        <f>' Plan Energi 2006'!Z56/100</f>
        <v>0</v>
      </c>
      <c r="E369" s="717">
        <f>' Plan Energi 2006'!AB56/100</f>
        <v>0</v>
      </c>
      <c r="F369" s="717">
        <f>' Plan Energi 2008'!Z56/100</f>
        <v>0</v>
      </c>
      <c r="G369" s="717">
        <f>' Plan Energi 2008'!AB56/100</f>
        <v>0</v>
      </c>
      <c r="H369" s="717">
        <f>' Plan Energi 2009'!Z56/100</f>
        <v>0</v>
      </c>
      <c r="I369" s="717">
        <f>' Plan Energi 2009'!AB56/100</f>
        <v>0</v>
      </c>
      <c r="J369" s="717">
        <f>' Plan Energi 2011'!Z56/100</f>
        <v>0</v>
      </c>
      <c r="K369" s="717">
        <f>' Plan Energi 2011'!AB56/100</f>
        <v>0</v>
      </c>
      <c r="L369" s="717">
        <f>' Plan Energi 2013'!Z56/100</f>
        <v>0</v>
      </c>
      <c r="M369" s="717">
        <f>' Plan Energi 2013'!AB56/100</f>
        <v>0</v>
      </c>
      <c r="N369" s="717">
        <f>' Plan Energi 2015'!Z56/100</f>
        <v>0</v>
      </c>
      <c r="O369" s="717">
        <f>' Plan Energi 2015'!AB56/100</f>
        <v>0</v>
      </c>
      <c r="P369" s="717">
        <f>' Plan Energi 2017'!Z56/100</f>
        <v>0</v>
      </c>
      <c r="Q369" s="717">
        <f>' Plan Energi 2017'!AB56/100</f>
        <v>0</v>
      </c>
      <c r="R369" s="717">
        <f>' Plan Energi 2019'!Z56/100</f>
        <v>0</v>
      </c>
      <c r="S369" s="717">
        <f>' Plan Energi 2019'!AB56/100</f>
        <v>0</v>
      </c>
      <c r="T369" s="736">
        <f>'Tekniske virkning'!R27</f>
        <v>0</v>
      </c>
      <c r="U369" s="736">
        <f>'Tekniske virkning'!S27</f>
        <v>0</v>
      </c>
      <c r="V369" s="736">
        <f>'Tekniske virkning'!T27</f>
        <v>0</v>
      </c>
      <c r="W369" s="737">
        <f>'Tekniske virkning'!U27</f>
        <v>0.99</v>
      </c>
      <c r="X369" s="604"/>
    </row>
    <row r="370" spans="1:24" x14ac:dyDescent="0.25">
      <c r="A370" s="604" t="s">
        <v>203</v>
      </c>
      <c r="B370" s="717">
        <f>' Plan Energi 2030-S'!Z57/100</f>
        <v>0</v>
      </c>
      <c r="C370" s="717">
        <f>' Plan Energi 2030-S'!AB57/100</f>
        <v>0</v>
      </c>
      <c r="D370" s="717">
        <f>' Plan Energi 2006'!Z57/100</f>
        <v>0</v>
      </c>
      <c r="E370" s="717">
        <f>' Plan Energi 2006'!AB57/100</f>
        <v>0</v>
      </c>
      <c r="F370" s="717">
        <f>' Plan Energi 2008'!Z57/100</f>
        <v>0</v>
      </c>
      <c r="G370" s="717">
        <f>' Plan Energi 2008'!AB57/100</f>
        <v>0</v>
      </c>
      <c r="H370" s="717">
        <f>' Plan Energi 2009'!Z57/100</f>
        <v>0</v>
      </c>
      <c r="I370" s="717">
        <f>' Plan Energi 2009'!AB57/100</f>
        <v>0</v>
      </c>
      <c r="J370" s="717">
        <f>' Plan Energi 2011'!Z57/100</f>
        <v>0</v>
      </c>
      <c r="K370" s="717">
        <f>' Plan Energi 2011'!AB57/100</f>
        <v>0</v>
      </c>
      <c r="L370" s="717">
        <f>' Plan Energi 2013'!Z57/100</f>
        <v>0</v>
      </c>
      <c r="M370" s="717">
        <f>' Plan Energi 2013'!AB57/100</f>
        <v>0</v>
      </c>
      <c r="N370" s="717">
        <f>' Plan Energi 2015'!Z57/100</f>
        <v>0</v>
      </c>
      <c r="O370" s="717">
        <f>' Plan Energi 2015'!AB57/100</f>
        <v>0</v>
      </c>
      <c r="P370" s="717">
        <f>' Plan Energi 2017'!Z57/100</f>
        <v>0</v>
      </c>
      <c r="Q370" s="717">
        <f>' Plan Energi 2017'!AB57/100</f>
        <v>0</v>
      </c>
      <c r="R370" s="717">
        <f>' Plan Energi 2019'!Z57/100</f>
        <v>0</v>
      </c>
      <c r="S370" s="717">
        <f>' Plan Energi 2019'!AB57/100</f>
        <v>0</v>
      </c>
      <c r="T370" s="736">
        <f>'Tekniske virkning'!R28</f>
        <v>0</v>
      </c>
      <c r="U370" s="736">
        <f>'Tekniske virkning'!S28</f>
        <v>4.5</v>
      </c>
      <c r="V370" s="736">
        <f>'Tekniske virkning'!T28</f>
        <v>0</v>
      </c>
      <c r="W370" s="737">
        <f>'Tekniske virkning'!U28</f>
        <v>4.5</v>
      </c>
      <c r="X370" s="604"/>
    </row>
    <row r="371" spans="1:24" x14ac:dyDescent="0.25">
      <c r="A371" s="604" t="s">
        <v>205</v>
      </c>
      <c r="B371" s="717">
        <f>' Plan Energi 2030-S'!Z58/100</f>
        <v>0</v>
      </c>
      <c r="C371" s="717">
        <f>' Plan Energi 2030-S'!AB58/100</f>
        <v>0</v>
      </c>
      <c r="D371" s="717">
        <f>' Plan Energi 2006'!Z58/100</f>
        <v>0</v>
      </c>
      <c r="E371" s="717">
        <f>' Plan Energi 2006'!AB58/100</f>
        <v>0</v>
      </c>
      <c r="F371" s="717">
        <f>' Plan Energi 2008'!Z58/100</f>
        <v>0</v>
      </c>
      <c r="G371" s="717">
        <f>' Plan Energi 2008'!AB58/100</f>
        <v>0</v>
      </c>
      <c r="H371" s="717">
        <f>' Plan Energi 2009'!Z58/100</f>
        <v>0</v>
      </c>
      <c r="I371" s="717">
        <f>' Plan Energi 2009'!AB58/100</f>
        <v>0</v>
      </c>
      <c r="J371" s="717">
        <f>' Plan Energi 2011'!Z58/100</f>
        <v>0</v>
      </c>
      <c r="K371" s="717">
        <f>' Plan Energi 2011'!AB58/100</f>
        <v>0</v>
      </c>
      <c r="L371" s="717">
        <f>' Plan Energi 2013'!Z58/100</f>
        <v>0</v>
      </c>
      <c r="M371" s="717">
        <f>' Plan Energi 2013'!AB58/100</f>
        <v>0</v>
      </c>
      <c r="N371" s="717">
        <f>' Plan Energi 2015'!Z58/100</f>
        <v>0</v>
      </c>
      <c r="O371" s="717">
        <f>' Plan Energi 2015'!AB58/100</f>
        <v>0</v>
      </c>
      <c r="P371" s="717">
        <f>' Plan Energi 2017'!Z58/100</f>
        <v>0</v>
      </c>
      <c r="Q371" s="717">
        <f>' Plan Energi 2017'!AB58/100</f>
        <v>0</v>
      </c>
      <c r="R371" s="717">
        <f>' Plan Energi 2019'!Z58/100</f>
        <v>0</v>
      </c>
      <c r="S371" s="717">
        <f>' Plan Energi 2019'!AB58/100</f>
        <v>0</v>
      </c>
      <c r="T371" s="736">
        <f>'Tekniske virkning'!R29</f>
        <v>0</v>
      </c>
      <c r="U371" s="736">
        <f>'Tekniske virkning'!S29</f>
        <v>0</v>
      </c>
      <c r="V371" s="736">
        <f>'Tekniske virkning'!T29</f>
        <v>0</v>
      </c>
      <c r="W371" s="737">
        <f>'Tekniske virkning'!U29</f>
        <v>0</v>
      </c>
      <c r="X371" s="604"/>
    </row>
    <row r="372" spans="1:24" x14ac:dyDescent="0.25">
      <c r="A372" s="604" t="s">
        <v>207</v>
      </c>
      <c r="B372" s="717">
        <f>' Plan Energi 2030-S'!Z59/100</f>
        <v>0</v>
      </c>
      <c r="C372" s="717">
        <f>' Plan Energi 2030-S'!AB59/100</f>
        <v>0</v>
      </c>
      <c r="D372" s="717">
        <f>' Plan Energi 2006'!Z59/100</f>
        <v>0</v>
      </c>
      <c r="E372" s="717">
        <f>' Plan Energi 2006'!AB59/100</f>
        <v>0</v>
      </c>
      <c r="F372" s="717">
        <f>' Plan Energi 2008'!Z59/100</f>
        <v>0</v>
      </c>
      <c r="G372" s="717">
        <f>' Plan Energi 2008'!AB59/100</f>
        <v>0</v>
      </c>
      <c r="H372" s="717">
        <f>' Plan Energi 2009'!Z59/100</f>
        <v>0</v>
      </c>
      <c r="I372" s="717">
        <f>' Plan Energi 2009'!AB59/100</f>
        <v>0</v>
      </c>
      <c r="J372" s="717">
        <f>' Plan Energi 2011'!Z59/100</f>
        <v>0</v>
      </c>
      <c r="K372" s="717">
        <f>' Plan Energi 2011'!AB59/100</f>
        <v>0</v>
      </c>
      <c r="L372" s="717">
        <f>' Plan Energi 2013'!Z59/100</f>
        <v>0</v>
      </c>
      <c r="M372" s="717">
        <f>' Plan Energi 2013'!AB59/100</f>
        <v>0</v>
      </c>
      <c r="N372" s="717">
        <f>' Plan Energi 2015'!Z59/100</f>
        <v>0</v>
      </c>
      <c r="O372" s="717">
        <f>' Plan Energi 2015'!AB59/100</f>
        <v>0</v>
      </c>
      <c r="P372" s="717">
        <f>' Plan Energi 2017'!Z59/100</f>
        <v>0</v>
      </c>
      <c r="Q372" s="717">
        <f>' Plan Energi 2017'!AB59/100</f>
        <v>0</v>
      </c>
      <c r="R372" s="717">
        <f>' Plan Energi 2019'!Z59/100</f>
        <v>0</v>
      </c>
      <c r="S372" s="717">
        <f>' Plan Energi 2019'!AB59/100</f>
        <v>0</v>
      </c>
      <c r="T372" s="736">
        <f>'Tekniske virkning'!R30</f>
        <v>0</v>
      </c>
      <c r="U372" s="736">
        <f>'Tekniske virkning'!S30</f>
        <v>0</v>
      </c>
      <c r="V372" s="736">
        <f>'Tekniske virkning'!T30</f>
        <v>0</v>
      </c>
      <c r="W372" s="737">
        <f>'Tekniske virkning'!U30</f>
        <v>0</v>
      </c>
      <c r="X372" s="604"/>
    </row>
    <row r="373" spans="1:24" x14ac:dyDescent="0.25">
      <c r="A373" s="604" t="s">
        <v>362</v>
      </c>
      <c r="B373" s="717">
        <f>' Plan Energi 2030-S'!Z60/100</f>
        <v>0</v>
      </c>
      <c r="C373" s="717">
        <f>' Plan Energi 2030-S'!AB60/100</f>
        <v>0</v>
      </c>
      <c r="D373" s="717">
        <f>' Plan Energi 2006'!Z60/100</f>
        <v>0</v>
      </c>
      <c r="E373" s="717">
        <f>' Plan Energi 2006'!AB60/100</f>
        <v>0</v>
      </c>
      <c r="F373" s="717">
        <f>' Plan Energi 2008'!Z60/100</f>
        <v>0</v>
      </c>
      <c r="G373" s="717">
        <f>' Plan Energi 2008'!AB60/100</f>
        <v>0</v>
      </c>
      <c r="H373" s="717">
        <f>' Plan Energi 2009'!Z60/100</f>
        <v>0</v>
      </c>
      <c r="I373" s="717">
        <f>' Plan Energi 2009'!AB60/100</f>
        <v>0</v>
      </c>
      <c r="J373" s="717">
        <f>' Plan Energi 2011'!Z60/100</f>
        <v>0</v>
      </c>
      <c r="K373" s="717">
        <f>' Plan Energi 2011'!AB60/100</f>
        <v>0</v>
      </c>
      <c r="L373" s="717">
        <f>' Plan Energi 2013'!Z60/100</f>
        <v>0</v>
      </c>
      <c r="M373" s="717">
        <f>' Plan Energi 2013'!AB60/100</f>
        <v>0</v>
      </c>
      <c r="N373" s="717">
        <f>' Plan Energi 2015'!Z60/100</f>
        <v>0</v>
      </c>
      <c r="O373" s="717">
        <f>' Plan Energi 2015'!AB60/100</f>
        <v>0</v>
      </c>
      <c r="P373" s="717">
        <f>' Plan Energi 2017'!Z60/100</f>
        <v>0</v>
      </c>
      <c r="Q373" s="717">
        <f>' Plan Energi 2017'!AB60/100</f>
        <v>0</v>
      </c>
      <c r="R373" s="717">
        <f>' Plan Energi 2019'!Z60/100</f>
        <v>0</v>
      </c>
      <c r="S373" s="717">
        <f>' Plan Energi 2019'!AB60/100</f>
        <v>0</v>
      </c>
      <c r="T373" s="736">
        <f>'Tekniske virkning'!R31</f>
        <v>0</v>
      </c>
      <c r="U373" s="736">
        <f>'Tekniske virkning'!S31</f>
        <v>0</v>
      </c>
      <c r="V373" s="736">
        <f>'Tekniske virkning'!T31</f>
        <v>0</v>
      </c>
      <c r="W373" s="737">
        <f>'Tekniske virkning'!U31</f>
        <v>1</v>
      </c>
      <c r="X373" s="604"/>
    </row>
    <row r="374" spans="1:24" x14ac:dyDescent="0.25">
      <c r="A374" s="629" t="s">
        <v>369</v>
      </c>
      <c r="B374" s="717"/>
      <c r="C374" s="717"/>
      <c r="D374" s="717"/>
      <c r="E374" s="717"/>
      <c r="F374" s="717"/>
      <c r="G374" s="717"/>
      <c r="H374" s="717"/>
      <c r="I374" s="717"/>
      <c r="J374" s="717"/>
      <c r="K374" s="717"/>
      <c r="L374" s="717"/>
      <c r="M374" s="717"/>
      <c r="N374" s="717"/>
      <c r="O374" s="717"/>
      <c r="P374" s="717"/>
      <c r="Q374" s="717"/>
      <c r="R374" s="717"/>
      <c r="S374" s="717"/>
      <c r="T374" s="736">
        <f>'Tekniske virkning'!R33</f>
        <v>0</v>
      </c>
      <c r="U374" s="736">
        <f>'Tekniske virkning'!S33</f>
        <v>0</v>
      </c>
      <c r="V374" s="736">
        <f>'Tekniske virkning'!T33</f>
        <v>0</v>
      </c>
      <c r="W374" s="737">
        <f>'Tekniske virkning'!U33</f>
        <v>0</v>
      </c>
      <c r="X374" s="604"/>
    </row>
    <row r="375" spans="1:24" x14ac:dyDescent="0.25">
      <c r="A375" s="604" t="s">
        <v>215</v>
      </c>
      <c r="B375" s="717">
        <f>' Plan Energi 2030-S'!Z63/100</f>
        <v>0</v>
      </c>
      <c r="C375" s="717">
        <f>' Plan Energi 2030-S'!AB63/100</f>
        <v>0</v>
      </c>
      <c r="D375" s="717">
        <f>' Plan Energi 2006'!Z63/100</f>
        <v>0</v>
      </c>
      <c r="E375" s="717">
        <f>' Plan Energi 2006'!AB63/100</f>
        <v>0</v>
      </c>
      <c r="F375" s="717">
        <f>' Plan Energi 2008'!Z63/100</f>
        <v>0</v>
      </c>
      <c r="G375" s="717">
        <f>' Plan Energi 2008'!AB63/100</f>
        <v>0</v>
      </c>
      <c r="H375" s="717">
        <f>' Plan Energi 2009'!Z63/100</f>
        <v>0</v>
      </c>
      <c r="I375" s="717">
        <f>' Plan Energi 2009'!AB63/100</f>
        <v>0.97699999999999998</v>
      </c>
      <c r="J375" s="717">
        <f>' Plan Energi 2011'!Z63/100</f>
        <v>0</v>
      </c>
      <c r="K375" s="717">
        <f>' Plan Energi 2011'!AB63/100</f>
        <v>0</v>
      </c>
      <c r="L375" s="717">
        <f>' Plan Energi 2013'!Z63/100</f>
        <v>0</v>
      </c>
      <c r="M375" s="717">
        <f>' Plan Energi 2013'!AB63/100</f>
        <v>0</v>
      </c>
      <c r="N375" s="717">
        <f>' Plan Energi 2015'!Z63/100</f>
        <v>0</v>
      </c>
      <c r="O375" s="717">
        <f>' Plan Energi 2015'!AB63/100</f>
        <v>0</v>
      </c>
      <c r="P375" s="717">
        <f>' Plan Energi 2017'!Z63/100</f>
        <v>0</v>
      </c>
      <c r="Q375" s="717">
        <f>' Plan Energi 2017'!AB63/100</f>
        <v>0</v>
      </c>
      <c r="R375" s="717">
        <f>' Plan Energi 2019'!Z63/100</f>
        <v>0</v>
      </c>
      <c r="S375" s="717">
        <f>' Plan Energi 2019'!AB63/100</f>
        <v>0</v>
      </c>
      <c r="T375" s="736">
        <f>'Tekniske virkning'!R34</f>
        <v>0</v>
      </c>
      <c r="U375" s="736">
        <f>'Tekniske virkning'!S34</f>
        <v>0</v>
      </c>
      <c r="V375" s="736">
        <f>'Tekniske virkning'!T34</f>
        <v>0.03</v>
      </c>
      <c r="W375" s="737">
        <f>'Tekniske virkning'!U34</f>
        <v>0.89</v>
      </c>
      <c r="X375" s="604"/>
    </row>
    <row r="376" spans="1:24" x14ac:dyDescent="0.25">
      <c r="A376" s="604" t="s">
        <v>217</v>
      </c>
      <c r="B376" s="717">
        <f>' Plan Energi 2030-S'!Z64/100</f>
        <v>0</v>
      </c>
      <c r="C376" s="717">
        <f>' Plan Energi 2030-S'!AB64/100</f>
        <v>0</v>
      </c>
      <c r="D376" s="717">
        <f>' Plan Energi 2006'!Z64/100</f>
        <v>0.38299999999999995</v>
      </c>
      <c r="E376" s="717">
        <f>' Plan Energi 2006'!AB64/100</f>
        <v>0</v>
      </c>
      <c r="F376" s="717">
        <f>' Plan Energi 2008'!Z64/100</f>
        <v>0.39600000000000002</v>
      </c>
      <c r="G376" s="717">
        <f>' Plan Energi 2008'!AB64/100</f>
        <v>0</v>
      </c>
      <c r="H376" s="717">
        <f>' Plan Energi 2009'!Z64/100</f>
        <v>0.371</v>
      </c>
      <c r="I376" s="717">
        <f>' Plan Energi 2009'!AB64/100</f>
        <v>0</v>
      </c>
      <c r="J376" s="717">
        <f>' Plan Energi 2011'!Z64/100</f>
        <v>0</v>
      </c>
      <c r="K376" s="717">
        <f>' Plan Energi 2011'!AB64/100</f>
        <v>0</v>
      </c>
      <c r="L376" s="717">
        <f>' Plan Energi 2013'!Z64/100</f>
        <v>0</v>
      </c>
      <c r="M376" s="717">
        <f>' Plan Energi 2013'!AB64/100</f>
        <v>0</v>
      </c>
      <c r="N376" s="717">
        <f>' Plan Energi 2015'!Z64/100</f>
        <v>0</v>
      </c>
      <c r="O376" s="717">
        <f>' Plan Energi 2015'!AB64/100</f>
        <v>0</v>
      </c>
      <c r="P376" s="717">
        <f>' Plan Energi 2017'!Z64/100</f>
        <v>0</v>
      </c>
      <c r="Q376" s="717">
        <f>' Plan Energi 2017'!AB64/100</f>
        <v>0</v>
      </c>
      <c r="R376" s="717">
        <f>' Plan Energi 2019'!Z64/100</f>
        <v>0</v>
      </c>
      <c r="S376" s="717">
        <f>' Plan Energi 2019'!AB64/100</f>
        <v>0</v>
      </c>
      <c r="T376" s="736">
        <f>'Tekniske virkning'!R35</f>
        <v>0</v>
      </c>
      <c r="U376" s="736">
        <f>'Tekniske virkning'!S35</f>
        <v>0</v>
      </c>
      <c r="V376" s="736">
        <f>'Tekniske virkning'!T35</f>
        <v>0.36700000000000005</v>
      </c>
      <c r="W376" s="737">
        <f>'Tekniske virkning'!U35</f>
        <v>0.53</v>
      </c>
      <c r="X376" s="604"/>
    </row>
    <row r="377" spans="1:24" x14ac:dyDescent="0.25">
      <c r="A377" s="604" t="s">
        <v>219</v>
      </c>
      <c r="B377" s="717">
        <f>' Plan Energi 2030-S'!Z65/100</f>
        <v>0</v>
      </c>
      <c r="C377" s="717">
        <f>' Plan Energi 2030-S'!AB65/100</f>
        <v>0</v>
      </c>
      <c r="D377" s="717">
        <f>' Plan Energi 2006'!Z65/100</f>
        <v>0</v>
      </c>
      <c r="E377" s="717">
        <f>' Plan Energi 2006'!AB65/100</f>
        <v>0</v>
      </c>
      <c r="F377" s="717">
        <f>' Plan Energi 2008'!Z65/100</f>
        <v>0</v>
      </c>
      <c r="G377" s="717">
        <f>' Plan Energi 2008'!AB65/100</f>
        <v>0</v>
      </c>
      <c r="H377" s="717">
        <f>' Plan Energi 2009'!Z65/100</f>
        <v>0</v>
      </c>
      <c r="I377" s="717">
        <f>' Plan Energi 2009'!AB65/100</f>
        <v>0</v>
      </c>
      <c r="J377" s="717">
        <f>' Plan Energi 2011'!Z65/100</f>
        <v>0</v>
      </c>
      <c r="K377" s="717">
        <f>' Plan Energi 2011'!AB65/100</f>
        <v>0</v>
      </c>
      <c r="L377" s="717">
        <f>' Plan Energi 2013'!Z65/100</f>
        <v>0</v>
      </c>
      <c r="M377" s="717">
        <f>' Plan Energi 2013'!AB65/100</f>
        <v>0</v>
      </c>
      <c r="N377" s="717">
        <f>' Plan Energi 2015'!Z65/100</f>
        <v>0</v>
      </c>
      <c r="O377" s="717">
        <f>' Plan Energi 2015'!AB65/100</f>
        <v>0</v>
      </c>
      <c r="P377" s="717">
        <f>' Plan Energi 2017'!Z65/100</f>
        <v>0</v>
      </c>
      <c r="Q377" s="717">
        <f>' Plan Energi 2017'!AB65/100</f>
        <v>0</v>
      </c>
      <c r="R377" s="717">
        <f>' Plan Energi 2019'!Z65/100</f>
        <v>0</v>
      </c>
      <c r="S377" s="717">
        <f>' Plan Energi 2019'!AB65/100</f>
        <v>0</v>
      </c>
      <c r="T377" s="736">
        <f>'Tekniske virkning'!R36</f>
        <v>0</v>
      </c>
      <c r="U377" s="736">
        <f>'Tekniske virkning'!S36</f>
        <v>0</v>
      </c>
      <c r="V377" s="736">
        <f>'Tekniske virkning'!T36</f>
        <v>0</v>
      </c>
      <c r="W377" s="737">
        <f>'Tekniske virkning'!U36</f>
        <v>0</v>
      </c>
      <c r="X377" s="604"/>
    </row>
    <row r="378" spans="1:24" x14ac:dyDescent="0.25">
      <c r="A378" s="604" t="s">
        <v>221</v>
      </c>
      <c r="B378" s="717">
        <f>' Plan Energi 2030-S'!Z66/100</f>
        <v>0</v>
      </c>
      <c r="C378" s="717">
        <f>' Plan Energi 2030-S'!AB66/100</f>
        <v>0</v>
      </c>
      <c r="D378" s="717">
        <f>' Plan Energi 2006'!Z66/100</f>
        <v>0</v>
      </c>
      <c r="E378" s="717">
        <f>' Plan Energi 2006'!AB66/100</f>
        <v>0</v>
      </c>
      <c r="F378" s="717">
        <f>' Plan Energi 2008'!Z66/100</f>
        <v>0</v>
      </c>
      <c r="G378" s="717">
        <f>' Plan Energi 2008'!AB66/100</f>
        <v>0</v>
      </c>
      <c r="H378" s="717">
        <f>' Plan Energi 2009'!Z66/100</f>
        <v>0</v>
      </c>
      <c r="I378" s="717">
        <f>' Plan Energi 2009'!AB66/100</f>
        <v>0</v>
      </c>
      <c r="J378" s="717">
        <f>' Plan Energi 2011'!Z66/100</f>
        <v>0</v>
      </c>
      <c r="K378" s="717">
        <f>' Plan Energi 2011'!AB66/100</f>
        <v>0</v>
      </c>
      <c r="L378" s="717">
        <f>' Plan Energi 2013'!Z66/100</f>
        <v>0</v>
      </c>
      <c r="M378" s="717">
        <f>' Plan Energi 2013'!AB66/100</f>
        <v>0</v>
      </c>
      <c r="N378" s="717">
        <f>' Plan Energi 2015'!Z66/100</f>
        <v>0</v>
      </c>
      <c r="O378" s="717">
        <f>' Plan Energi 2015'!AB66/100</f>
        <v>0</v>
      </c>
      <c r="P378" s="717">
        <f>' Plan Energi 2017'!Z66/100</f>
        <v>0</v>
      </c>
      <c r="Q378" s="717">
        <f>' Plan Energi 2017'!AB66/100</f>
        <v>0</v>
      </c>
      <c r="R378" s="717">
        <f>' Plan Energi 2019'!Z66/100</f>
        <v>0</v>
      </c>
      <c r="S378" s="717">
        <f>' Plan Energi 2019'!AB66/100</f>
        <v>0</v>
      </c>
      <c r="T378" s="736">
        <f>'Tekniske virkning'!R37</f>
        <v>0</v>
      </c>
      <c r="U378" s="736">
        <f>'Tekniske virkning'!S37</f>
        <v>0</v>
      </c>
      <c r="V378" s="736">
        <f>'Tekniske virkning'!T37</f>
        <v>0</v>
      </c>
      <c r="W378" s="737">
        <f>'Tekniske virkning'!U37</f>
        <v>0.91200000000000003</v>
      </c>
      <c r="X378" s="604"/>
    </row>
    <row r="379" spans="1:24" x14ac:dyDescent="0.25">
      <c r="A379" s="604" t="s">
        <v>223</v>
      </c>
      <c r="B379" s="717">
        <f>' Plan Energi 2030-S'!Z67/100</f>
        <v>0</v>
      </c>
      <c r="C379" s="717">
        <f>' Plan Energi 2030-S'!AB67/100</f>
        <v>0</v>
      </c>
      <c r="D379" s="717">
        <f>' Plan Energi 2006'!Z67/100</f>
        <v>0</v>
      </c>
      <c r="E379" s="717">
        <f>' Plan Energi 2006'!AB67/100</f>
        <v>0</v>
      </c>
      <c r="F379" s="717">
        <f>' Plan Energi 2008'!Z67/100</f>
        <v>0</v>
      </c>
      <c r="G379" s="717">
        <f>' Plan Energi 2008'!AB67/100</f>
        <v>0</v>
      </c>
      <c r="H379" s="717">
        <f>' Plan Energi 2009'!Z67/100</f>
        <v>0</v>
      </c>
      <c r="I379" s="717">
        <f>' Plan Energi 2009'!AB67/100</f>
        <v>0</v>
      </c>
      <c r="J379" s="717">
        <f>' Plan Energi 2011'!Z67/100</f>
        <v>0</v>
      </c>
      <c r="K379" s="717">
        <f>' Plan Energi 2011'!AB67/100</f>
        <v>0</v>
      </c>
      <c r="L379" s="717">
        <f>' Plan Energi 2013'!Z67/100</f>
        <v>0</v>
      </c>
      <c r="M379" s="717">
        <f>' Plan Energi 2013'!AB67/100</f>
        <v>0</v>
      </c>
      <c r="N379" s="717">
        <f>' Plan Energi 2015'!Z67/100</f>
        <v>0</v>
      </c>
      <c r="O379" s="717">
        <f>' Plan Energi 2015'!AB67/100</f>
        <v>0</v>
      </c>
      <c r="P379" s="717">
        <f>' Plan Energi 2017'!Z67/100</f>
        <v>0</v>
      </c>
      <c r="Q379" s="717">
        <f>' Plan Energi 2017'!AB67/100</f>
        <v>0</v>
      </c>
      <c r="R379" s="717">
        <f>' Plan Energi 2019'!Z67/100</f>
        <v>0</v>
      </c>
      <c r="S379" s="717">
        <f>' Plan Energi 2019'!AB67/100</f>
        <v>0</v>
      </c>
      <c r="T379" s="736">
        <f>'Tekniske virkning'!R38</f>
        <v>0</v>
      </c>
      <c r="U379" s="736">
        <f>'Tekniske virkning'!S38</f>
        <v>0</v>
      </c>
      <c r="V379" s="736">
        <f>'Tekniske virkning'!T38</f>
        <v>0</v>
      </c>
      <c r="W379" s="737">
        <f>'Tekniske virkning'!U38</f>
        <v>0</v>
      </c>
      <c r="X379" s="604"/>
    </row>
    <row r="380" spans="1:24" x14ac:dyDescent="0.25">
      <c r="A380" s="604" t="s">
        <v>225</v>
      </c>
      <c r="B380" s="717">
        <f>' Plan Energi 2030-S'!Z68/100</f>
        <v>0</v>
      </c>
      <c r="C380" s="717">
        <f>' Plan Energi 2030-S'!AB68/100</f>
        <v>0</v>
      </c>
      <c r="D380" s="717">
        <f>' Plan Energi 2006'!Z68/100</f>
        <v>0</v>
      </c>
      <c r="E380" s="717">
        <f>' Plan Energi 2006'!AB68/100</f>
        <v>0</v>
      </c>
      <c r="F380" s="717">
        <f>' Plan Energi 2008'!Z68/100</f>
        <v>0</v>
      </c>
      <c r="G380" s="717">
        <f>' Plan Energi 2008'!AB68/100</f>
        <v>0</v>
      </c>
      <c r="H380" s="717">
        <f>' Plan Energi 2009'!Z68/100</f>
        <v>0</v>
      </c>
      <c r="I380" s="717">
        <f>' Plan Energi 2009'!AB68/100</f>
        <v>0</v>
      </c>
      <c r="J380" s="717">
        <f>' Plan Energi 2011'!Z68/100</f>
        <v>0</v>
      </c>
      <c r="K380" s="717">
        <f>' Plan Energi 2011'!AB68/100</f>
        <v>0</v>
      </c>
      <c r="L380" s="717">
        <f>' Plan Energi 2013'!Z68/100</f>
        <v>0</v>
      </c>
      <c r="M380" s="717">
        <f>' Plan Energi 2013'!AB68/100</f>
        <v>0</v>
      </c>
      <c r="N380" s="717">
        <f>' Plan Energi 2015'!Z68/100</f>
        <v>0</v>
      </c>
      <c r="O380" s="717">
        <f>' Plan Energi 2015'!AB68/100</f>
        <v>0</v>
      </c>
      <c r="P380" s="717">
        <f>' Plan Energi 2017'!Z68/100</f>
        <v>0</v>
      </c>
      <c r="Q380" s="717">
        <f>' Plan Energi 2017'!AB68/100</f>
        <v>0</v>
      </c>
      <c r="R380" s="717">
        <f>' Plan Energi 2019'!Z68/100</f>
        <v>0</v>
      </c>
      <c r="S380" s="717">
        <f>' Plan Energi 2019'!AB68/100</f>
        <v>0</v>
      </c>
      <c r="T380" s="736">
        <f>'Tekniske virkning'!R39</f>
        <v>0</v>
      </c>
      <c r="U380" s="736">
        <f>'Tekniske virkning'!S39</f>
        <v>0</v>
      </c>
      <c r="V380" s="736">
        <f>'Tekniske virkning'!T39</f>
        <v>0</v>
      </c>
      <c r="W380" s="737">
        <f>'Tekniske virkning'!U39</f>
        <v>1</v>
      </c>
      <c r="X380" s="604"/>
    </row>
    <row r="381" spans="1:24" x14ac:dyDescent="0.25">
      <c r="A381" s="629" t="s">
        <v>370</v>
      </c>
      <c r="B381" s="604"/>
      <c r="C381" s="604"/>
      <c r="D381" s="604"/>
      <c r="E381" s="604"/>
      <c r="F381" s="604"/>
      <c r="G381" s="604"/>
      <c r="H381" s="604"/>
      <c r="I381" s="604"/>
      <c r="J381" s="604"/>
      <c r="K381" s="604"/>
      <c r="L381" s="604"/>
      <c r="M381" s="604"/>
      <c r="N381" s="604"/>
      <c r="O381" s="604"/>
      <c r="P381" s="604"/>
      <c r="Q381" s="604"/>
      <c r="R381" s="604"/>
      <c r="S381" s="604"/>
      <c r="T381" s="736">
        <f>'Tekniske virkning'!R40</f>
        <v>0</v>
      </c>
      <c r="U381" s="736">
        <f>'Tekniske virkning'!S40</f>
        <v>0</v>
      </c>
      <c r="V381" s="736">
        <f>'Tekniske virkning'!T40</f>
        <v>0</v>
      </c>
      <c r="W381" s="737">
        <f>'Tekniske virkning'!U40</f>
        <v>0</v>
      </c>
      <c r="X381" s="604"/>
    </row>
    <row r="382" spans="1:24" x14ac:dyDescent="0.25">
      <c r="A382" s="654" t="s">
        <v>307</v>
      </c>
      <c r="B382" s="738">
        <f>' Plan Energi 2030-S'!AA8/100</f>
        <v>0.44</v>
      </c>
      <c r="C382" s="738"/>
      <c r="D382" s="738">
        <f>' Plan Energi 2006'!AA8/100</f>
        <v>0.44</v>
      </c>
      <c r="E382" s="738"/>
      <c r="F382" s="738">
        <f>' Plan Energi 2008'!AA8/100</f>
        <v>0.44</v>
      </c>
      <c r="G382" s="738"/>
      <c r="H382" s="738">
        <f>' Plan Energi 2009'!AA8/100</f>
        <v>0.44</v>
      </c>
      <c r="I382" s="738"/>
      <c r="J382" s="738">
        <f>' Plan Energi 2011'!AA8/100</f>
        <v>0.44</v>
      </c>
      <c r="K382" s="738"/>
      <c r="L382" s="738">
        <f>' Plan Energi 2013'!AA8/100</f>
        <v>0.44</v>
      </c>
      <c r="M382" s="738"/>
      <c r="N382" s="738">
        <f>' Plan Energi 2015'!AA8/100</f>
        <v>0.44</v>
      </c>
      <c r="O382" s="738"/>
      <c r="P382" s="738">
        <f>' Plan Energi 2017'!AA8/100</f>
        <v>0.44</v>
      </c>
      <c r="Q382" s="738"/>
      <c r="R382" s="738">
        <f>' Plan Energi 2019'!AA8/100</f>
        <v>0.44</v>
      </c>
      <c r="S382" s="738"/>
      <c r="T382" s="736">
        <f>'Tekniske virkning'!R41</f>
        <v>0.44</v>
      </c>
      <c r="U382" s="736">
        <f>'Tekniske virkning'!S41</f>
        <v>0</v>
      </c>
      <c r="V382" s="736">
        <f>'Tekniske virkning'!T41</f>
        <v>0.44</v>
      </c>
      <c r="W382" s="737">
        <f>'Tekniske virkning'!U41</f>
        <v>0</v>
      </c>
      <c r="X382" s="604"/>
    </row>
    <row r="383" spans="1:24" x14ac:dyDescent="0.25">
      <c r="A383" s="654" t="s">
        <v>314</v>
      </c>
      <c r="B383" s="738">
        <f>' Plan Energi 2030-S'!AB9/100</f>
        <v>0.9</v>
      </c>
      <c r="C383" s="738"/>
      <c r="D383" s="738">
        <f>' Plan Energi 2006'!AB9/100</f>
        <v>0.9</v>
      </c>
      <c r="E383" s="738"/>
      <c r="F383" s="738">
        <f>' Plan Energi 2008'!AB9/100</f>
        <v>0.9</v>
      </c>
      <c r="G383" s="738"/>
      <c r="H383" s="738">
        <f>' Plan Energi 2009'!AB9/100</f>
        <v>0.9</v>
      </c>
      <c r="I383" s="738"/>
      <c r="J383" s="738">
        <f>' Plan Energi 2011'!AB9/100</f>
        <v>0.9</v>
      </c>
      <c r="K383" s="738"/>
      <c r="L383" s="738">
        <f>' Plan Energi 2013'!AB9/100</f>
        <v>0.9</v>
      </c>
      <c r="M383" s="738"/>
      <c r="N383" s="738">
        <f>' Plan Energi 2015'!AB9/100</f>
        <v>0.9</v>
      </c>
      <c r="O383" s="738"/>
      <c r="P383" s="738">
        <f>' Plan Energi 2017'!AB9/100</f>
        <v>0.9</v>
      </c>
      <c r="Q383" s="738"/>
      <c r="R383" s="738">
        <f>' Plan Energi 2019'!AB9/100</f>
        <v>0.9</v>
      </c>
      <c r="S383" s="738"/>
      <c r="T383" s="736">
        <f>'Tekniske virkning'!R42</f>
        <v>0.9</v>
      </c>
      <c r="U383" s="736">
        <f>'Tekniske virkning'!S42</f>
        <v>0</v>
      </c>
      <c r="V383" s="736">
        <f>'Tekniske virkning'!T42</f>
        <v>0.9</v>
      </c>
      <c r="W383" s="737">
        <f>'Tekniske virkning'!U42</f>
        <v>0</v>
      </c>
      <c r="X383" s="604"/>
    </row>
    <row r="384" spans="1:24" x14ac:dyDescent="0.25">
      <c r="A384" s="654" t="s">
        <v>316</v>
      </c>
      <c r="B384" s="738">
        <f>' Plan Energi 2030-S'!AB10/100</f>
        <v>1</v>
      </c>
      <c r="C384" s="738"/>
      <c r="D384" s="738">
        <f>' Plan Energi 2006'!AB10/100</f>
        <v>1</v>
      </c>
      <c r="E384" s="738"/>
      <c r="F384" s="738">
        <f>' Plan Energi 2008'!AB10/100</f>
        <v>1</v>
      </c>
      <c r="G384" s="738"/>
      <c r="H384" s="738">
        <f>' Plan Energi 2009'!AB10/100</f>
        <v>1</v>
      </c>
      <c r="I384" s="738"/>
      <c r="J384" s="738">
        <f>' Plan Energi 2011'!AB10/100</f>
        <v>1</v>
      </c>
      <c r="K384" s="738"/>
      <c r="L384" s="738">
        <f>' Plan Energi 2013'!AB10/100</f>
        <v>1</v>
      </c>
      <c r="M384" s="738"/>
      <c r="N384" s="738">
        <f>' Plan Energi 2015'!AB10/100</f>
        <v>1</v>
      </c>
      <c r="O384" s="738"/>
      <c r="P384" s="738">
        <f>' Plan Energi 2017'!AB10/100</f>
        <v>1</v>
      </c>
      <c r="Q384" s="738"/>
      <c r="R384" s="738">
        <f>' Plan Energi 2019'!AB10/100</f>
        <v>1</v>
      </c>
      <c r="S384" s="738"/>
      <c r="T384" s="736">
        <f>'Tekniske virkning'!R43</f>
        <v>1</v>
      </c>
      <c r="U384" s="736">
        <f>'Tekniske virkning'!S43</f>
        <v>0</v>
      </c>
      <c r="V384" s="736">
        <f>'Tekniske virkning'!T43</f>
        <v>1</v>
      </c>
      <c r="W384" s="737">
        <f>'Tekniske virkning'!U43</f>
        <v>0</v>
      </c>
      <c r="X384" s="604"/>
    </row>
    <row r="385" spans="1:24" x14ac:dyDescent="0.25">
      <c r="A385" s="654" t="s">
        <v>305</v>
      </c>
      <c r="B385" s="738">
        <f>' Plan Energi 2030-S'!AA11/100</f>
        <v>0.5</v>
      </c>
      <c r="C385" s="738"/>
      <c r="D385" s="738">
        <f>' Plan Energi 2006'!AA11/100</f>
        <v>0.5</v>
      </c>
      <c r="E385" s="738"/>
      <c r="F385" s="738">
        <f>' Plan Energi 2008'!AA11/100</f>
        <v>0.5</v>
      </c>
      <c r="G385" s="738"/>
      <c r="H385" s="738">
        <f>' Plan Energi 2009'!AA11/100</f>
        <v>0.5</v>
      </c>
      <c r="I385" s="738"/>
      <c r="J385" s="738">
        <f>' Plan Energi 2011'!AA11/100</f>
        <v>0.5</v>
      </c>
      <c r="K385" s="738"/>
      <c r="L385" s="738">
        <f>' Plan Energi 2013'!AA11/100</f>
        <v>0.5</v>
      </c>
      <c r="M385" s="738"/>
      <c r="N385" s="738">
        <f>' Plan Energi 2015'!AA11/100</f>
        <v>0.5</v>
      </c>
      <c r="O385" s="738"/>
      <c r="P385" s="738">
        <f>' Plan Energi 2017'!AA11/100</f>
        <v>0.5</v>
      </c>
      <c r="Q385" s="738"/>
      <c r="R385" s="738">
        <f>' Plan Energi 2019'!AA11/100</f>
        <v>0.5</v>
      </c>
      <c r="S385" s="738"/>
      <c r="T385" s="736">
        <f>'Tekniske virkning'!R44</f>
        <v>0.5</v>
      </c>
      <c r="U385" s="736">
        <f>'Tekniske virkning'!S44</f>
        <v>0</v>
      </c>
      <c r="V385" s="736">
        <f>'Tekniske virkning'!T44</f>
        <v>0.5</v>
      </c>
      <c r="W385" s="737">
        <f>'Tekniske virkning'!U44</f>
        <v>0</v>
      </c>
      <c r="X385" s="604"/>
    </row>
    <row r="386" spans="1:24" x14ac:dyDescent="0.25">
      <c r="A386" s="654" t="s">
        <v>309</v>
      </c>
      <c r="B386" s="738">
        <f>' Plan Energi 2030-S'!AA12/100</f>
        <v>1.5</v>
      </c>
      <c r="C386" s="738"/>
      <c r="D386" s="738">
        <f>' Plan Energi 2006'!AA12/100</f>
        <v>1.5</v>
      </c>
      <c r="E386" s="738"/>
      <c r="F386" s="738">
        <f>' Plan Energi 2008'!AA12/100</f>
        <v>1.5</v>
      </c>
      <c r="G386" s="738"/>
      <c r="H386" s="738">
        <f>' Plan Energi 2009'!AA12/100</f>
        <v>1.5</v>
      </c>
      <c r="I386" s="738"/>
      <c r="J386" s="738">
        <f>' Plan Energi 2011'!AA12/100</f>
        <v>1.5</v>
      </c>
      <c r="K386" s="738"/>
      <c r="L386" s="738">
        <f>' Plan Energi 2013'!AA12/100</f>
        <v>1.5</v>
      </c>
      <c r="M386" s="738"/>
      <c r="N386" s="738">
        <f>' Plan Energi 2015'!AA12/100</f>
        <v>1.5</v>
      </c>
      <c r="O386" s="738"/>
      <c r="P386" s="738">
        <f>' Plan Energi 2017'!AA12/100</f>
        <v>1.5</v>
      </c>
      <c r="Q386" s="738"/>
      <c r="R386" s="738">
        <f>' Plan Energi 2019'!AA12/100</f>
        <v>1.5</v>
      </c>
      <c r="S386" s="738"/>
      <c r="T386" s="736">
        <f>'Tekniske virkning'!R45</f>
        <v>1.5</v>
      </c>
      <c r="U386" s="736">
        <f>'Tekniske virkning'!S45</f>
        <v>0</v>
      </c>
      <c r="V386" s="736">
        <f>'Tekniske virkning'!T45</f>
        <v>1.5</v>
      </c>
      <c r="W386" s="737">
        <f>'Tekniske virkning'!U45</f>
        <v>0</v>
      </c>
      <c r="X386" s="604"/>
    </row>
    <row r="387" spans="1:24" x14ac:dyDescent="0.25">
      <c r="A387" s="654" t="s">
        <v>290</v>
      </c>
      <c r="B387" s="738">
        <f>' Plan Energi 2030-S'!AA13/100</f>
        <v>0.85</v>
      </c>
      <c r="C387" s="738"/>
      <c r="D387" s="738">
        <f>' Plan Energi 2006'!AA13/100</f>
        <v>0.85</v>
      </c>
      <c r="E387" s="738"/>
      <c r="F387" s="738">
        <f>' Plan Energi 2008'!AA13/100</f>
        <v>0.85</v>
      </c>
      <c r="G387" s="738"/>
      <c r="H387" s="738">
        <f>' Plan Energi 2009'!AA13/100</f>
        <v>0.85</v>
      </c>
      <c r="I387" s="738"/>
      <c r="J387" s="738">
        <f>' Plan Energi 2011'!AA13/100</f>
        <v>0.85</v>
      </c>
      <c r="K387" s="738"/>
      <c r="L387" s="738">
        <f>' Plan Energi 2013'!AA13/100</f>
        <v>0.85</v>
      </c>
      <c r="M387" s="738"/>
      <c r="N387" s="738">
        <f>' Plan Energi 2015'!AA13/100</f>
        <v>0.85</v>
      </c>
      <c r="O387" s="738"/>
      <c r="P387" s="738">
        <f>' Plan Energi 2017'!AA13/100</f>
        <v>0.85</v>
      </c>
      <c r="Q387" s="738"/>
      <c r="R387" s="738">
        <f>' Plan Energi 2019'!AA13/100</f>
        <v>0.85</v>
      </c>
      <c r="S387" s="738"/>
      <c r="T387" s="736">
        <f>'Tekniske virkning'!R46</f>
        <v>0.85</v>
      </c>
      <c r="U387" s="736">
        <f>'Tekniske virkning'!S46</f>
        <v>0</v>
      </c>
      <c r="V387" s="736">
        <f>'Tekniske virkning'!T46</f>
        <v>0.85</v>
      </c>
      <c r="W387" s="737">
        <f>'Tekniske virkning'!U46</f>
        <v>0</v>
      </c>
      <c r="X387" s="604"/>
    </row>
    <row r="388" spans="1:24" x14ac:dyDescent="0.25">
      <c r="A388" s="604" t="s">
        <v>344</v>
      </c>
      <c r="B388" s="738">
        <f>' Plan Energi 2030-S'!Z14/100</f>
        <v>0</v>
      </c>
      <c r="C388" s="738">
        <f>' Plan Energi 2030-S'!AB14/100</f>
        <v>3</v>
      </c>
      <c r="D388" s="738">
        <f>' Plan Energi 2006'!Z14/100</f>
        <v>0</v>
      </c>
      <c r="E388" s="738">
        <f>' Plan Energi 2006'!AB14/100</f>
        <v>3</v>
      </c>
      <c r="F388" s="738">
        <f>' Plan Energi 2008'!Z14/100</f>
        <v>0</v>
      </c>
      <c r="G388" s="738">
        <f>' Plan Energi 2008'!AB14/100</f>
        <v>3</v>
      </c>
      <c r="H388" s="738">
        <f>' Plan Energi 2009'!Z14/100</f>
        <v>0</v>
      </c>
      <c r="I388" s="738">
        <f>' Plan Energi 2009'!AB14/100</f>
        <v>3</v>
      </c>
      <c r="J388" s="738">
        <f>' Plan Energi 2011'!Z14/100</f>
        <v>0</v>
      </c>
      <c r="K388" s="738">
        <f>' Plan Energi 2011'!AB14/100</f>
        <v>3</v>
      </c>
      <c r="L388" s="738">
        <f>' Plan Energi 2013'!Z14/100</f>
        <v>0</v>
      </c>
      <c r="M388" s="738">
        <f>' Plan Energi 2013'!AB14/100</f>
        <v>3</v>
      </c>
      <c r="N388" s="738">
        <f>' Plan Energi 2015'!Z14/100</f>
        <v>0</v>
      </c>
      <c r="O388" s="738">
        <f>' Plan Energi 2015'!AB14/100</f>
        <v>3</v>
      </c>
      <c r="P388" s="738">
        <f>' Plan Energi 2017'!Z14/100</f>
        <v>0</v>
      </c>
      <c r="Q388" s="738">
        <f>' Plan Energi 2017'!AB14/100</f>
        <v>3</v>
      </c>
      <c r="R388" s="738">
        <f>' Plan Energi 2019'!Z14/100</f>
        <v>0</v>
      </c>
      <c r="S388" s="738">
        <f>' Plan Energi 2019'!AB14/100</f>
        <v>3</v>
      </c>
      <c r="T388" s="736">
        <f>'Tekniske virkning'!R47</f>
        <v>0</v>
      </c>
      <c r="U388" s="736">
        <f>'Tekniske virkning'!S47</f>
        <v>3</v>
      </c>
      <c r="V388" s="736">
        <f>'Tekniske virkning'!T47</f>
        <v>0</v>
      </c>
      <c r="W388" s="737">
        <f>'Tekniske virkning'!U47</f>
        <v>3</v>
      </c>
      <c r="X388" s="604"/>
    </row>
    <row r="389" spans="1:24" x14ac:dyDescent="0.25">
      <c r="A389" s="604" t="s">
        <v>345</v>
      </c>
      <c r="B389" s="738">
        <v>0</v>
      </c>
      <c r="C389" s="738">
        <f>' Plan Energi 2030-S'!AB16/100</f>
        <v>0.38</v>
      </c>
      <c r="D389" s="738">
        <v>0</v>
      </c>
      <c r="E389" s="738">
        <f>' Plan Energi 2006'!AB16/100</f>
        <v>0.38</v>
      </c>
      <c r="F389" s="738">
        <v>0</v>
      </c>
      <c r="G389" s="738">
        <f>' Plan Energi 2008'!AB16/100</f>
        <v>0.38</v>
      </c>
      <c r="H389" s="738">
        <v>0</v>
      </c>
      <c r="I389" s="738">
        <f>' Plan Energi 2009'!AB16/100</f>
        <v>0.38</v>
      </c>
      <c r="J389" s="738">
        <v>0</v>
      </c>
      <c r="K389" s="738">
        <f>' Plan Energi 2011'!AB16/100</f>
        <v>0.38</v>
      </c>
      <c r="L389" s="738">
        <v>0</v>
      </c>
      <c r="M389" s="738">
        <f>' Plan Energi 2013'!AB16/100</f>
        <v>0.38</v>
      </c>
      <c r="N389" s="738">
        <v>0</v>
      </c>
      <c r="O389" s="738">
        <f>' Plan Energi 2015'!AB16/100</f>
        <v>0.38</v>
      </c>
      <c r="P389" s="738">
        <v>0</v>
      </c>
      <c r="Q389" s="738">
        <f>' Plan Energi 2017'!AB16/100</f>
        <v>0.38</v>
      </c>
      <c r="R389" s="738">
        <v>0</v>
      </c>
      <c r="S389" s="738">
        <f>' Plan Energi 2019'!AB16/100</f>
        <v>0.38</v>
      </c>
      <c r="T389" s="736">
        <f>'Tekniske virkning'!R48</f>
        <v>0</v>
      </c>
      <c r="U389" s="736">
        <f>'Tekniske virkning'!S48</f>
        <v>0.38</v>
      </c>
      <c r="V389" s="736">
        <f>'Tekniske virkning'!T48</f>
        <v>0</v>
      </c>
      <c r="W389" s="737">
        <f>'Tekniske virkning'!U48</f>
        <v>0.38</v>
      </c>
      <c r="X389" s="604"/>
    </row>
    <row r="390" spans="1:24" x14ac:dyDescent="0.25">
      <c r="A390" s="604" t="s">
        <v>346</v>
      </c>
      <c r="B390" s="738">
        <f>' Plan Energi 2030-S'!Z16/100</f>
        <v>0</v>
      </c>
      <c r="C390" s="738">
        <f>' Plan Energi 2030-S'!AB17/100</f>
        <v>0.8</v>
      </c>
      <c r="D390" s="738">
        <f>' Plan Energi 2006'!Z16/100</f>
        <v>0</v>
      </c>
      <c r="E390" s="738">
        <f>' Plan Energi 2006'!AB17/100</f>
        <v>0.8</v>
      </c>
      <c r="F390" s="738">
        <f>' Plan Energi 2008'!Z16/100</f>
        <v>0</v>
      </c>
      <c r="G390" s="738">
        <f>' Plan Energi 2008'!AB17/100</f>
        <v>0.8</v>
      </c>
      <c r="H390" s="738">
        <f>' Plan Energi 2009'!Z16/100</f>
        <v>0</v>
      </c>
      <c r="I390" s="738">
        <f>' Plan Energi 2009'!AB17/100</f>
        <v>0.8</v>
      </c>
      <c r="J390" s="738">
        <f>' Plan Energi 2011'!Z16/100</f>
        <v>0</v>
      </c>
      <c r="K390" s="738">
        <f>' Plan Energi 2011'!AB17/100</f>
        <v>0.8</v>
      </c>
      <c r="L390" s="738">
        <f>' Plan Energi 2013'!Z16/100</f>
        <v>0</v>
      </c>
      <c r="M390" s="738">
        <f>' Plan Energi 2013'!AB17/100</f>
        <v>0.8</v>
      </c>
      <c r="N390" s="738">
        <f>' Plan Energi 2015'!Z16/100</f>
        <v>0</v>
      </c>
      <c r="O390" s="738">
        <f>' Plan Energi 2015'!AB17/100</f>
        <v>0.8</v>
      </c>
      <c r="P390" s="738">
        <f>' Plan Energi 2017'!Z16/100</f>
        <v>0</v>
      </c>
      <c r="Q390" s="738">
        <f>' Plan Energi 2017'!AB17/100</f>
        <v>0.8</v>
      </c>
      <c r="R390" s="738">
        <f>' Plan Energi 2019'!Z16/100</f>
        <v>0</v>
      </c>
      <c r="S390" s="738">
        <f>' Plan Energi 2019'!AB17/100</f>
        <v>0.8</v>
      </c>
      <c r="T390" s="736">
        <f>'Tekniske virkning'!R49</f>
        <v>0</v>
      </c>
      <c r="U390" s="736">
        <f>'Tekniske virkning'!S49</f>
        <v>0.8</v>
      </c>
      <c r="V390" s="736">
        <f>'Tekniske virkning'!T49</f>
        <v>0</v>
      </c>
      <c r="W390" s="737">
        <f>'Tekniske virkning'!U49</f>
        <v>0.8</v>
      </c>
      <c r="X390" s="604"/>
    </row>
    <row r="391" spans="1:24" x14ac:dyDescent="0.25">
      <c r="A391" s="604" t="s">
        <v>347</v>
      </c>
      <c r="B391" s="738">
        <f>' Plan Energi 2030-S'!Z17/100</f>
        <v>0</v>
      </c>
      <c r="C391" s="738">
        <f>' Plan Energi 2030-S'!AB18/100</f>
        <v>0.85</v>
      </c>
      <c r="D391" s="738">
        <f>' Plan Energi 2006'!Z17/100</f>
        <v>0</v>
      </c>
      <c r="E391" s="738">
        <f>' Plan Energi 2006'!AB18/100</f>
        <v>0.85</v>
      </c>
      <c r="F391" s="738">
        <f>' Plan Energi 2008'!Z17/100</f>
        <v>0</v>
      </c>
      <c r="G391" s="738">
        <f>' Plan Energi 2008'!AB18/100</f>
        <v>0.85</v>
      </c>
      <c r="H391" s="738">
        <f>' Plan Energi 2009'!Z17/100</f>
        <v>0</v>
      </c>
      <c r="I391" s="738">
        <f>' Plan Energi 2009'!AB18/100</f>
        <v>0.85</v>
      </c>
      <c r="J391" s="738">
        <f>' Plan Energi 2011'!Z17/100</f>
        <v>0</v>
      </c>
      <c r="K391" s="738">
        <f>' Plan Energi 2011'!AB18/100</f>
        <v>0.85</v>
      </c>
      <c r="L391" s="738">
        <f>' Plan Energi 2013'!Z17/100</f>
        <v>0</v>
      </c>
      <c r="M391" s="738">
        <f>' Plan Energi 2013'!AB18/100</f>
        <v>0.85</v>
      </c>
      <c r="N391" s="738">
        <f>' Plan Energi 2015'!Z17/100</f>
        <v>0</v>
      </c>
      <c r="O391" s="738">
        <f>' Plan Energi 2015'!AB18/100</f>
        <v>0.85</v>
      </c>
      <c r="P391" s="738">
        <f>' Plan Energi 2017'!Z17/100</f>
        <v>0</v>
      </c>
      <c r="Q391" s="738">
        <f>' Plan Energi 2017'!AB18/100</f>
        <v>0.85</v>
      </c>
      <c r="R391" s="738">
        <f>' Plan Energi 2019'!Z17/100</f>
        <v>0</v>
      </c>
      <c r="S391" s="738">
        <f>' Plan Energi 2019'!AB18/100</f>
        <v>0.85</v>
      </c>
      <c r="T391" s="736">
        <f>'Tekniske virkning'!R50</f>
        <v>0</v>
      </c>
      <c r="U391" s="736">
        <f>'Tekniske virkning'!S50</f>
        <v>0.85</v>
      </c>
      <c r="V391" s="736">
        <f>'Tekniske virkning'!T50</f>
        <v>0</v>
      </c>
      <c r="W391" s="737">
        <f>'Tekniske virkning'!U50</f>
        <v>0.85</v>
      </c>
      <c r="X391" s="604"/>
    </row>
    <row r="392" spans="1:24" x14ac:dyDescent="0.25">
      <c r="A392" s="604" t="s">
        <v>348</v>
      </c>
      <c r="B392" s="738">
        <f>' Plan Energi 2030-S'!Z18/100</f>
        <v>0</v>
      </c>
      <c r="C392" s="738">
        <f>' Plan Energi 2030-S'!AB19/100</f>
        <v>0.75</v>
      </c>
      <c r="D392" s="738">
        <f>' Plan Energi 2006'!Z18/100</f>
        <v>0</v>
      </c>
      <c r="E392" s="738">
        <f>' Plan Energi 2006'!AB19/100</f>
        <v>0.75</v>
      </c>
      <c r="F392" s="738">
        <f>' Plan Energi 2008'!Z18/100</f>
        <v>0</v>
      </c>
      <c r="G392" s="738">
        <f>' Plan Energi 2008'!AB19/100</f>
        <v>0.75</v>
      </c>
      <c r="H392" s="738">
        <f>' Plan Energi 2009'!Z18/100</f>
        <v>0</v>
      </c>
      <c r="I392" s="738">
        <f>' Plan Energi 2009'!AB19/100</f>
        <v>0.75</v>
      </c>
      <c r="J392" s="738">
        <f>' Plan Energi 2011'!Z18/100</f>
        <v>0</v>
      </c>
      <c r="K392" s="738">
        <f>' Plan Energi 2011'!AB19/100</f>
        <v>0.75</v>
      </c>
      <c r="L392" s="738">
        <f>' Plan Energi 2013'!Z18/100</f>
        <v>0</v>
      </c>
      <c r="M392" s="738">
        <f>' Plan Energi 2013'!AB19/100</f>
        <v>0.75</v>
      </c>
      <c r="N392" s="738">
        <f>' Plan Energi 2015'!Z18/100</f>
        <v>0</v>
      </c>
      <c r="O392" s="738">
        <f>' Plan Energi 2015'!AB19/100</f>
        <v>0.75</v>
      </c>
      <c r="P392" s="738">
        <f>' Plan Energi 2017'!Z18/100</f>
        <v>0</v>
      </c>
      <c r="Q392" s="738">
        <f>' Plan Energi 2017'!AB19/100</f>
        <v>0.75</v>
      </c>
      <c r="R392" s="738">
        <f>' Plan Energi 2019'!Z18/100</f>
        <v>0</v>
      </c>
      <c r="S392" s="738">
        <f>' Plan Energi 2019'!AB19/100</f>
        <v>0.75</v>
      </c>
      <c r="T392" s="736">
        <f>'Tekniske virkning'!R51</f>
        <v>0</v>
      </c>
      <c r="U392" s="736">
        <f>'Tekniske virkning'!S51</f>
        <v>0.75</v>
      </c>
      <c r="V392" s="736">
        <f>'Tekniske virkning'!T51</f>
        <v>0</v>
      </c>
      <c r="W392" s="737">
        <f>'Tekniske virkning'!U51</f>
        <v>0.75</v>
      </c>
      <c r="X392" s="604"/>
    </row>
    <row r="393" spans="1:24" x14ac:dyDescent="0.25">
      <c r="A393" s="604" t="s">
        <v>349</v>
      </c>
      <c r="B393" s="738">
        <f>' Plan Energi 2030-S'!Z19/100</f>
        <v>0</v>
      </c>
      <c r="C393" s="738">
        <f>' Plan Energi 2030-S'!AB20/100</f>
        <v>0.65</v>
      </c>
      <c r="D393" s="738">
        <f>' Plan Energi 2006'!Z19/100</f>
        <v>0</v>
      </c>
      <c r="E393" s="738">
        <f>' Plan Energi 2006'!AB20/100</f>
        <v>0.65</v>
      </c>
      <c r="F393" s="738">
        <f>' Plan Energi 2008'!Z19/100</f>
        <v>0</v>
      </c>
      <c r="G393" s="738">
        <f>' Plan Energi 2008'!AB20/100</f>
        <v>0.65</v>
      </c>
      <c r="H393" s="738">
        <f>' Plan Energi 2009'!Z19/100</f>
        <v>0</v>
      </c>
      <c r="I393" s="738">
        <f>' Plan Energi 2009'!AB20/100</f>
        <v>0.65</v>
      </c>
      <c r="J393" s="738">
        <f>' Plan Energi 2011'!Z19/100</f>
        <v>0</v>
      </c>
      <c r="K393" s="738">
        <f>' Plan Energi 2011'!AB20/100</f>
        <v>0.65</v>
      </c>
      <c r="L393" s="738">
        <f>' Plan Energi 2013'!Z19/100</f>
        <v>0</v>
      </c>
      <c r="M393" s="738">
        <f>' Plan Energi 2013'!AB20/100</f>
        <v>0.65</v>
      </c>
      <c r="N393" s="738">
        <f>' Plan Energi 2015'!Z19/100</f>
        <v>0</v>
      </c>
      <c r="O393" s="738">
        <f>' Plan Energi 2015'!AB20/100</f>
        <v>0.65</v>
      </c>
      <c r="P393" s="738">
        <f>' Plan Energi 2017'!Z19/100</f>
        <v>0</v>
      </c>
      <c r="Q393" s="738">
        <f>' Plan Energi 2017'!AB20/100</f>
        <v>0.65</v>
      </c>
      <c r="R393" s="738">
        <f>' Plan Energi 2019'!Z19/100</f>
        <v>0</v>
      </c>
      <c r="S393" s="738">
        <f>' Plan Energi 2019'!AB20/100</f>
        <v>0.65</v>
      </c>
      <c r="T393" s="736">
        <f>'Tekniske virkning'!R52</f>
        <v>0</v>
      </c>
      <c r="U393" s="736">
        <f>'Tekniske virkning'!S52</f>
        <v>0.65</v>
      </c>
      <c r="V393" s="736">
        <f>'Tekniske virkning'!T52</f>
        <v>0</v>
      </c>
      <c r="W393" s="737">
        <f>'Tekniske virkning'!U52</f>
        <v>0.65</v>
      </c>
      <c r="X393" s="604"/>
    </row>
    <row r="394" spans="1:24" x14ac:dyDescent="0.25">
      <c r="A394" s="604" t="s">
        <v>350</v>
      </c>
      <c r="B394" s="738">
        <f>' Plan Energi 2030-S'!Z20/100</f>
        <v>0</v>
      </c>
      <c r="C394" s="738">
        <f>' Plan Energi 2030-S'!AB21/100</f>
        <v>0.65</v>
      </c>
      <c r="D394" s="738">
        <f>' Plan Energi 2006'!Z20/100</f>
        <v>0</v>
      </c>
      <c r="E394" s="738">
        <f>' Plan Energi 2006'!AB21/100</f>
        <v>0.65</v>
      </c>
      <c r="F394" s="738">
        <f>' Plan Energi 2008'!Z20/100</f>
        <v>0</v>
      </c>
      <c r="G394" s="738">
        <f>' Plan Energi 2008'!AB21/100</f>
        <v>0.65</v>
      </c>
      <c r="H394" s="738">
        <f>' Plan Energi 2009'!Z20/100</f>
        <v>0</v>
      </c>
      <c r="I394" s="738">
        <f>' Plan Energi 2009'!AB21/100</f>
        <v>0.65</v>
      </c>
      <c r="J394" s="738">
        <f>' Plan Energi 2011'!Z20/100</f>
        <v>0</v>
      </c>
      <c r="K394" s="738">
        <f>' Plan Energi 2011'!AB21/100</f>
        <v>0.65</v>
      </c>
      <c r="L394" s="738">
        <f>' Plan Energi 2013'!Z20/100</f>
        <v>0</v>
      </c>
      <c r="M394" s="738">
        <f>' Plan Energi 2013'!AB21/100</f>
        <v>0.65</v>
      </c>
      <c r="N394" s="738">
        <f>' Plan Energi 2015'!Z20/100</f>
        <v>0</v>
      </c>
      <c r="O394" s="738">
        <f>' Plan Energi 2015'!AB21/100</f>
        <v>0.65</v>
      </c>
      <c r="P394" s="738">
        <f>' Plan Energi 2017'!Z20/100</f>
        <v>0</v>
      </c>
      <c r="Q394" s="738">
        <f>' Plan Energi 2017'!AB21/100</f>
        <v>0.65</v>
      </c>
      <c r="R394" s="738">
        <f>' Plan Energi 2019'!Z20/100</f>
        <v>0</v>
      </c>
      <c r="S394" s="738">
        <f>' Plan Energi 2019'!AB21/100</f>
        <v>0.65</v>
      </c>
      <c r="T394" s="736">
        <f>'Tekniske virkning'!R53</f>
        <v>0</v>
      </c>
      <c r="U394" s="736">
        <f>'Tekniske virkning'!S53</f>
        <v>0.65</v>
      </c>
      <c r="V394" s="736">
        <f>'Tekniske virkning'!T53</f>
        <v>0</v>
      </c>
      <c r="W394" s="737">
        <f>'Tekniske virkning'!U53</f>
        <v>0.65</v>
      </c>
      <c r="X394" s="604"/>
    </row>
    <row r="395" spans="1:24" x14ac:dyDescent="0.25">
      <c r="A395" s="604" t="s">
        <v>331</v>
      </c>
      <c r="B395" s="738">
        <f>' Plan Energi 2030-S'!Z21/100</f>
        <v>0</v>
      </c>
      <c r="C395" s="738">
        <f>' Plan Energi 2030-S'!AB22/100</f>
        <v>1</v>
      </c>
      <c r="D395" s="738">
        <f>' Plan Energi 2006'!Z21/100</f>
        <v>0</v>
      </c>
      <c r="E395" s="738">
        <f>' Plan Energi 2006'!AB22/100</f>
        <v>1</v>
      </c>
      <c r="F395" s="738">
        <f>' Plan Energi 2008'!Z21/100</f>
        <v>0</v>
      </c>
      <c r="G395" s="738">
        <f>' Plan Energi 2008'!AB22/100</f>
        <v>1</v>
      </c>
      <c r="H395" s="738">
        <f>' Plan Energi 2009'!Z21/100</f>
        <v>0</v>
      </c>
      <c r="I395" s="738">
        <f>' Plan Energi 2009'!AB22/100</f>
        <v>1</v>
      </c>
      <c r="J395" s="738">
        <f>' Plan Energi 2011'!Z21/100</f>
        <v>0</v>
      </c>
      <c r="K395" s="738">
        <f>' Plan Energi 2011'!AB22/100</f>
        <v>1</v>
      </c>
      <c r="L395" s="738">
        <f>' Plan Energi 2013'!Z21/100</f>
        <v>0</v>
      </c>
      <c r="M395" s="738">
        <f>' Plan Energi 2013'!AB22/100</f>
        <v>1</v>
      </c>
      <c r="N395" s="738">
        <f>' Plan Energi 2015'!Z21/100</f>
        <v>0</v>
      </c>
      <c r="O395" s="738">
        <f>' Plan Energi 2015'!AB22/100</f>
        <v>1</v>
      </c>
      <c r="P395" s="738">
        <f>' Plan Energi 2017'!Z21/100</f>
        <v>0</v>
      </c>
      <c r="Q395" s="738">
        <f>' Plan Energi 2017'!AB22/100</f>
        <v>1</v>
      </c>
      <c r="R395" s="738">
        <f>' Plan Energi 2019'!Z21/100</f>
        <v>0</v>
      </c>
      <c r="S395" s="738">
        <f>' Plan Energi 2019'!AB22/100</f>
        <v>1</v>
      </c>
      <c r="T395" s="736">
        <f>'Tekniske virkning'!R54</f>
        <v>0</v>
      </c>
      <c r="U395" s="736">
        <f>'Tekniske virkning'!S54</f>
        <v>1</v>
      </c>
      <c r="V395" s="736">
        <f>'Tekniske virkning'!T54</f>
        <v>0</v>
      </c>
      <c r="W395" s="737">
        <f>'Tekniske virkning'!U54</f>
        <v>1</v>
      </c>
      <c r="X395" s="604"/>
    </row>
    <row r="396" spans="1:24" x14ac:dyDescent="0.25">
      <c r="A396" s="604" t="s">
        <v>292</v>
      </c>
      <c r="B396" s="738">
        <f>' Plan Energi 2030-S'!Z22/100</f>
        <v>0</v>
      </c>
      <c r="C396" s="738">
        <f>' Plan Energi 2030-S'!AA23/100</f>
        <v>0.9</v>
      </c>
      <c r="D396" s="738">
        <f>' Plan Energi 2006'!Z22/100</f>
        <v>0</v>
      </c>
      <c r="E396" s="738">
        <f>' Plan Energi 2006'!AA23/100</f>
        <v>0.9</v>
      </c>
      <c r="F396" s="738">
        <f>' Plan Energi 2008'!Z22/100</f>
        <v>0</v>
      </c>
      <c r="G396" s="738">
        <f>' Plan Energi 2008'!AA23/100</f>
        <v>0.9</v>
      </c>
      <c r="H396" s="738">
        <f>' Plan Energi 2009'!Z22/100</f>
        <v>0</v>
      </c>
      <c r="I396" s="738">
        <f>' Plan Energi 2009'!AA23/100</f>
        <v>0.9</v>
      </c>
      <c r="J396" s="738">
        <f>' Plan Energi 2011'!Z22/100</f>
        <v>0</v>
      </c>
      <c r="K396" s="738">
        <f>' Plan Energi 2011'!AA23/100</f>
        <v>0.9</v>
      </c>
      <c r="L396" s="738">
        <f>' Plan Energi 2013'!Z22/100</f>
        <v>0</v>
      </c>
      <c r="M396" s="738">
        <f>' Plan Energi 2013'!AA23/100</f>
        <v>0.9</v>
      </c>
      <c r="N396" s="738">
        <f>' Plan Energi 2015'!Z22/100</f>
        <v>0</v>
      </c>
      <c r="O396" s="738">
        <f>' Plan Energi 2015'!AA23/100</f>
        <v>0.9</v>
      </c>
      <c r="P396" s="738">
        <f>' Plan Energi 2017'!Z22/100</f>
        <v>0</v>
      </c>
      <c r="Q396" s="738">
        <f>' Plan Energi 2017'!AA23/100</f>
        <v>0.9</v>
      </c>
      <c r="R396" s="738">
        <f>' Plan Energi 2019'!Z22/100</f>
        <v>0</v>
      </c>
      <c r="S396" s="738">
        <f>' Plan Energi 2019'!AA23/100</f>
        <v>0.9</v>
      </c>
      <c r="T396" s="736">
        <f>'Tekniske virkning'!R55</f>
        <v>0</v>
      </c>
      <c r="U396" s="736">
        <f>'Tekniske virkning'!S55</f>
        <v>0.9</v>
      </c>
      <c r="V396" s="736">
        <f>'Tekniske virkning'!T55</f>
        <v>0</v>
      </c>
      <c r="W396" s="737">
        <f>'Tekniske virkning'!U55</f>
        <v>0.9</v>
      </c>
      <c r="X396" s="604"/>
    </row>
    <row r="397" spans="1:24" x14ac:dyDescent="0.25">
      <c r="A397" s="604" t="s">
        <v>294</v>
      </c>
      <c r="B397" s="738">
        <f>' Plan Energi 2030-S'!Z23/100</f>
        <v>0</v>
      </c>
      <c r="C397" s="738">
        <f>' Plan Energi 2030-S'!AA23/100</f>
        <v>0.9</v>
      </c>
      <c r="D397" s="738">
        <f>' Plan Energi 2006'!Z23/100</f>
        <v>0</v>
      </c>
      <c r="E397" s="738">
        <f>' Plan Energi 2006'!AA23/100</f>
        <v>0.9</v>
      </c>
      <c r="F397" s="738">
        <f>' Plan Energi 2008'!Z23/100</f>
        <v>0</v>
      </c>
      <c r="G397" s="738">
        <f>' Plan Energi 2008'!AA23/100</f>
        <v>0.9</v>
      </c>
      <c r="H397" s="738">
        <f>' Plan Energi 2009'!Z23/100</f>
        <v>0</v>
      </c>
      <c r="I397" s="738">
        <f>' Plan Energi 2009'!AA23/100</f>
        <v>0.9</v>
      </c>
      <c r="J397" s="738">
        <f>' Plan Energi 2011'!Z23/100</f>
        <v>0</v>
      </c>
      <c r="K397" s="738">
        <f>' Plan Energi 2011'!AA23/100</f>
        <v>0.9</v>
      </c>
      <c r="L397" s="738">
        <f>' Plan Energi 2013'!Z23/100</f>
        <v>0</v>
      </c>
      <c r="M397" s="738">
        <f>' Plan Energi 2013'!AA23/100</f>
        <v>0.9</v>
      </c>
      <c r="N397" s="738">
        <f>' Plan Energi 2015'!Z23/100</f>
        <v>0</v>
      </c>
      <c r="O397" s="738">
        <f>' Plan Energi 2015'!AA23/100</f>
        <v>0.9</v>
      </c>
      <c r="P397" s="738">
        <f>' Plan Energi 2017'!Z23/100</f>
        <v>0</v>
      </c>
      <c r="Q397" s="738">
        <f>' Plan Energi 2017'!AA23/100</f>
        <v>0.9</v>
      </c>
      <c r="R397" s="738">
        <f>' Plan Energi 2019'!Z23/100</f>
        <v>0</v>
      </c>
      <c r="S397" s="738">
        <f>' Plan Energi 2019'!AA23/100</f>
        <v>0.9</v>
      </c>
      <c r="T397" s="736">
        <f>'Tekniske virkning'!R56</f>
        <v>0</v>
      </c>
      <c r="U397" s="736">
        <f>'Tekniske virkning'!S56</f>
        <v>0.9</v>
      </c>
      <c r="V397" s="736">
        <f>'Tekniske virkning'!T56</f>
        <v>0</v>
      </c>
      <c r="W397" s="737">
        <f>'Tekniske virkning'!U56</f>
        <v>0.9</v>
      </c>
      <c r="X397" s="604"/>
    </row>
    <row r="398" spans="1:24" x14ac:dyDescent="0.25">
      <c r="A398" s="604" t="s">
        <v>355</v>
      </c>
      <c r="B398" s="738">
        <f>' Plan Energi 2030-S'!Z24/100</f>
        <v>0</v>
      </c>
      <c r="C398" s="738">
        <f>' Plan Energi 2030-S'!AA24/100</f>
        <v>0.9</v>
      </c>
      <c r="D398" s="738">
        <f>' Plan Energi 2006'!Z24/100</f>
        <v>0</v>
      </c>
      <c r="E398" s="738">
        <f>' Plan Energi 2006'!AA24/100</f>
        <v>0.9</v>
      </c>
      <c r="F398" s="738">
        <f>' Plan Energi 2008'!Z24/100</f>
        <v>0</v>
      </c>
      <c r="G398" s="738">
        <f>' Plan Energi 2008'!AA24/100</f>
        <v>0.9</v>
      </c>
      <c r="H398" s="738">
        <f>' Plan Energi 2009'!Z24/100</f>
        <v>0</v>
      </c>
      <c r="I398" s="738">
        <f>' Plan Energi 2009'!AA24/100</f>
        <v>0.9</v>
      </c>
      <c r="J398" s="738">
        <f>' Plan Energi 2011'!Z24/100</f>
        <v>0</v>
      </c>
      <c r="K398" s="738">
        <f>' Plan Energi 2011'!AA24/100</f>
        <v>0.9</v>
      </c>
      <c r="L398" s="738">
        <f>' Plan Energi 2013'!Z24/100</f>
        <v>0</v>
      </c>
      <c r="M398" s="738">
        <f>' Plan Energi 2013'!AA24/100</f>
        <v>0.9</v>
      </c>
      <c r="N398" s="738">
        <f>' Plan Energi 2015'!Z24/100</f>
        <v>0</v>
      </c>
      <c r="O398" s="738">
        <f>' Plan Energi 2015'!AA24/100</f>
        <v>0.9</v>
      </c>
      <c r="P398" s="738">
        <f>' Plan Energi 2017'!Z24/100</f>
        <v>0</v>
      </c>
      <c r="Q398" s="738">
        <f>' Plan Energi 2017'!AA24/100</f>
        <v>0.9</v>
      </c>
      <c r="R398" s="738">
        <f>' Plan Energi 2019'!Z24/100</f>
        <v>0</v>
      </c>
      <c r="S398" s="738">
        <f>' Plan Energi 2019'!AA24/100</f>
        <v>0.9</v>
      </c>
      <c r="T398" s="736">
        <f>'Tekniske virkning'!R57</f>
        <v>0</v>
      </c>
      <c r="U398" s="736">
        <f>'Tekniske virkning'!S57</f>
        <v>0.9</v>
      </c>
      <c r="V398" s="736">
        <f>'Tekniske virkning'!T57</f>
        <v>0</v>
      </c>
      <c r="W398" s="737">
        <f>'Tekniske virkning'!U57</f>
        <v>0.9</v>
      </c>
      <c r="X398" s="604"/>
    </row>
    <row r="399" spans="1:24" x14ac:dyDescent="0.25">
      <c r="A399" s="604" t="s">
        <v>606</v>
      </c>
      <c r="B399" s="738">
        <f>' Plan Energi 2030-S'!Z31</f>
        <v>0</v>
      </c>
      <c r="C399" s="738">
        <f>' Plan Energi 2030-S'!AA31/100</f>
        <v>1</v>
      </c>
      <c r="D399" s="738">
        <f>' Plan Energi 2006'!Z31</f>
        <v>0</v>
      </c>
      <c r="E399" s="738">
        <f>' Plan Energi 2006'!AA31/100</f>
        <v>0</v>
      </c>
      <c r="F399" s="738">
        <f>' Plan Energi 2008'!Z31</f>
        <v>0</v>
      </c>
      <c r="G399" s="738">
        <f>' Plan Energi 2008'!AA31/100</f>
        <v>0</v>
      </c>
      <c r="H399" s="738">
        <f>' Plan Energi 2009'!Z31</f>
        <v>0</v>
      </c>
      <c r="I399" s="738">
        <f>' Plan Energi 2009'!AA31/100</f>
        <v>0</v>
      </c>
      <c r="J399" s="738">
        <f>' Plan Energi 2011'!Z31</f>
        <v>0</v>
      </c>
      <c r="K399" s="738">
        <f>' Plan Energi 2011'!AA31/100</f>
        <v>0</v>
      </c>
      <c r="L399" s="738">
        <f>' Plan Energi 2013'!Z31</f>
        <v>0</v>
      </c>
      <c r="M399" s="738">
        <f>' Plan Energi 2013'!AA31/100</f>
        <v>0</v>
      </c>
      <c r="N399" s="738">
        <f>' Plan Energi 2015'!Z31</f>
        <v>0</v>
      </c>
      <c r="O399" s="738">
        <f>' Plan Energi 2015'!AA31/100</f>
        <v>0</v>
      </c>
      <c r="P399" s="738">
        <f>' Plan Energi 2017'!Z31</f>
        <v>0</v>
      </c>
      <c r="Q399" s="738">
        <f>' Plan Energi 2017'!AA31/100</f>
        <v>1</v>
      </c>
      <c r="R399" s="738">
        <f>' Plan Energi 2019'!Z31</f>
        <v>0</v>
      </c>
      <c r="S399" s="738">
        <f>' Plan Energi 2019'!AA31/100</f>
        <v>1</v>
      </c>
      <c r="T399" s="736"/>
      <c r="U399" s="736"/>
      <c r="V399" s="736"/>
      <c r="W399" s="737"/>
      <c r="X399" s="604"/>
    </row>
    <row r="400" spans="1:24" x14ac:dyDescent="0.25">
      <c r="A400" s="629" t="s">
        <v>239</v>
      </c>
      <c r="B400" s="738"/>
      <c r="C400" s="738"/>
      <c r="D400" s="738"/>
      <c r="E400" s="738"/>
      <c r="F400" s="738"/>
      <c r="G400" s="738"/>
      <c r="H400" s="738"/>
      <c r="I400" s="738"/>
      <c r="J400" s="738"/>
      <c r="K400" s="738"/>
      <c r="L400" s="738"/>
      <c r="M400" s="738"/>
      <c r="N400" s="738"/>
      <c r="O400" s="738"/>
      <c r="P400" s="738"/>
      <c r="Q400" s="738"/>
      <c r="R400" s="738"/>
      <c r="S400" s="738"/>
      <c r="T400" s="736">
        <f>'Tekniske virkning'!R58</f>
        <v>0</v>
      </c>
      <c r="U400" s="736">
        <f>'Tekniske virkning'!S58</f>
        <v>0</v>
      </c>
      <c r="V400" s="736">
        <f>'Tekniske virkning'!T58</f>
        <v>0</v>
      </c>
      <c r="W400" s="737">
        <f>'Tekniske virkning'!U58</f>
        <v>0</v>
      </c>
      <c r="X400" s="604"/>
    </row>
    <row r="401" spans="1:24" x14ac:dyDescent="0.25">
      <c r="A401" s="604" t="s">
        <v>241</v>
      </c>
      <c r="B401" s="738">
        <f>' Plan Energi 2030-S'!AA72/100</f>
        <v>0.2</v>
      </c>
      <c r="C401" s="738"/>
      <c r="D401" s="738">
        <f>' Plan Energi 2006'!AA72/100</f>
        <v>0.2</v>
      </c>
      <c r="E401" s="738"/>
      <c r="F401" s="738">
        <f>' Plan Energi 2008'!AA72/100</f>
        <v>0.2</v>
      </c>
      <c r="G401" s="738"/>
      <c r="H401" s="738">
        <f>' Plan Energi 2009'!AA72/100</f>
        <v>0.2</v>
      </c>
      <c r="I401" s="738"/>
      <c r="J401" s="738">
        <f>' Plan Energi 2011'!AA72/100</f>
        <v>0.2</v>
      </c>
      <c r="K401" s="738"/>
      <c r="L401" s="738">
        <f>' Plan Energi 2013'!AA72/100</f>
        <v>0.2</v>
      </c>
      <c r="M401" s="738"/>
      <c r="N401" s="738">
        <f>' Plan Energi 2015'!AA72/100</f>
        <v>0.2</v>
      </c>
      <c r="O401" s="738"/>
      <c r="P401" s="738">
        <f>' Plan Energi 2017'!AA72/100</f>
        <v>0.2</v>
      </c>
      <c r="Q401" s="738"/>
      <c r="R401" s="738">
        <f>' Plan Energi 2019'!AA72/100</f>
        <v>0.2</v>
      </c>
      <c r="S401" s="738"/>
      <c r="T401" s="736">
        <f>'Tekniske virkning'!R59</f>
        <v>0.2</v>
      </c>
      <c r="U401" s="736">
        <f>'Tekniske virkning'!S59</f>
        <v>0</v>
      </c>
      <c r="V401" s="736">
        <f>'Tekniske virkning'!T59</f>
        <v>0.2</v>
      </c>
      <c r="W401" s="737">
        <f>'Tekniske virkning'!U59</f>
        <v>0</v>
      </c>
      <c r="X401" s="604"/>
    </row>
    <row r="402" spans="1:24" x14ac:dyDescent="0.25">
      <c r="A402" s="604" t="s">
        <v>243</v>
      </c>
      <c r="B402" s="738">
        <f>' Plan Energi 2030-S'!AA73/100</f>
        <v>0.25</v>
      </c>
      <c r="C402" s="738"/>
      <c r="D402" s="738">
        <f>' Plan Energi 2006'!AA73/100</f>
        <v>0.25</v>
      </c>
      <c r="E402" s="738"/>
      <c r="F402" s="738">
        <f>' Plan Energi 2008'!AA73/100</f>
        <v>0.25</v>
      </c>
      <c r="G402" s="738"/>
      <c r="H402" s="738">
        <f>' Plan Energi 2009'!AA73/100</f>
        <v>0.25</v>
      </c>
      <c r="I402" s="738"/>
      <c r="J402" s="738">
        <f>' Plan Energi 2011'!AA73/100</f>
        <v>0.25</v>
      </c>
      <c r="K402" s="738"/>
      <c r="L402" s="738">
        <f>' Plan Energi 2013'!AA73/100</f>
        <v>0.25</v>
      </c>
      <c r="M402" s="738"/>
      <c r="N402" s="738">
        <f>' Plan Energi 2015'!AA73/100</f>
        <v>0.25</v>
      </c>
      <c r="O402" s="738"/>
      <c r="P402" s="738">
        <f>' Plan Energi 2017'!AA73/100</f>
        <v>0.25</v>
      </c>
      <c r="Q402" s="738"/>
      <c r="R402" s="738">
        <f>' Plan Energi 2019'!AA73/100</f>
        <v>0.25</v>
      </c>
      <c r="S402" s="738"/>
      <c r="T402" s="736">
        <f>'Tekniske virkning'!R60</f>
        <v>0.25</v>
      </c>
      <c r="U402" s="736">
        <f>'Tekniske virkning'!S60</f>
        <v>0</v>
      </c>
      <c r="V402" s="736">
        <f>'Tekniske virkning'!T60</f>
        <v>0.25</v>
      </c>
      <c r="W402" s="737">
        <f>'Tekniske virkning'!U60</f>
        <v>0</v>
      </c>
      <c r="X402" s="604"/>
    </row>
    <row r="403" spans="1:24" x14ac:dyDescent="0.25">
      <c r="A403" s="604" t="s">
        <v>244</v>
      </c>
      <c r="B403" s="738">
        <f>' Plan Energi 2030-S'!AA74/100</f>
        <v>0.25</v>
      </c>
      <c r="C403" s="738"/>
      <c r="D403" s="738">
        <f>' Plan Energi 2006'!AA74/100</f>
        <v>0.25</v>
      </c>
      <c r="E403" s="738"/>
      <c r="F403" s="738">
        <f>' Plan Energi 2008'!AA74/100</f>
        <v>0.25</v>
      </c>
      <c r="G403" s="738"/>
      <c r="H403" s="738">
        <f>' Plan Energi 2009'!AA74/100</f>
        <v>0.25</v>
      </c>
      <c r="I403" s="738"/>
      <c r="J403" s="738">
        <f>' Plan Energi 2011'!AA74/100</f>
        <v>0.25</v>
      </c>
      <c r="K403" s="738"/>
      <c r="L403" s="738">
        <f>' Plan Energi 2013'!AA74/100</f>
        <v>0.25</v>
      </c>
      <c r="M403" s="738"/>
      <c r="N403" s="738">
        <f>' Plan Energi 2015'!AA74/100</f>
        <v>0.25</v>
      </c>
      <c r="O403" s="738"/>
      <c r="P403" s="738">
        <f>' Plan Energi 2017'!AA74/100</f>
        <v>0.25</v>
      </c>
      <c r="Q403" s="738"/>
      <c r="R403" s="738">
        <f>' Plan Energi 2019'!AA74/100</f>
        <v>0.25</v>
      </c>
      <c r="S403" s="738"/>
      <c r="T403" s="736">
        <f>'Tekniske virkning'!R61</f>
        <v>0.25</v>
      </c>
      <c r="U403" s="736">
        <f>'Tekniske virkning'!S61</f>
        <v>0</v>
      </c>
      <c r="V403" s="736">
        <f>'Tekniske virkning'!T61</f>
        <v>0.25</v>
      </c>
      <c r="W403" s="737">
        <f>'Tekniske virkning'!U61</f>
        <v>0</v>
      </c>
      <c r="X403" s="604"/>
    </row>
    <row r="404" spans="1:24" x14ac:dyDescent="0.25">
      <c r="A404" s="604" t="s">
        <v>246</v>
      </c>
      <c r="B404" s="738">
        <f>' Plan Energi 2030-S'!AA75/100</f>
        <v>0.33</v>
      </c>
      <c r="C404" s="738"/>
      <c r="D404" s="738">
        <f>' Plan Energi 2006'!AA75/100</f>
        <v>0.33</v>
      </c>
      <c r="E404" s="738"/>
      <c r="F404" s="738">
        <f>' Plan Energi 2008'!AA75/100</f>
        <v>0.33</v>
      </c>
      <c r="G404" s="738"/>
      <c r="H404" s="738">
        <f>' Plan Energi 2009'!AA75/100</f>
        <v>0.33</v>
      </c>
      <c r="I404" s="738"/>
      <c r="J404" s="738">
        <f>' Plan Energi 2011'!AA75/100</f>
        <v>0.33</v>
      </c>
      <c r="K404" s="738"/>
      <c r="L404" s="738">
        <f>' Plan Energi 2013'!AA75/100</f>
        <v>0.33</v>
      </c>
      <c r="M404" s="738"/>
      <c r="N404" s="738">
        <f>' Plan Energi 2015'!AA75/100</f>
        <v>0.33</v>
      </c>
      <c r="O404" s="738"/>
      <c r="P404" s="738">
        <f>' Plan Energi 2017'!AA75/100</f>
        <v>0.33</v>
      </c>
      <c r="Q404" s="738"/>
      <c r="R404" s="738">
        <f>' Plan Energi 2019'!AA75/100</f>
        <v>0.33</v>
      </c>
      <c r="S404" s="738"/>
      <c r="T404" s="736">
        <f>'Tekniske virkning'!R62</f>
        <v>0.33</v>
      </c>
      <c r="U404" s="736">
        <f>'Tekniske virkning'!S62</f>
        <v>0</v>
      </c>
      <c r="V404" s="736">
        <f>'Tekniske virkning'!T62</f>
        <v>0.33</v>
      </c>
      <c r="W404" s="737">
        <f>'Tekniske virkning'!U62</f>
        <v>0</v>
      </c>
      <c r="X404" s="604"/>
    </row>
    <row r="405" spans="1:24" x14ac:dyDescent="0.25">
      <c r="A405" s="604" t="s">
        <v>248</v>
      </c>
      <c r="B405" s="738">
        <f>' Plan Energi 2030-S'!AA76/100</f>
        <v>0.33</v>
      </c>
      <c r="C405" s="738"/>
      <c r="D405" s="738">
        <f>' Plan Energi 2006'!AA76/100</f>
        <v>0.33</v>
      </c>
      <c r="E405" s="738"/>
      <c r="F405" s="738">
        <f>' Plan Energi 2008'!AA76/100</f>
        <v>0.33</v>
      </c>
      <c r="G405" s="738"/>
      <c r="H405" s="738">
        <f>' Plan Energi 2009'!AA76/100</f>
        <v>0.33</v>
      </c>
      <c r="I405" s="738"/>
      <c r="J405" s="738">
        <f>' Plan Energi 2011'!AA76/100</f>
        <v>0.33</v>
      </c>
      <c r="K405" s="738"/>
      <c r="L405" s="738">
        <f>' Plan Energi 2013'!AA76/100</f>
        <v>0.33</v>
      </c>
      <c r="M405" s="738"/>
      <c r="N405" s="738">
        <f>' Plan Energi 2015'!AA76/100</f>
        <v>0.33</v>
      </c>
      <c r="O405" s="738"/>
      <c r="P405" s="738">
        <f>' Plan Energi 2017'!AA76/100</f>
        <v>0.33</v>
      </c>
      <c r="Q405" s="738"/>
      <c r="R405" s="738">
        <f>' Plan Energi 2019'!AA76/100</f>
        <v>0.33</v>
      </c>
      <c r="S405" s="738"/>
      <c r="T405" s="736">
        <f>'Tekniske virkning'!R63</f>
        <v>0.33</v>
      </c>
      <c r="U405" s="736">
        <f>'Tekniske virkning'!S63</f>
        <v>0</v>
      </c>
      <c r="V405" s="736">
        <f>'Tekniske virkning'!T63</f>
        <v>0.33</v>
      </c>
      <c r="W405" s="737">
        <f>'Tekniske virkning'!U63</f>
        <v>0</v>
      </c>
      <c r="X405" s="604"/>
    </row>
    <row r="406" spans="1:24" x14ac:dyDescent="0.25">
      <c r="A406" s="604" t="s">
        <v>285</v>
      </c>
      <c r="B406" s="738">
        <f>' Plan Energi 2030-S'!AA77/100</f>
        <v>0.33</v>
      </c>
      <c r="C406" s="738"/>
      <c r="D406" s="738">
        <f>' Plan Energi 2006'!AA77/100</f>
        <v>0.33</v>
      </c>
      <c r="E406" s="738"/>
      <c r="F406" s="738">
        <f>' Plan Energi 2008'!AA77/100</f>
        <v>0.33</v>
      </c>
      <c r="G406" s="738"/>
      <c r="H406" s="738">
        <f>' Plan Energi 2009'!AA77/100</f>
        <v>0.33</v>
      </c>
      <c r="I406" s="738"/>
      <c r="J406" s="738">
        <f>' Plan Energi 2011'!AA77/100</f>
        <v>0.33</v>
      </c>
      <c r="K406" s="738"/>
      <c r="L406" s="738">
        <f>' Plan Energi 2013'!AA77/100</f>
        <v>0.33</v>
      </c>
      <c r="M406" s="738"/>
      <c r="N406" s="738">
        <f>' Plan Energi 2015'!AA77/100</f>
        <v>0.33</v>
      </c>
      <c r="O406" s="738"/>
      <c r="P406" s="738">
        <f>' Plan Energi 2017'!AA77/100</f>
        <v>0.33</v>
      </c>
      <c r="Q406" s="738"/>
      <c r="R406" s="738">
        <f>' Plan Energi 2019'!AA77/100</f>
        <v>0.33</v>
      </c>
      <c r="S406" s="738"/>
      <c r="T406" s="736">
        <f>'Tekniske virkning'!R64</f>
        <v>0.33</v>
      </c>
      <c r="U406" s="736">
        <f>'Tekniske virkning'!S64</f>
        <v>0</v>
      </c>
      <c r="V406" s="736">
        <f>'Tekniske virkning'!T64</f>
        <v>0.33</v>
      </c>
      <c r="W406" s="737">
        <f>'Tekniske virkning'!U64</f>
        <v>0</v>
      </c>
      <c r="X406" s="604"/>
    </row>
    <row r="407" spans="1:24" x14ac:dyDescent="0.25">
      <c r="A407" s="604" t="s">
        <v>250</v>
      </c>
      <c r="B407" s="738">
        <f>' Plan Energi 2030-S'!AA78/100</f>
        <v>0.33</v>
      </c>
      <c r="C407" s="738"/>
      <c r="D407" s="738">
        <f>' Plan Energi 2006'!AA78/100</f>
        <v>0.33</v>
      </c>
      <c r="E407" s="738"/>
      <c r="F407" s="738">
        <f>' Plan Energi 2008'!AA78/100</f>
        <v>0.33</v>
      </c>
      <c r="G407" s="738"/>
      <c r="H407" s="738">
        <f>' Plan Energi 2009'!AA78/100</f>
        <v>0.33</v>
      </c>
      <c r="I407" s="738"/>
      <c r="J407" s="738">
        <f>' Plan Energi 2011'!AA78/100</f>
        <v>0.33</v>
      </c>
      <c r="K407" s="738"/>
      <c r="L407" s="738">
        <f>' Plan Energi 2013'!AA78/100</f>
        <v>0.33</v>
      </c>
      <c r="M407" s="738"/>
      <c r="N407" s="738">
        <f>' Plan Energi 2015'!AA78/100</f>
        <v>0.33</v>
      </c>
      <c r="O407" s="738"/>
      <c r="P407" s="738">
        <f>' Plan Energi 2017'!AA78/100</f>
        <v>0.33</v>
      </c>
      <c r="Q407" s="738"/>
      <c r="R407" s="738">
        <f>' Plan Energi 2019'!AA78/100</f>
        <v>0.33</v>
      </c>
      <c r="S407" s="738"/>
      <c r="T407" s="736">
        <f>'Tekniske virkning'!R65</f>
        <v>0.33</v>
      </c>
      <c r="U407" s="736">
        <f>'Tekniske virkning'!S65</f>
        <v>0</v>
      </c>
      <c r="V407" s="736">
        <f>'Tekniske virkning'!T65</f>
        <v>0.33</v>
      </c>
      <c r="W407" s="737">
        <f>'Tekniske virkning'!U65</f>
        <v>0</v>
      </c>
      <c r="X407" s="604"/>
    </row>
    <row r="408" spans="1:24" x14ac:dyDescent="0.25">
      <c r="A408" s="604" t="s">
        <v>252</v>
      </c>
      <c r="B408" s="738">
        <f>' Plan Energi 2030-S'!AA79/100</f>
        <v>0.33</v>
      </c>
      <c r="C408" s="738"/>
      <c r="D408" s="738">
        <f>' Plan Energi 2006'!AA79/100</f>
        <v>0.33</v>
      </c>
      <c r="E408" s="738"/>
      <c r="F408" s="738">
        <f>' Plan Energi 2008'!AA79/100</f>
        <v>0.33</v>
      </c>
      <c r="G408" s="738"/>
      <c r="H408" s="738">
        <f>' Plan Energi 2009'!AA79/100</f>
        <v>0.33</v>
      </c>
      <c r="I408" s="738"/>
      <c r="J408" s="738">
        <f>' Plan Energi 2011'!AA79/100</f>
        <v>0.33</v>
      </c>
      <c r="K408" s="738"/>
      <c r="L408" s="738">
        <f>' Plan Energi 2013'!AA79/100</f>
        <v>0.33</v>
      </c>
      <c r="M408" s="738"/>
      <c r="N408" s="738">
        <f>' Plan Energi 2015'!AA79/100</f>
        <v>0.33</v>
      </c>
      <c r="O408" s="738"/>
      <c r="P408" s="738">
        <f>' Plan Energi 2017'!AA79/100</f>
        <v>0.33</v>
      </c>
      <c r="Q408" s="738"/>
      <c r="R408" s="738">
        <f>' Plan Energi 2019'!AA79/100</f>
        <v>0.33</v>
      </c>
      <c r="S408" s="738"/>
      <c r="T408" s="736">
        <f>'Tekniske virkning'!R66</f>
        <v>0.33</v>
      </c>
      <c r="U408" s="736">
        <f>'Tekniske virkning'!S66</f>
        <v>0</v>
      </c>
      <c r="V408" s="736">
        <f>'Tekniske virkning'!T66</f>
        <v>0.33</v>
      </c>
      <c r="W408" s="737">
        <f>'Tekniske virkning'!U66</f>
        <v>0</v>
      </c>
      <c r="X408" s="604"/>
    </row>
    <row r="409" spans="1:24" x14ac:dyDescent="0.25">
      <c r="A409" s="604" t="s">
        <v>254</v>
      </c>
      <c r="B409" s="738">
        <f>' Plan Energi 2030-S'!AA80/100</f>
        <v>0.33</v>
      </c>
      <c r="C409" s="738"/>
      <c r="D409" s="738">
        <f>' Plan Energi 2006'!AA80/100</f>
        <v>0.33</v>
      </c>
      <c r="E409" s="738"/>
      <c r="F409" s="738">
        <f>' Plan Energi 2008'!AA80/100</f>
        <v>0.33</v>
      </c>
      <c r="G409" s="738"/>
      <c r="H409" s="738">
        <f>' Plan Energi 2009'!AA80/100</f>
        <v>0.33</v>
      </c>
      <c r="I409" s="738"/>
      <c r="J409" s="738">
        <f>' Plan Energi 2011'!AA80/100</f>
        <v>0.33</v>
      </c>
      <c r="K409" s="738"/>
      <c r="L409" s="738">
        <f>' Plan Energi 2013'!AA80/100</f>
        <v>0.33</v>
      </c>
      <c r="M409" s="738"/>
      <c r="N409" s="738">
        <f>' Plan Energi 2015'!AA80/100</f>
        <v>0.33</v>
      </c>
      <c r="O409" s="738"/>
      <c r="P409" s="738">
        <f>' Plan Energi 2017'!AA80/100</f>
        <v>0.33</v>
      </c>
      <c r="Q409" s="738"/>
      <c r="R409" s="738">
        <f>' Plan Energi 2019'!AA80/100</f>
        <v>0.33</v>
      </c>
      <c r="S409" s="738"/>
      <c r="T409" s="736">
        <f>'Tekniske virkning'!R67</f>
        <v>0.33</v>
      </c>
      <c r="U409" s="736">
        <f>'Tekniske virkning'!S67</f>
        <v>0</v>
      </c>
      <c r="V409" s="736">
        <f>'Tekniske virkning'!T67</f>
        <v>0.33</v>
      </c>
      <c r="W409" s="737">
        <f>'Tekniske virkning'!U67</f>
        <v>0</v>
      </c>
      <c r="X409" s="604"/>
    </row>
    <row r="410" spans="1:24" x14ac:dyDescent="0.25">
      <c r="A410" s="720" t="s">
        <v>290</v>
      </c>
      <c r="B410" s="739">
        <f>' Plan Energi 2030-S'!AA13/100</f>
        <v>0.85</v>
      </c>
      <c r="C410" s="739"/>
      <c r="D410" s="739">
        <f>' Plan Energi 2006'!AA13/100</f>
        <v>0.85</v>
      </c>
      <c r="E410" s="739"/>
      <c r="F410" s="739">
        <f>' Plan Energi 2008'!AA13/100</f>
        <v>0.85</v>
      </c>
      <c r="G410" s="739"/>
      <c r="H410" s="739">
        <f>' Plan Energi 2009'!AA13/100</f>
        <v>0.85</v>
      </c>
      <c r="I410" s="739"/>
      <c r="J410" s="739">
        <f>' Plan Energi 2011'!AA13/100</f>
        <v>0.85</v>
      </c>
      <c r="K410" s="739"/>
      <c r="L410" s="739">
        <f>' Plan Energi 2013'!AA13/100</f>
        <v>0.85</v>
      </c>
      <c r="M410" s="739"/>
      <c r="N410" s="739">
        <f>' Plan Energi 2015'!AA13/100</f>
        <v>0.85</v>
      </c>
      <c r="O410" s="739"/>
      <c r="P410" s="739">
        <f>' Plan Energi 2017'!AA13/100</f>
        <v>0.85</v>
      </c>
      <c r="Q410" s="739"/>
      <c r="R410" s="739">
        <f>' Plan Energi 2019'!AA13/100</f>
        <v>0.85</v>
      </c>
      <c r="S410" s="739"/>
      <c r="T410" s="736">
        <f>'Tekniske virkning'!R68</f>
        <v>0.85</v>
      </c>
      <c r="U410" s="736">
        <f>'Tekniske virkning'!S68</f>
        <v>0</v>
      </c>
      <c r="V410" s="736">
        <f>'Tekniske virkning'!T68</f>
        <v>0.85</v>
      </c>
      <c r="W410" s="737">
        <f>'Tekniske virkning'!U68</f>
        <v>0</v>
      </c>
      <c r="X410" s="604"/>
    </row>
    <row r="411" spans="1:24" x14ac:dyDescent="0.25">
      <c r="A411" s="720" t="s">
        <v>495</v>
      </c>
      <c r="B411" s="739">
        <f>' Plan Energi 2030-S'!AB16/100</f>
        <v>0.38</v>
      </c>
      <c r="C411" s="739"/>
      <c r="D411" s="739">
        <f>' Plan Energi 2006'!AB16/100</f>
        <v>0.38</v>
      </c>
      <c r="E411" s="739"/>
      <c r="F411" s="739">
        <f>' Plan Energi 2008'!AB16/100</f>
        <v>0.38</v>
      </c>
      <c r="G411" s="739"/>
      <c r="H411" s="739">
        <f>' Plan Energi 2009'!AB16/100</f>
        <v>0.38</v>
      </c>
      <c r="I411" s="739"/>
      <c r="J411" s="739">
        <f>' Plan Energi 2011'!AB16/100</f>
        <v>0.38</v>
      </c>
      <c r="K411" s="739"/>
      <c r="L411" s="739">
        <f>' Plan Energi 2013'!AB16/100</f>
        <v>0.38</v>
      </c>
      <c r="M411" s="739"/>
      <c r="N411" s="739">
        <f>' Plan Energi 2015'!AB16/100</f>
        <v>0.38</v>
      </c>
      <c r="O411" s="739"/>
      <c r="P411" s="739">
        <f>' Plan Energi 2017'!AB16/100</f>
        <v>0.38</v>
      </c>
      <c r="Q411" s="739"/>
      <c r="R411" s="739">
        <f>' Plan Energi 2019'!AB16/100</f>
        <v>0.38</v>
      </c>
      <c r="S411" s="739"/>
      <c r="T411" s="736">
        <f>'Tekniske virkning'!R69</f>
        <v>0.38</v>
      </c>
      <c r="U411" s="736">
        <f>'Tekniske virkning'!S69</f>
        <v>0</v>
      </c>
      <c r="V411" s="736">
        <f>'Tekniske virkning'!T69</f>
        <v>0.38</v>
      </c>
      <c r="W411" s="737">
        <f>'Tekniske virkning'!U69</f>
        <v>0</v>
      </c>
      <c r="X411" s="604"/>
    </row>
    <row r="412" spans="1:24" x14ac:dyDescent="0.25">
      <c r="A412" s="629" t="s">
        <v>624</v>
      </c>
      <c r="B412" s="653"/>
      <c r="C412" s="653"/>
      <c r="D412" s="653"/>
      <c r="E412" s="653"/>
      <c r="F412" s="653"/>
      <c r="G412" s="653"/>
      <c r="H412" s="653"/>
      <c r="I412" s="653"/>
      <c r="J412" s="653"/>
      <c r="K412" s="653"/>
      <c r="L412" s="653"/>
      <c r="M412" s="653"/>
      <c r="N412" s="653"/>
      <c r="O412" s="653"/>
      <c r="P412" s="653"/>
      <c r="Q412" s="653"/>
      <c r="R412" s="653"/>
      <c r="S412" s="653"/>
      <c r="T412" s="653"/>
      <c r="U412" s="653"/>
      <c r="V412" s="653"/>
      <c r="W412" s="653"/>
      <c r="X412" s="604"/>
    </row>
    <row r="413" spans="1:24" x14ac:dyDescent="0.25">
      <c r="A413" s="654" t="s">
        <v>3</v>
      </c>
      <c r="B413" s="645">
        <f>' Plan Energi 2030-S'!I24/IF(' Plan Energi 2030-S'!I24+' Plan Energi 2030-S'!R24&gt;0,' Plan Energi 2030-S'!I24+' Plan Energi 2030-S'!R24,1)</f>
        <v>1</v>
      </c>
      <c r="C413" s="645"/>
      <c r="D413" s="645">
        <f>' Plan Energi 2006'!I24/IF(' Plan Energi 2006'!I24+' Plan Energi 2006'!R24&gt;0,' Plan Energi 2006'!I24+' Plan Energi 2006'!R24,1)</f>
        <v>1</v>
      </c>
      <c r="E413" s="645"/>
      <c r="F413" s="645">
        <f>' Plan Energi 2008'!I24/IF(' Plan Energi 2008'!I24+' Plan Energi 2008'!R24&gt;0,' Plan Energi 2008'!I24+' Plan Energi 2008'!R24,1)</f>
        <v>1</v>
      </c>
      <c r="G413" s="645"/>
      <c r="H413" s="645">
        <f>' Plan Energi 2009'!I24/IF(' Plan Energi 2009'!I24+' Plan Energi 2009'!R24&gt;0,' Plan Energi 2009'!I24+' Plan Energi 2009'!R24,1)</f>
        <v>1</v>
      </c>
      <c r="I413" s="645"/>
      <c r="J413" s="645">
        <f>' Plan Energi 2011'!I24/IF(' Plan Energi 2011'!I24+' Plan Energi 2011'!R24&gt;0,' Plan Energi 2011'!I24+' Plan Energi 2011'!R24,1)</f>
        <v>1</v>
      </c>
      <c r="K413" s="645"/>
      <c r="L413" s="645">
        <f>' Plan Energi 2013'!I24/IF(' Plan Energi 2013'!I24+' Plan Energi 2013'!R24&gt;0,' Plan Energi 2013'!I24+' Plan Energi 2013'!R24,1)</f>
        <v>1</v>
      </c>
      <c r="M413" s="645"/>
      <c r="N413" s="645">
        <f>' Plan Energi 2015'!I24/IF(' Plan Energi 2015'!I24+' Plan Energi 2015'!R24&gt;0,' Plan Energi 2015'!I24+' Plan Energi 2015'!R24,1)</f>
        <v>1</v>
      </c>
      <c r="O413" s="645"/>
      <c r="P413" s="645">
        <f>' Plan Energi 2017'!I24/IF(' Plan Energi 2017'!I24+' Plan Energi 2017'!R24&gt;0,' Plan Energi 2017'!I24+' Plan Energi 2017'!R24,1)</f>
        <v>1</v>
      </c>
      <c r="Q413" s="645"/>
      <c r="R413" s="645">
        <f>' Plan Energi 2019'!I24/IF(' Plan Energi 2019'!I24+' Plan Energi 2019'!R24&gt;0,' Plan Energi 2019'!I24+' Plan Energi 2019'!R24,1)</f>
        <v>1</v>
      </c>
      <c r="S413" s="645"/>
      <c r="T413" s="726">
        <f>'Fremstilling, Gartneri, Landbru'!R76</f>
        <v>1</v>
      </c>
      <c r="U413" s="653"/>
      <c r="V413" s="726">
        <f>'Fremstilling, Gartneri, Landbru'!T76</f>
        <v>0.38213811420982741</v>
      </c>
      <c r="W413" s="653"/>
      <c r="X413" s="604"/>
    </row>
    <row r="414" spans="1:24" x14ac:dyDescent="0.25">
      <c r="A414" s="654" t="s">
        <v>375</v>
      </c>
      <c r="B414" s="645">
        <f>' Plan Energi 2030-S'!R24/IF(' Plan Energi 2030-S'!E24+' Plan Energi 2030-S'!R24&gt;0,' Plan Energi 2030-S'!E24+' Plan Energi 2030-S'!R24,1)</f>
        <v>0</v>
      </c>
      <c r="C414" s="645"/>
      <c r="D414" s="645">
        <f>' Plan Energi 2006'!R24/IF(' Plan Energi 2006'!E24+' Plan Energi 2006'!R24&gt;0,' Plan Energi 2006'!E24+' Plan Energi 2006'!R24,1)</f>
        <v>0</v>
      </c>
      <c r="E414" s="645"/>
      <c r="F414" s="645">
        <f>' Plan Energi 2008'!R24/IF(' Plan Energi 2008'!E24+' Plan Energi 2008'!R24&gt;0,' Plan Energi 2008'!E24+' Plan Energi 2008'!R24,1)</f>
        <v>0</v>
      </c>
      <c r="G414" s="645"/>
      <c r="H414" s="645">
        <f>' Plan Energi 2009'!R24/IF(' Plan Energi 2009'!E24+' Plan Energi 2009'!R24&gt;0,' Plan Energi 2009'!E24+' Plan Energi 2009'!R24,1)</f>
        <v>0</v>
      </c>
      <c r="I414" s="645"/>
      <c r="J414" s="645">
        <f>' Plan Energi 2011'!R24/IF(' Plan Energi 2011'!E24+' Plan Energi 2011'!R24&gt;0,' Plan Energi 2011'!E24+' Plan Energi 2011'!R24,1)</f>
        <v>0</v>
      </c>
      <c r="K414" s="645"/>
      <c r="L414" s="645">
        <f>' Plan Energi 2013'!R24/IF(' Plan Energi 2013'!E24+' Plan Energi 2013'!R24&gt;0,' Plan Energi 2013'!E24+' Plan Energi 2013'!R24,1)</f>
        <v>0</v>
      </c>
      <c r="M414" s="645"/>
      <c r="N414" s="645">
        <f>' Plan Energi 2015'!R24/IF(' Plan Energi 2015'!E24+' Plan Energi 2015'!R24&gt;0,' Plan Energi 2015'!E24+' Plan Energi 2015'!R24,1)</f>
        <v>0</v>
      </c>
      <c r="O414" s="645"/>
      <c r="P414" s="645">
        <f>' Plan Energi 2017'!R24/IF(' Plan Energi 2017'!E24+' Plan Energi 2017'!R24&gt;0,' Plan Energi 2017'!E24+' Plan Energi 2017'!R24,1)</f>
        <v>0</v>
      </c>
      <c r="Q414" s="645"/>
      <c r="R414" s="645">
        <f>' Plan Energi 2019'!R24/IF(' Plan Energi 2019'!E24+' Plan Energi 2019'!R24&gt;0,' Plan Energi 2019'!E24+' Plan Energi 2019'!R24,1)</f>
        <v>0</v>
      </c>
      <c r="S414" s="645"/>
      <c r="T414" s="726">
        <f>'Fremstilling, Gartneri, Landbru'!R77</f>
        <v>0</v>
      </c>
      <c r="U414" s="645"/>
      <c r="V414" s="726">
        <f>'Fremstilling, Gartneri, Landbru'!T77</f>
        <v>0.61786188579017254</v>
      </c>
      <c r="W414" s="645"/>
      <c r="X414" s="604"/>
    </row>
    <row r="415" spans="1:24" x14ac:dyDescent="0.25">
      <c r="A415" s="629" t="s">
        <v>627</v>
      </c>
      <c r="B415" s="653"/>
      <c r="C415" s="653"/>
      <c r="D415" s="653"/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3"/>
      <c r="P415" s="653"/>
      <c r="Q415" s="653"/>
      <c r="R415" s="653"/>
      <c r="S415" s="653"/>
      <c r="T415" s="653"/>
      <c r="U415" s="653"/>
      <c r="V415" s="653"/>
      <c r="W415" s="653"/>
      <c r="X415" s="604"/>
    </row>
    <row r="416" spans="1:24" x14ac:dyDescent="0.25">
      <c r="A416" s="654" t="s">
        <v>8</v>
      </c>
      <c r="B416" s="645">
        <f>' Plan Energi 2030-S'!E23/IF(' Plan Energi 2030-S'!E23+' Plan Energi 2030-S'!R23&gt;0,' Plan Energi 2030-S'!E23+' Plan Energi 2030-S'!R23,1)</f>
        <v>1</v>
      </c>
      <c r="C416" s="645"/>
      <c r="D416" s="645">
        <f>' Plan Energi 2006'!E23/IF(' Plan Energi 2006'!E23+' Plan Energi 2006'!R23&gt;0,' Plan Energi 2006'!E23+' Plan Energi 2006'!R23,1)</f>
        <v>1</v>
      </c>
      <c r="E416" s="645"/>
      <c r="F416" s="645">
        <f>' Plan Energi 2008'!E23/IF(' Plan Energi 2008'!E23+' Plan Energi 2008'!R23&gt;0,' Plan Energi 2008'!E23+' Plan Energi 2008'!R23,1)</f>
        <v>1</v>
      </c>
      <c r="G416" s="645"/>
      <c r="H416" s="645">
        <f>' Plan Energi 2009'!E23/IF(' Plan Energi 2009'!E23+' Plan Energi 2009'!R23&gt;0,' Plan Energi 2009'!E23+' Plan Energi 2009'!R23,1)</f>
        <v>1</v>
      </c>
      <c r="I416" s="645"/>
      <c r="J416" s="645">
        <f>' Plan Energi 2011'!E23/IF(' Plan Energi 2011'!E23+' Plan Energi 2011'!R23&gt;0,' Plan Energi 2011'!E23+' Plan Energi 2011'!R23,1)</f>
        <v>1</v>
      </c>
      <c r="K416" s="645"/>
      <c r="L416" s="645">
        <f>' Plan Energi 2013'!E23/IF(' Plan Energi 2013'!E23+' Plan Energi 2013'!R23&gt;0,' Plan Energi 2013'!E23+' Plan Energi 2013'!R23,1)</f>
        <v>1</v>
      </c>
      <c r="M416" s="645"/>
      <c r="N416" s="645">
        <f>' Plan Energi 2015'!E23/IF(' Plan Energi 2015'!E23+' Plan Energi 2015'!R23&gt;0,' Plan Energi 2015'!E23+' Plan Energi 2015'!R23,1)</f>
        <v>1</v>
      </c>
      <c r="O416" s="645"/>
      <c r="P416" s="645">
        <f>' Plan Energi 2017'!E23/IF(' Plan Energi 2017'!E23+' Plan Energi 2017'!R23&gt;0,' Plan Energi 2017'!E23+' Plan Energi 2017'!R23,1)</f>
        <v>1</v>
      </c>
      <c r="Q416" s="645"/>
      <c r="R416" s="645">
        <f>' Plan Energi 2019'!E23/IF(' Plan Energi 2019'!E23+' Plan Energi 2019'!R23&gt;0,' Plan Energi 2019'!E23+' Plan Energi 2019'!R23,1)</f>
        <v>1</v>
      </c>
      <c r="S416" s="645"/>
      <c r="T416" s="726">
        <f>'Fremstilling, Gartneri, Landbru'!R80</f>
        <v>1</v>
      </c>
      <c r="U416" s="653"/>
      <c r="V416" s="726">
        <f>'Fremstilling, Gartneri, Landbru'!T80</f>
        <v>0.26577025232403723</v>
      </c>
      <c r="W416" s="653"/>
      <c r="X416" s="604"/>
    </row>
    <row r="417" spans="1:24" x14ac:dyDescent="0.25">
      <c r="A417" s="654" t="s">
        <v>375</v>
      </c>
      <c r="B417" s="645">
        <f>' Plan Energi 2030-S'!R23/IF(' Plan Energi 2030-S'!E23+' Plan Energi 2030-S'!R23&gt;0,' Plan Energi 2030-S'!E23+' Plan Energi 2030-S'!R23,1)</f>
        <v>0</v>
      </c>
      <c r="C417" s="645"/>
      <c r="D417" s="645">
        <f>' Plan Energi 2006'!R23/IF(' Plan Energi 2006'!E23+' Plan Energi 2006'!R23&gt;0,' Plan Energi 2006'!E23+' Plan Energi 2006'!R23,1)</f>
        <v>0</v>
      </c>
      <c r="E417" s="645"/>
      <c r="F417" s="645">
        <f>' Plan Energi 2008'!R23/IF(' Plan Energi 2008'!E23+' Plan Energi 2008'!R23&gt;0,' Plan Energi 2008'!E23+' Plan Energi 2008'!R23,1)</f>
        <v>0</v>
      </c>
      <c r="G417" s="645"/>
      <c r="H417" s="645">
        <f>' Plan Energi 2009'!R23/IF(' Plan Energi 2009'!E23+' Plan Energi 2009'!R23&gt;0,' Plan Energi 2009'!E23+' Plan Energi 2009'!R23,1)</f>
        <v>0</v>
      </c>
      <c r="I417" s="645"/>
      <c r="J417" s="645">
        <f>' Plan Energi 2011'!R23/IF(' Plan Energi 2011'!E23+' Plan Energi 2011'!R23&gt;0,' Plan Energi 2011'!E23+' Plan Energi 2011'!R23,1)</f>
        <v>0</v>
      </c>
      <c r="K417" s="645"/>
      <c r="L417" s="645">
        <f>' Plan Energi 2013'!R23/IF(' Plan Energi 2013'!E23+' Plan Energi 2013'!R23&gt;0,' Plan Energi 2013'!E23+' Plan Energi 2013'!R23,1)</f>
        <v>0</v>
      </c>
      <c r="M417" s="645"/>
      <c r="N417" s="645">
        <f>' Plan Energi 2015'!R23/IF(' Plan Energi 2015'!E23+' Plan Energi 2015'!R23&gt;0,' Plan Energi 2015'!E23+' Plan Energi 2015'!R23,1)</f>
        <v>0</v>
      </c>
      <c r="O417" s="645"/>
      <c r="P417" s="645">
        <f>' Plan Energi 2017'!R23/IF(' Plan Energi 2017'!E23+' Plan Energi 2017'!R23&gt;0,' Plan Energi 2017'!E23+' Plan Energi 2017'!R23,1)</f>
        <v>0</v>
      </c>
      <c r="Q417" s="645"/>
      <c r="R417" s="645">
        <f>' Plan Energi 2019'!R23/IF(' Plan Energi 2019'!E23+' Plan Energi 2019'!R23&gt;0,' Plan Energi 2019'!E23+' Plan Energi 2019'!R23,1)</f>
        <v>0</v>
      </c>
      <c r="S417" s="645"/>
      <c r="T417" s="726">
        <f>'Fremstilling, Gartneri, Landbru'!R81</f>
        <v>0</v>
      </c>
      <c r="U417" s="645"/>
      <c r="V417" s="726">
        <f>'Fremstilling, Gartneri, Landbru'!T81</f>
        <v>0.73422974767596272</v>
      </c>
      <c r="W417" s="645"/>
      <c r="X417" s="604"/>
    </row>
    <row r="418" spans="1:24" x14ac:dyDescent="0.25">
      <c r="A418" s="629" t="s">
        <v>607</v>
      </c>
      <c r="B418" s="653"/>
      <c r="C418" s="653"/>
      <c r="D418" s="653"/>
      <c r="E418" s="653"/>
      <c r="F418" s="653"/>
      <c r="G418" s="653"/>
      <c r="H418" s="653"/>
      <c r="I418" s="653"/>
      <c r="J418" s="653"/>
      <c r="K418" s="653"/>
      <c r="L418" s="653"/>
      <c r="M418" s="653"/>
      <c r="N418" s="653"/>
      <c r="O418" s="653"/>
      <c r="P418" s="653"/>
      <c r="Q418" s="653"/>
      <c r="R418" s="653"/>
      <c r="S418" s="653"/>
      <c r="T418" s="653"/>
      <c r="U418" s="653"/>
      <c r="V418" s="653"/>
      <c r="W418" s="653"/>
      <c r="X418" s="604"/>
    </row>
    <row r="419" spans="1:24" x14ac:dyDescent="0.25">
      <c r="A419" s="654" t="s">
        <v>19</v>
      </c>
      <c r="B419" s="645">
        <f>' Plan Energi 2030-S'!O31/IF(' Plan Energi 2030-S'!$I$31=0,1,' Plan Energi 2030-S'!$I$31)</f>
        <v>0</v>
      </c>
      <c r="C419" s="645"/>
      <c r="D419" s="645">
        <f>' Plan Energi 2006'!O31/IF(' Plan Energi 2006'!$I$31=0,1,' Plan Energi 2006'!$I$31)</f>
        <v>0</v>
      </c>
      <c r="E419" s="645"/>
      <c r="F419" s="645">
        <f>' Plan Energi 2008'!O31/IF(' Plan Energi 2008'!$I$31=0,1,' Plan Energi 2008'!$I$31)</f>
        <v>0</v>
      </c>
      <c r="G419" s="645"/>
      <c r="H419" s="645">
        <f>' Plan Energi 2009'!O31/IF(' Plan Energi 2009'!$I$31=0,1,' Plan Energi 2009'!$I$31)</f>
        <v>0</v>
      </c>
      <c r="I419" s="645"/>
      <c r="J419" s="645">
        <f>' Plan Energi 2011'!O31/IF(' Plan Energi 2011'!$I$31=0,1,' Plan Energi 2011'!$I$31)</f>
        <v>0</v>
      </c>
      <c r="K419" s="645"/>
      <c r="L419" s="645">
        <f>' Plan Energi 2013'!O31/IF(' Plan Energi 2013'!$I$31=0,1,' Plan Energi 2013'!$I$31)</f>
        <v>0</v>
      </c>
      <c r="M419" s="645"/>
      <c r="N419" s="645">
        <f>' Plan Energi 2015'!O31/IF(' Plan Energi 2015'!$I$31=0,1,' Plan Energi 2015'!$I$31)</f>
        <v>0</v>
      </c>
      <c r="O419" s="645"/>
      <c r="P419" s="645">
        <f>' Plan Energi 2017'!O31/IF(' Plan Energi 2017'!$I$31=0,1,' Plan Energi 2017'!$I$31)</f>
        <v>0</v>
      </c>
      <c r="Q419" s="645"/>
      <c r="R419" s="645">
        <f>' Plan Energi 2019'!O31/IF(' Plan Energi 2019'!$I$31=0,1,' Plan Energi 2019'!$I$31)</f>
        <v>0</v>
      </c>
      <c r="S419" s="645"/>
      <c r="T419" s="726">
        <f>'Fremstilling, Gartneri, Landbru'!R65</f>
        <v>0</v>
      </c>
      <c r="U419" s="653"/>
      <c r="V419" s="726">
        <f>'Fremstilling, Gartneri, Landbru'!T65</f>
        <v>0</v>
      </c>
      <c r="W419" s="653"/>
      <c r="X419" s="604"/>
    </row>
    <row r="420" spans="1:24" x14ac:dyDescent="0.25">
      <c r="A420" s="654" t="s">
        <v>24</v>
      </c>
      <c r="B420" s="645">
        <f>' Plan Energi 2030-S'!T31/IF(' Plan Energi 2030-S'!$I$31=0,1,' Plan Energi 2030-S'!$I$31)</f>
        <v>0</v>
      </c>
      <c r="C420" s="645"/>
      <c r="D420" s="645">
        <f>' Plan Energi 2006'!T31/IF(' Plan Energi 2006'!$I$31=0,1,' Plan Energi 2006'!$I$31)</f>
        <v>0</v>
      </c>
      <c r="E420" s="645"/>
      <c r="F420" s="645">
        <f>' Plan Energi 2008'!T31/IF(' Plan Energi 2008'!$I$31=0,1,' Plan Energi 2008'!$I$31)</f>
        <v>0</v>
      </c>
      <c r="G420" s="645"/>
      <c r="H420" s="645">
        <f>' Plan Energi 2009'!T31/IF(' Plan Energi 2009'!$I$31=0,1,' Plan Energi 2009'!$I$31)</f>
        <v>0</v>
      </c>
      <c r="I420" s="645"/>
      <c r="J420" s="645">
        <f>' Plan Energi 2011'!T31/IF(' Plan Energi 2011'!$I$31=0,1,' Plan Energi 2011'!$I$31)</f>
        <v>0</v>
      </c>
      <c r="K420" s="645"/>
      <c r="L420" s="645">
        <f>' Plan Energi 2013'!T31/IF(' Plan Energi 2013'!$I$31=0,1,' Plan Energi 2013'!$I$31)</f>
        <v>0</v>
      </c>
      <c r="M420" s="645"/>
      <c r="N420" s="645">
        <f>' Plan Energi 2015'!T31/IF(' Plan Energi 2015'!$I$31=0,1,' Plan Energi 2015'!$I$31)</f>
        <v>0</v>
      </c>
      <c r="O420" s="645"/>
      <c r="P420" s="645">
        <f>' Plan Energi 2017'!T31/IF(' Plan Energi 2017'!$I$31=0,1,' Plan Energi 2017'!$I$31)</f>
        <v>0</v>
      </c>
      <c r="Q420" s="645"/>
      <c r="R420" s="645">
        <f>' Plan Energi 2019'!T31/IF(' Plan Energi 2019'!$I$31=0,1,' Plan Energi 2019'!$I$31)</f>
        <v>0</v>
      </c>
      <c r="S420" s="645"/>
      <c r="T420" s="726">
        <f>'Fremstilling, Gartneri, Landbru'!R66</f>
        <v>0</v>
      </c>
      <c r="U420" s="645"/>
      <c r="V420" s="726">
        <f>'Fremstilling, Gartneri, Landbru'!T66</f>
        <v>0</v>
      </c>
      <c r="W420" s="645"/>
      <c r="X420" s="604"/>
    </row>
    <row r="421" spans="1:24" x14ac:dyDescent="0.25">
      <c r="A421" s="654" t="s">
        <v>389</v>
      </c>
      <c r="B421" s="645">
        <f>' Plan Energi 2030-S'!U31/IF(' Plan Energi 2030-S'!$I$31=0,1,' Plan Energi 2030-S'!$I$31)</f>
        <v>0</v>
      </c>
      <c r="C421" s="645"/>
      <c r="D421" s="645">
        <f>' Plan Energi 2006'!U31/IF(' Plan Energi 2006'!$I$31=0,1,' Plan Energi 2006'!$I$31)</f>
        <v>0</v>
      </c>
      <c r="E421" s="645"/>
      <c r="F421" s="645">
        <f>' Plan Energi 2008'!U31/IF(' Plan Energi 2008'!$I$31=0,1,' Plan Energi 2008'!$I$31)</f>
        <v>0</v>
      </c>
      <c r="G421" s="645"/>
      <c r="H421" s="645">
        <f>' Plan Energi 2009'!U31/IF(' Plan Energi 2009'!$I$31=0,1,' Plan Energi 2009'!$I$31)</f>
        <v>0</v>
      </c>
      <c r="I421" s="645"/>
      <c r="J421" s="645">
        <f>' Plan Energi 2011'!U31/IF(' Plan Energi 2011'!$I$31=0,1,' Plan Energi 2011'!$I$31)</f>
        <v>0</v>
      </c>
      <c r="K421" s="645"/>
      <c r="L421" s="645">
        <f>' Plan Energi 2013'!U31/IF(' Plan Energi 2013'!$I$31=0,1,' Plan Energi 2013'!$I$31)</f>
        <v>0</v>
      </c>
      <c r="M421" s="645"/>
      <c r="N421" s="645">
        <f>' Plan Energi 2015'!U31/IF(' Plan Energi 2015'!$I$31=0,1,' Plan Energi 2015'!$I$31)</f>
        <v>0</v>
      </c>
      <c r="O421" s="645"/>
      <c r="P421" s="645">
        <f>' Plan Energi 2017'!U31/IF(' Plan Energi 2017'!$I$31=0,1,' Plan Energi 2017'!$I$31)</f>
        <v>0</v>
      </c>
      <c r="Q421" s="645"/>
      <c r="R421" s="645">
        <f>' Plan Energi 2019'!U31/IF(' Plan Energi 2019'!$I$31=0,1,' Plan Energi 2019'!$I$31)</f>
        <v>0</v>
      </c>
      <c r="S421" s="645"/>
      <c r="T421" s="726">
        <f>'Fremstilling, Gartneri, Landbru'!R67</f>
        <v>0</v>
      </c>
      <c r="U421" s="645"/>
      <c r="V421" s="726">
        <f>'Fremstilling, Gartneri, Landbru'!T67</f>
        <v>0</v>
      </c>
      <c r="W421" s="645"/>
      <c r="X421" s="604"/>
    </row>
    <row r="422" spans="1:24" x14ac:dyDescent="0.25">
      <c r="A422" s="654" t="s">
        <v>26</v>
      </c>
      <c r="B422" s="645">
        <f>' Plan Energi 2030-S'!V31/IF(' Plan Energi 2030-S'!$I$31=0,1,' Plan Energi 2030-S'!$I$31)</f>
        <v>0</v>
      </c>
      <c r="C422" s="645"/>
      <c r="D422" s="645">
        <f>' Plan Energi 2006'!V31/IF(' Plan Energi 2006'!$I$31=0,1,' Plan Energi 2006'!$I$31)</f>
        <v>0</v>
      </c>
      <c r="E422" s="645"/>
      <c r="F422" s="645">
        <f>' Plan Energi 2008'!V31/IF(' Plan Energi 2008'!$I$31=0,1,' Plan Energi 2008'!$I$31)</f>
        <v>0</v>
      </c>
      <c r="G422" s="645"/>
      <c r="H422" s="645">
        <f>' Plan Energi 2009'!V31/IF(' Plan Energi 2009'!$I$31=0,1,' Plan Energi 2009'!$I$31)</f>
        <v>0</v>
      </c>
      <c r="I422" s="645"/>
      <c r="J422" s="645">
        <f>' Plan Energi 2011'!V31/IF(' Plan Energi 2011'!$I$31=0,1,' Plan Energi 2011'!$I$31)</f>
        <v>0</v>
      </c>
      <c r="K422" s="645"/>
      <c r="L422" s="645">
        <f>' Plan Energi 2013'!V31/IF(' Plan Energi 2013'!$I$31=0,1,' Plan Energi 2013'!$I$31)</f>
        <v>0</v>
      </c>
      <c r="M422" s="645"/>
      <c r="N422" s="645">
        <f>' Plan Energi 2015'!V31/IF(' Plan Energi 2015'!$I$31=0,1,' Plan Energi 2015'!$I$31)</f>
        <v>0</v>
      </c>
      <c r="O422" s="645"/>
      <c r="P422" s="645">
        <f>' Plan Energi 2017'!V31/IF(' Plan Energi 2017'!$I$31=0,1,' Plan Energi 2017'!$I$31)</f>
        <v>0</v>
      </c>
      <c r="Q422" s="645"/>
      <c r="R422" s="645">
        <f>' Plan Energi 2019'!V31/IF(' Plan Energi 2019'!$I$31=0,1,' Plan Energi 2019'!$I$31)</f>
        <v>0</v>
      </c>
      <c r="S422" s="645"/>
      <c r="T422" s="726">
        <f>'Fremstilling, Gartneri, Landbru'!R68</f>
        <v>0</v>
      </c>
      <c r="U422" s="645"/>
      <c r="V422" s="726">
        <f>'Fremstilling, Gartneri, Landbru'!T68</f>
        <v>0</v>
      </c>
      <c r="W422" s="645"/>
      <c r="X422" s="604"/>
    </row>
    <row r="423" spans="1:24" x14ac:dyDescent="0.25">
      <c r="A423" s="629" t="s">
        <v>517</v>
      </c>
      <c r="B423" s="653"/>
      <c r="C423" s="653"/>
      <c r="D423" s="653"/>
      <c r="E423" s="653"/>
      <c r="F423" s="653"/>
      <c r="G423" s="653"/>
      <c r="H423" s="653"/>
      <c r="I423" s="653"/>
      <c r="J423" s="653"/>
      <c r="K423" s="653"/>
      <c r="L423" s="653"/>
      <c r="M423" s="653"/>
      <c r="N423" s="653"/>
      <c r="O423" s="653"/>
      <c r="P423" s="653"/>
      <c r="Q423" s="653"/>
      <c r="R423" s="653"/>
      <c r="S423" s="653"/>
      <c r="T423" s="653"/>
      <c r="U423" s="653"/>
      <c r="V423" s="653"/>
      <c r="W423" s="653"/>
      <c r="X423" s="604"/>
    </row>
    <row r="424" spans="1:24" x14ac:dyDescent="0.25">
      <c r="A424" s="654" t="s">
        <v>3</v>
      </c>
      <c r="B424" s="645">
        <f>' Plan Energi 2030-S'!I25/IF(' Plan Energi 2030-S'!X25&gt;0,' Plan Energi 2030-S'!X25,1)</f>
        <v>0.89872985364949987</v>
      </c>
      <c r="C424" s="645"/>
      <c r="D424" s="645">
        <f>' Plan Energi 2006'!I25/IF(' Plan Energi 2006'!X25&gt;0,' Plan Energi 2006'!X25,1)</f>
        <v>0</v>
      </c>
      <c r="E424" s="645"/>
      <c r="F424" s="645">
        <f>' Plan Energi 2008'!I25/IF(' Plan Energi 2008'!X25&gt;0,' Plan Energi 2008'!X25,1)</f>
        <v>0</v>
      </c>
      <c r="G424" s="645"/>
      <c r="H424" s="645">
        <f>' Plan Energi 2009'!I25/IF(' Plan Energi 2009'!X25&gt;0,' Plan Energi 2009'!X25,1)</f>
        <v>0</v>
      </c>
      <c r="I424" s="645"/>
      <c r="J424" s="645">
        <f>' Plan Energi 2011'!I25/IF(' Plan Energi 2011'!X25&gt;0,' Plan Energi 2011'!X25,1)</f>
        <v>0</v>
      </c>
      <c r="K424" s="645"/>
      <c r="L424" s="645">
        <f>' Plan Energi 2013'!I25/IF(' Plan Energi 2013'!X25&gt;0,' Plan Energi 2013'!X25,1)</f>
        <v>0</v>
      </c>
      <c r="M424" s="645"/>
      <c r="N424" s="645">
        <f>' Plan Energi 2015'!I25/IF(' Plan Energi 2015'!X25&gt;0,' Plan Energi 2015'!X25,1)</f>
        <v>0</v>
      </c>
      <c r="O424" s="645"/>
      <c r="P424" s="645">
        <f>' Plan Energi 2017'!I25/IF(' Plan Energi 2017'!X25&gt;0,' Plan Energi 2017'!X25,1)</f>
        <v>0</v>
      </c>
      <c r="Q424" s="645"/>
      <c r="R424" s="645">
        <f>' Plan Energi 2019'!I25/IF(' Plan Energi 2019'!X25&gt;0,' Plan Energi 2019'!X25,1)</f>
        <v>0</v>
      </c>
      <c r="S424" s="645"/>
      <c r="T424" s="726">
        <f>'Fremstilling, Gartneri, Landbru'!R70</f>
        <v>0.89872985364949987</v>
      </c>
      <c r="U424" s="653"/>
      <c r="V424" s="726">
        <f>'Fremstilling, Gartneri, Landbru'!T70</f>
        <v>0.38213811420982741</v>
      </c>
      <c r="W424" s="653"/>
      <c r="X424" s="604"/>
    </row>
    <row r="425" spans="1:24" x14ac:dyDescent="0.25">
      <c r="A425" s="654" t="s">
        <v>7</v>
      </c>
      <c r="B425" s="645">
        <f>' Plan Energi 2030-S'!D25/IF(' Plan Energi 2030-S'!X25&gt;0,' Plan Energi 2030-S'!X25,1)</f>
        <v>0.10051755279733235</v>
      </c>
      <c r="C425" s="645"/>
      <c r="D425" s="645">
        <f>' Plan Energi 2006'!D25/IF(' Plan Energi 2006'!X25&gt;0,' Plan Energi 2006'!X25,1)</f>
        <v>0</v>
      </c>
      <c r="E425" s="645"/>
      <c r="F425" s="645">
        <f>' Plan Energi 2008'!D25/IF(' Plan Energi 2008'!X25&gt;0,' Plan Energi 2008'!X25,1)</f>
        <v>0</v>
      </c>
      <c r="G425" s="645"/>
      <c r="H425" s="645">
        <f>' Plan Energi 2009'!D25/IF(' Plan Energi 2009'!X25&gt;0,' Plan Energi 2009'!X25,1)</f>
        <v>0</v>
      </c>
      <c r="I425" s="645"/>
      <c r="J425" s="645">
        <f>' Plan Energi 2011'!D25/IF(' Plan Energi 2011'!X25&gt;0,' Plan Energi 2011'!X25,1)</f>
        <v>0</v>
      </c>
      <c r="K425" s="645"/>
      <c r="L425" s="645">
        <f>' Plan Energi 2013'!D25/IF(' Plan Energi 2013'!X25&gt;0,' Plan Energi 2013'!X25,1)</f>
        <v>0</v>
      </c>
      <c r="M425" s="645"/>
      <c r="N425" s="645">
        <f>' Plan Energi 2015'!D25/IF(' Plan Energi 2015'!X25&gt;0,' Plan Energi 2015'!X25,1)</f>
        <v>0</v>
      </c>
      <c r="O425" s="645"/>
      <c r="P425" s="645">
        <f>' Plan Energi 2017'!D25/IF(' Plan Energi 2017'!X25&gt;0,' Plan Energi 2017'!X25,1)</f>
        <v>0</v>
      </c>
      <c r="Q425" s="645"/>
      <c r="R425" s="645">
        <f>' Plan Energi 2019'!D25/IF(' Plan Energi 2019'!X25&gt;0,' Plan Energi 2019'!X25,1)</f>
        <v>0</v>
      </c>
      <c r="S425" s="645"/>
      <c r="T425" s="726">
        <f>'Fremstilling, Gartneri, Landbru'!R71</f>
        <v>0.10051755279733235</v>
      </c>
      <c r="U425" s="645"/>
      <c r="V425" s="726">
        <f>'Fremstilling, Gartneri, Landbru'!T71</f>
        <v>0.26577025232403723</v>
      </c>
      <c r="W425" s="645"/>
      <c r="X425" s="604"/>
    </row>
    <row r="426" spans="1:24" x14ac:dyDescent="0.25">
      <c r="A426" s="654" t="s">
        <v>518</v>
      </c>
      <c r="B426" s="645">
        <f>' Plan Energi 2030-S'!S25/IF(' Plan Energi 2030-S'!X25&gt;0,' Plan Energi 2030-S'!X25,1)</f>
        <v>7.5259355316783995E-4</v>
      </c>
      <c r="C426" s="645"/>
      <c r="D426" s="645">
        <f>' Plan Energi 2006'!S25/IF(' Plan Energi 2006'!X25&gt;0,' Plan Energi 2006'!X25,1)</f>
        <v>0</v>
      </c>
      <c r="E426" s="645"/>
      <c r="F426" s="645">
        <f>' Plan Energi 2008'!S25/IF(' Plan Energi 2008'!X25&gt;0,' Plan Energi 2008'!X25,1)</f>
        <v>0</v>
      </c>
      <c r="G426" s="645"/>
      <c r="H426" s="645">
        <f>' Plan Energi 2009'!S25/IF(' Plan Energi 2009'!X25&gt;0,' Plan Energi 2009'!X25,1)</f>
        <v>0</v>
      </c>
      <c r="I426" s="645"/>
      <c r="J426" s="645">
        <f>' Plan Energi 2011'!S25/IF(' Plan Energi 2011'!X25&gt;0,' Plan Energi 2011'!X25,1)</f>
        <v>0</v>
      </c>
      <c r="K426" s="645"/>
      <c r="L426" s="645">
        <f>' Plan Energi 2013'!S25/IF(' Plan Energi 2013'!X25&gt;0,' Plan Energi 2013'!X25,1)</f>
        <v>0</v>
      </c>
      <c r="M426" s="645"/>
      <c r="N426" s="645">
        <f>' Plan Energi 2015'!S25/IF(' Plan Energi 2015'!X25&gt;0,' Plan Energi 2015'!X25,1)</f>
        <v>0</v>
      </c>
      <c r="O426" s="645"/>
      <c r="P426" s="645">
        <f>' Plan Energi 2017'!S25/IF(' Plan Energi 2017'!X25&gt;0,' Plan Energi 2017'!X25,1)</f>
        <v>0</v>
      </c>
      <c r="Q426" s="645"/>
      <c r="R426" s="645">
        <f>' Plan Energi 2019'!S25/IF(' Plan Energi 2019'!X25&gt;0,' Plan Energi 2019'!X25,1)</f>
        <v>0</v>
      </c>
      <c r="S426" s="645"/>
      <c r="T426" s="726">
        <f>'Fremstilling, Gartneri, Landbru'!R72</f>
        <v>7.525935531677852E-4</v>
      </c>
      <c r="U426" s="645"/>
      <c r="V426" s="726">
        <f>'Fremstilling, Gartneri, Landbru'!T72</f>
        <v>0.33914342629482058</v>
      </c>
      <c r="W426" s="645"/>
      <c r="X426" s="604"/>
    </row>
    <row r="427" spans="1:24" x14ac:dyDescent="0.25">
      <c r="A427" s="654" t="s">
        <v>519</v>
      </c>
      <c r="B427" s="645">
        <f>' Plan Energi 2030-S'!W25/IF(' Plan Energi 2030-S'!X25&gt;0,' Plan Energi 2030-S'!X25,1)</f>
        <v>0</v>
      </c>
      <c r="C427" s="645"/>
      <c r="D427" s="645">
        <f>' Plan Energi 2006'!W25/IF(' Plan Energi 2006'!X25&gt;0,' Plan Energi 2006'!X25,1)</f>
        <v>0</v>
      </c>
      <c r="E427" s="645"/>
      <c r="F427" s="645">
        <f>' Plan Energi 2008'!W25/IF(' Plan Energi 2008'!X25&gt;0,' Plan Energi 2008'!X25,1)</f>
        <v>0</v>
      </c>
      <c r="G427" s="645"/>
      <c r="H427" s="645">
        <f>' Plan Energi 2009'!W25/IF(' Plan Energi 2009'!X25&gt;0,' Plan Energi 2009'!X25,1)</f>
        <v>0</v>
      </c>
      <c r="I427" s="645"/>
      <c r="J427" s="645">
        <f>' Plan Energi 2011'!W25/IF(' Plan Energi 2011'!X25&gt;0,' Plan Energi 2011'!X25,1)</f>
        <v>0</v>
      </c>
      <c r="K427" s="645"/>
      <c r="L427" s="645">
        <f>' Plan Energi 2013'!W25/IF(' Plan Energi 2013'!X25&gt;0,' Plan Energi 2013'!X25,1)</f>
        <v>0</v>
      </c>
      <c r="M427" s="645"/>
      <c r="N427" s="645">
        <f>' Plan Energi 2015'!W25/IF(' Plan Energi 2015'!X25&gt;0,' Plan Energi 2015'!X25,1)</f>
        <v>0</v>
      </c>
      <c r="O427" s="645"/>
      <c r="P427" s="645">
        <f>' Plan Energi 2017'!W25/IF(' Plan Energi 2017'!X25&gt;0,' Plan Energi 2017'!X25,1)</f>
        <v>0</v>
      </c>
      <c r="Q427" s="645"/>
      <c r="R427" s="645">
        <f>' Plan Energi 2019'!W25/IF(' Plan Energi 2019'!X25&gt;0,' Plan Energi 2019'!X25,1)</f>
        <v>0</v>
      </c>
      <c r="S427" s="645"/>
      <c r="T427" s="726">
        <f>'Fremstilling, Gartneri, Landbru'!R73</f>
        <v>0</v>
      </c>
      <c r="U427" s="645"/>
      <c r="V427" s="726">
        <f>'Fremstilling, Gartneri, Landbru'!T73</f>
        <v>1.2948207171314743E-2</v>
      </c>
      <c r="W427" s="645"/>
      <c r="X427" s="604"/>
    </row>
    <row r="428" spans="1:24" x14ac:dyDescent="0.25">
      <c r="A428" s="629" t="s">
        <v>371</v>
      </c>
      <c r="B428" s="740"/>
      <c r="C428" s="740"/>
      <c r="D428" s="740"/>
      <c r="E428" s="740"/>
      <c r="F428" s="740"/>
      <c r="G428" s="740"/>
      <c r="H428" s="740"/>
      <c r="I428" s="740"/>
      <c r="J428" s="740"/>
      <c r="K428" s="740"/>
      <c r="L428" s="740"/>
      <c r="M428" s="740"/>
      <c r="N428" s="740"/>
      <c r="O428" s="740"/>
      <c r="P428" s="740"/>
      <c r="Q428" s="740"/>
      <c r="R428" s="740"/>
      <c r="S428" s="740"/>
      <c r="T428" s="740"/>
      <c r="U428" s="740"/>
      <c r="V428" s="740"/>
      <c r="W428" s="740"/>
      <c r="X428" s="604"/>
    </row>
    <row r="429" spans="1:24" x14ac:dyDescent="0.25">
      <c r="A429" s="604" t="s">
        <v>1</v>
      </c>
      <c r="B429" s="650">
        <f>' Plan Energi 2030-S'!C$33/IF(' Plan Energi 2030-S'!X$33&gt;0,' Plan Energi 2030-S'!X$33,1)</f>
        <v>0</v>
      </c>
      <c r="C429" s="650"/>
      <c r="D429" s="650">
        <f>' Plan Energi 2006'!C$33/IF(' Plan Energi 2006'!X$33&gt;0,' Plan Energi 2006'!X$33,1)</f>
        <v>0</v>
      </c>
      <c r="E429" s="650"/>
      <c r="F429" s="650">
        <f>' Plan Energi 2008'!C$33/IF(' Plan Energi 2008'!X$33&gt;0,' Plan Energi 2008'!X$33,1)</f>
        <v>0</v>
      </c>
      <c r="G429" s="650"/>
      <c r="H429" s="650">
        <f>' Plan Energi 2009'!C$33/IF(' Plan Energi 2009'!X$33&gt;0,' Plan Energi 2009'!X$33,1)</f>
        <v>0</v>
      </c>
      <c r="I429" s="650"/>
      <c r="J429" s="650">
        <f>' Plan Energi 2011'!C$33/IF(' Plan Energi 2011'!X$33&gt;0,' Plan Energi 2011'!X$33,1)</f>
        <v>0</v>
      </c>
      <c r="K429" s="650"/>
      <c r="L429" s="650">
        <f>' Plan Energi 2013'!C$33/IF(' Plan Energi 2013'!X$33&gt;0,' Plan Energi 2013'!X$33,1)</f>
        <v>0</v>
      </c>
      <c r="M429" s="650"/>
      <c r="N429" s="650">
        <f>' Plan Energi 2015'!C$33/IF(' Plan Energi 2015'!X$33&gt;0,' Plan Energi 2015'!X$33,1)</f>
        <v>0</v>
      </c>
      <c r="O429" s="650"/>
      <c r="P429" s="650">
        <f>' Plan Energi 2017'!C$33/IF(' Plan Energi 2017'!X$33&gt;0,' Plan Energi 2017'!X$33,1)</f>
        <v>0</v>
      </c>
      <c r="Q429" s="650"/>
      <c r="R429" s="650">
        <f>' Plan Energi 2019'!C$33/IF(' Plan Energi 2019'!X$33&gt;0,' Plan Energi 2019'!X$33,1)</f>
        <v>0</v>
      </c>
      <c r="S429" s="650"/>
      <c r="T429" s="726">
        <f>Fjernvarme!J59</f>
        <v>0</v>
      </c>
      <c r="U429" s="650"/>
      <c r="V429" s="726">
        <f>Fjernvarme!L59</f>
        <v>0</v>
      </c>
      <c r="W429" s="650"/>
      <c r="X429" s="604"/>
    </row>
    <row r="430" spans="1:24" x14ac:dyDescent="0.25">
      <c r="A430" s="604" t="s">
        <v>7</v>
      </c>
      <c r="B430" s="650">
        <f>' Plan Energi 2030-S'!D$33/IF(' Plan Energi 2030-S'!X$33&gt;0,' Plan Energi 2030-S'!X$33,1)</f>
        <v>0</v>
      </c>
      <c r="C430" s="650"/>
      <c r="D430" s="650">
        <f>' Plan Energi 2006'!D$33/IF(' Plan Energi 2006'!X$33&gt;0,' Plan Energi 2006'!X$33,1)</f>
        <v>0</v>
      </c>
      <c r="E430" s="650"/>
      <c r="F430" s="650">
        <f>' Plan Energi 2008'!D$33/IF(' Plan Energi 2008'!X$33&gt;0,' Plan Energi 2008'!X$33,1)</f>
        <v>0</v>
      </c>
      <c r="G430" s="650"/>
      <c r="H430" s="650">
        <f>' Plan Energi 2009'!D$33/IF(' Plan Energi 2009'!X$33&gt;0,' Plan Energi 2009'!X$33,1)</f>
        <v>0</v>
      </c>
      <c r="I430" s="650"/>
      <c r="J430" s="650">
        <f>' Plan Energi 2011'!D$33/IF(' Plan Energi 2011'!X$33&gt;0,' Plan Energi 2011'!X$33,1)</f>
        <v>0</v>
      </c>
      <c r="K430" s="650"/>
      <c r="L430" s="650">
        <f>' Plan Energi 2013'!D$33/IF(' Plan Energi 2013'!X$33&gt;0,' Plan Energi 2013'!X$33,1)</f>
        <v>0</v>
      </c>
      <c r="M430" s="650"/>
      <c r="N430" s="650">
        <f>' Plan Energi 2015'!D$33/IF(' Plan Energi 2015'!X$33&gt;0,' Plan Energi 2015'!X$33,1)</f>
        <v>0</v>
      </c>
      <c r="O430" s="650"/>
      <c r="P430" s="650">
        <f>' Plan Energi 2017'!D$33/IF(' Plan Energi 2017'!X$33&gt;0,' Plan Energi 2017'!X$33,1)</f>
        <v>0</v>
      </c>
      <c r="Q430" s="650"/>
      <c r="R430" s="650">
        <f>' Plan Energi 2019'!D$33/IF(' Plan Energi 2019'!X$33&gt;0,' Plan Energi 2019'!X$33,1)</f>
        <v>0</v>
      </c>
      <c r="S430" s="650"/>
      <c r="T430" s="726">
        <f>Fjernvarme!J60</f>
        <v>0</v>
      </c>
      <c r="U430" s="650"/>
      <c r="V430" s="726">
        <f>Fjernvarme!L60</f>
        <v>0</v>
      </c>
      <c r="W430" s="650"/>
      <c r="X430" s="604"/>
    </row>
    <row r="431" spans="1:24" x14ac:dyDescent="0.25">
      <c r="A431" s="604" t="s">
        <v>3</v>
      </c>
      <c r="B431" s="650">
        <f>' Plan Energi 2030-S'!I$33/IF(' Plan Energi 2030-S'!X$33&gt;0,' Plan Energi 2030-S'!X$33,1)</f>
        <v>0</v>
      </c>
      <c r="C431" s="650"/>
      <c r="D431" s="650">
        <f>' Plan Energi 2006'!I$33/IF(' Plan Energi 2006'!X$33&gt;0,' Plan Energi 2006'!X$33,1)</f>
        <v>0</v>
      </c>
      <c r="E431" s="650"/>
      <c r="F431" s="650">
        <f>' Plan Energi 2008'!I$33/IF(' Plan Energi 2008'!X$33&gt;0,' Plan Energi 2008'!X$33,1)</f>
        <v>0</v>
      </c>
      <c r="G431" s="650"/>
      <c r="H431" s="650">
        <f>' Plan Energi 2009'!I$33/IF(' Plan Energi 2009'!X$33&gt;0,' Plan Energi 2009'!X$33,1)</f>
        <v>0</v>
      </c>
      <c r="I431" s="650"/>
      <c r="J431" s="650">
        <f>' Plan Energi 2011'!I$33/IF(' Plan Energi 2011'!X$33&gt;0,' Plan Energi 2011'!X$33,1)</f>
        <v>0</v>
      </c>
      <c r="K431" s="650"/>
      <c r="L431" s="650">
        <f>' Plan Energi 2013'!I$33/IF(' Plan Energi 2013'!X$33&gt;0,' Plan Energi 2013'!X$33,1)</f>
        <v>0</v>
      </c>
      <c r="M431" s="650"/>
      <c r="N431" s="650">
        <f>' Plan Energi 2015'!I$33/IF(' Plan Energi 2015'!X$33&gt;0,' Plan Energi 2015'!X$33,1)</f>
        <v>0</v>
      </c>
      <c r="O431" s="650"/>
      <c r="P431" s="650">
        <f>' Plan Energi 2017'!I$33/IF(' Plan Energi 2017'!X$33&gt;0,' Plan Energi 2017'!X$33,1)</f>
        <v>0</v>
      </c>
      <c r="Q431" s="650"/>
      <c r="R431" s="650">
        <f>' Plan Energi 2019'!I$33/IF(' Plan Energi 2019'!X$33&gt;0,' Plan Energi 2019'!X$33,1)</f>
        <v>0</v>
      </c>
      <c r="S431" s="650"/>
      <c r="T431" s="726">
        <f>Fjernvarme!J61</f>
        <v>0</v>
      </c>
      <c r="U431" s="650"/>
      <c r="V431" s="726">
        <f>Fjernvarme!L61</f>
        <v>0</v>
      </c>
      <c r="W431" s="650"/>
      <c r="X431" s="604"/>
    </row>
    <row r="432" spans="1:24" x14ac:dyDescent="0.25">
      <c r="A432" s="604" t="s">
        <v>373</v>
      </c>
      <c r="B432" s="650">
        <f>' Plan Energi 2030-S'!O$33/IF(' Plan Energi 2030-S'!X$33&gt;0,' Plan Energi 2030-S'!X$33,1)</f>
        <v>0</v>
      </c>
      <c r="C432" s="650"/>
      <c r="D432" s="650">
        <f>' Plan Energi 2006'!O$33/IF(' Plan Energi 2006'!X$33&gt;0,' Plan Energi 2006'!X$33,1)</f>
        <v>0</v>
      </c>
      <c r="E432" s="650"/>
      <c r="F432" s="650">
        <f>' Plan Energi 2008'!O$33/IF(' Plan Energi 2008'!X$33&gt;0,' Plan Energi 2008'!X$33,1)</f>
        <v>0</v>
      </c>
      <c r="G432" s="650"/>
      <c r="H432" s="650">
        <f>' Plan Energi 2009'!O$33/IF(' Plan Energi 2009'!X$33&gt;0,' Plan Energi 2009'!X$33,1)</f>
        <v>0</v>
      </c>
      <c r="I432" s="650"/>
      <c r="J432" s="650">
        <f>' Plan Energi 2011'!O$33/IF(' Plan Energi 2011'!X$33&gt;0,' Plan Energi 2011'!X$33,1)</f>
        <v>0</v>
      </c>
      <c r="K432" s="650"/>
      <c r="L432" s="650">
        <f>' Plan Energi 2013'!O$33/IF(' Plan Energi 2013'!X$33&gt;0,' Plan Energi 2013'!X$33,1)</f>
        <v>0</v>
      </c>
      <c r="M432" s="650"/>
      <c r="N432" s="650">
        <f>' Plan Energi 2015'!O$33/IF(' Plan Energi 2015'!X$33&gt;0,' Plan Energi 2015'!X$33,1)</f>
        <v>0</v>
      </c>
      <c r="O432" s="650"/>
      <c r="P432" s="650">
        <f>' Plan Energi 2017'!O$33/IF(' Plan Energi 2017'!X$33&gt;0,' Plan Energi 2017'!X$33,1)</f>
        <v>0</v>
      </c>
      <c r="Q432" s="650"/>
      <c r="R432" s="650">
        <f>' Plan Energi 2019'!O$33/IF(' Plan Energi 2019'!X$33&gt;0,' Plan Energi 2019'!X$33,1)</f>
        <v>0</v>
      </c>
      <c r="S432" s="650"/>
      <c r="T432" s="726">
        <f>Fjernvarme!J62</f>
        <v>0</v>
      </c>
      <c r="U432" s="650"/>
      <c r="V432" s="726">
        <f>Fjernvarme!L62</f>
        <v>0</v>
      </c>
      <c r="W432" s="650"/>
      <c r="X432" s="604"/>
    </row>
    <row r="433" spans="1:24" x14ac:dyDescent="0.25">
      <c r="A433" s="604" t="s">
        <v>374</v>
      </c>
      <c r="B433" s="650">
        <f>' Plan Energi 2030-S'!P$33/IF(' Plan Energi 2030-S'!X$33&gt;0,' Plan Energi 2030-S'!X$33,1)</f>
        <v>0</v>
      </c>
      <c r="C433" s="650"/>
      <c r="D433" s="650">
        <f>' Plan Energi 2006'!P$33/IF(' Plan Energi 2006'!X$33&gt;0,' Plan Energi 2006'!X$33,1)</f>
        <v>0</v>
      </c>
      <c r="E433" s="650"/>
      <c r="F433" s="650">
        <f>' Plan Energi 2008'!P$33/IF(' Plan Energi 2008'!X$33&gt;0,' Plan Energi 2008'!X$33,1)</f>
        <v>0</v>
      </c>
      <c r="G433" s="650"/>
      <c r="H433" s="650">
        <f>' Plan Energi 2009'!P$33/IF(' Plan Energi 2009'!X$33&gt;0,' Plan Energi 2009'!X$33,1)</f>
        <v>0</v>
      </c>
      <c r="I433" s="650"/>
      <c r="J433" s="650">
        <f>' Plan Energi 2011'!P$33/IF(' Plan Energi 2011'!X$33&gt;0,' Plan Energi 2011'!X$33,1)</f>
        <v>0</v>
      </c>
      <c r="K433" s="650"/>
      <c r="L433" s="650">
        <f>' Plan Energi 2013'!P$33/IF(' Plan Energi 2013'!X$33&gt;0,' Plan Energi 2013'!X$33,1)</f>
        <v>0</v>
      </c>
      <c r="M433" s="650"/>
      <c r="N433" s="650">
        <f>' Plan Energi 2015'!P$33/IF(' Plan Energi 2015'!X$33&gt;0,' Plan Energi 2015'!X$33,1)</f>
        <v>0</v>
      </c>
      <c r="O433" s="650"/>
      <c r="P433" s="650">
        <f>' Plan Energi 2017'!P$33/IF(' Plan Energi 2017'!X$33&gt;0,' Plan Energi 2017'!X$33,1)</f>
        <v>0</v>
      </c>
      <c r="Q433" s="650"/>
      <c r="R433" s="650">
        <f>' Plan Energi 2019'!P$33/IF(' Plan Energi 2019'!X$33&gt;0,' Plan Energi 2019'!X$33,1)</f>
        <v>0</v>
      </c>
      <c r="S433" s="650"/>
      <c r="T433" s="726">
        <f>Fjernvarme!J63</f>
        <v>0</v>
      </c>
      <c r="U433" s="650"/>
      <c r="V433" s="726">
        <f>Fjernvarme!L63</f>
        <v>0</v>
      </c>
      <c r="W433" s="650"/>
      <c r="X433" s="604"/>
    </row>
    <row r="434" spans="1:24" x14ac:dyDescent="0.25">
      <c r="A434" s="604" t="s">
        <v>21</v>
      </c>
      <c r="B434" s="650">
        <f>' Plan Energi 2030-S'!Q$33/IF(' Plan Energi 2030-S'!X$33&gt;0,' Plan Energi 2030-S'!X$33,1)</f>
        <v>0</v>
      </c>
      <c r="C434" s="650"/>
      <c r="D434" s="650">
        <f>' Plan Energi 2006'!Q$33/IF(' Plan Energi 2006'!X$33&gt;0,' Plan Energi 2006'!X$33,1)</f>
        <v>0</v>
      </c>
      <c r="E434" s="650"/>
      <c r="F434" s="650">
        <f>' Plan Energi 2008'!Q$33/IF(' Plan Energi 2008'!X$33&gt;0,' Plan Energi 2008'!X$33,1)</f>
        <v>0</v>
      </c>
      <c r="G434" s="650"/>
      <c r="H434" s="650">
        <f>' Plan Energi 2009'!Q$33/IF(' Plan Energi 2009'!X$33&gt;0,' Plan Energi 2009'!X$33,1)</f>
        <v>0</v>
      </c>
      <c r="I434" s="650"/>
      <c r="J434" s="650">
        <f>' Plan Energi 2011'!Q$33/IF(' Plan Energi 2011'!X$33&gt;0,' Plan Energi 2011'!X$33,1)</f>
        <v>0</v>
      </c>
      <c r="K434" s="650"/>
      <c r="L434" s="650">
        <f>' Plan Energi 2013'!Q$33/IF(' Plan Energi 2013'!X$33&gt;0,' Plan Energi 2013'!X$33,1)</f>
        <v>0</v>
      </c>
      <c r="M434" s="650"/>
      <c r="N434" s="650">
        <f>' Plan Energi 2015'!Q$33/IF(' Plan Energi 2015'!X$33&gt;0,' Plan Energi 2015'!X$33,1)</f>
        <v>0</v>
      </c>
      <c r="O434" s="650"/>
      <c r="P434" s="650">
        <f>' Plan Energi 2017'!Q$33/IF(' Plan Energi 2017'!X$33&gt;0,' Plan Energi 2017'!X$33,1)</f>
        <v>0</v>
      </c>
      <c r="Q434" s="650"/>
      <c r="R434" s="650">
        <f>' Plan Energi 2019'!Q$33/IF(' Plan Energi 2019'!X$33&gt;0,' Plan Energi 2019'!X$33,1)</f>
        <v>0</v>
      </c>
      <c r="S434" s="650"/>
      <c r="T434" s="726">
        <f>Fjernvarme!J64</f>
        <v>0</v>
      </c>
      <c r="U434" s="650"/>
      <c r="V434" s="726">
        <f>Fjernvarme!L64</f>
        <v>0</v>
      </c>
      <c r="W434" s="650"/>
      <c r="X434" s="604"/>
    </row>
    <row r="435" spans="1:24" x14ac:dyDescent="0.25">
      <c r="A435" s="604" t="s">
        <v>375</v>
      </c>
      <c r="B435" s="650">
        <f>' Plan Energi 2030-S'!R$33/IF(' Plan Energi 2030-S'!X$33&gt;0,' Plan Energi 2030-S'!X$33,1)</f>
        <v>0</v>
      </c>
      <c r="C435" s="650"/>
      <c r="D435" s="650">
        <f>' Plan Energi 2006'!R$33/IF(' Plan Energi 2006'!X$33&gt;0,' Plan Energi 2006'!X$33,1)</f>
        <v>0</v>
      </c>
      <c r="E435" s="650"/>
      <c r="F435" s="650">
        <f>' Plan Energi 2008'!R$33/IF(' Plan Energi 2008'!X$33&gt;0,' Plan Energi 2008'!X$33,1)</f>
        <v>0</v>
      </c>
      <c r="G435" s="650"/>
      <c r="H435" s="650">
        <f>' Plan Energi 2009'!R$33/IF(' Plan Energi 2009'!X$33&gt;0,' Plan Energi 2009'!X$33,1)</f>
        <v>0</v>
      </c>
      <c r="I435" s="650"/>
      <c r="J435" s="650">
        <f>' Plan Energi 2011'!R$33/IF(' Plan Energi 2011'!X$33&gt;0,' Plan Energi 2011'!X$33,1)</f>
        <v>0</v>
      </c>
      <c r="K435" s="650"/>
      <c r="L435" s="650">
        <f>' Plan Energi 2013'!R$33/IF(' Plan Energi 2013'!X$33&gt;0,' Plan Energi 2013'!X$33,1)</f>
        <v>0</v>
      </c>
      <c r="M435" s="650"/>
      <c r="N435" s="650">
        <f>' Plan Energi 2015'!R$33/IF(' Plan Energi 2015'!X$33&gt;0,' Plan Energi 2015'!X$33,1)</f>
        <v>0</v>
      </c>
      <c r="O435" s="650"/>
      <c r="P435" s="650">
        <f>' Plan Energi 2017'!R$33/IF(' Plan Energi 2017'!X$33&gt;0,' Plan Energi 2017'!X$33,1)</f>
        <v>0</v>
      </c>
      <c r="Q435" s="650"/>
      <c r="R435" s="650">
        <f>' Plan Energi 2019'!R$33/IF(' Plan Energi 2019'!X$33&gt;0,' Plan Energi 2019'!X$33,1)</f>
        <v>0</v>
      </c>
      <c r="S435" s="650"/>
      <c r="T435" s="726">
        <f>Fjernvarme!J65</f>
        <v>0</v>
      </c>
      <c r="U435" s="650"/>
      <c r="V435" s="726">
        <f>Fjernvarme!L65</f>
        <v>0</v>
      </c>
      <c r="W435" s="650"/>
      <c r="X435" s="604"/>
    </row>
    <row r="436" spans="1:24" x14ac:dyDescent="0.25">
      <c r="A436" s="604" t="s">
        <v>23</v>
      </c>
      <c r="B436" s="650">
        <f>' Plan Energi 2030-S'!S$33/IF(' Plan Energi 2030-S'!X$33&gt;0,' Plan Energi 2030-S'!X$33,1)</f>
        <v>0</v>
      </c>
      <c r="C436" s="650"/>
      <c r="D436" s="650">
        <f>' Plan Energi 2006'!S$33/IF(' Plan Energi 2006'!X$33&gt;0,' Plan Energi 2006'!X$33,1)</f>
        <v>0</v>
      </c>
      <c r="E436" s="650"/>
      <c r="F436" s="650">
        <f>' Plan Energi 2008'!S$33/IF(' Plan Energi 2008'!X$33&gt;0,' Plan Energi 2008'!X$33,1)</f>
        <v>0</v>
      </c>
      <c r="G436" s="650"/>
      <c r="H436" s="650">
        <f>' Plan Energi 2009'!S$33/IF(' Plan Energi 2009'!X$33&gt;0,' Plan Energi 2009'!X$33,1)</f>
        <v>0</v>
      </c>
      <c r="I436" s="650"/>
      <c r="J436" s="650">
        <f>' Plan Energi 2011'!S$33/IF(' Plan Energi 2011'!X$33&gt;0,' Plan Energi 2011'!X$33,1)</f>
        <v>0</v>
      </c>
      <c r="K436" s="650"/>
      <c r="L436" s="650">
        <f>' Plan Energi 2013'!S$33/IF(' Plan Energi 2013'!X$33&gt;0,' Plan Energi 2013'!X$33,1)</f>
        <v>0</v>
      </c>
      <c r="M436" s="650"/>
      <c r="N436" s="650">
        <f>' Plan Energi 2015'!S$33/IF(' Plan Energi 2015'!X$33&gt;0,' Plan Energi 2015'!X$33,1)</f>
        <v>0</v>
      </c>
      <c r="O436" s="650"/>
      <c r="P436" s="650">
        <f>' Plan Energi 2017'!S$33/IF(' Plan Energi 2017'!X$33&gt;0,' Plan Energi 2017'!X$33,1)</f>
        <v>0</v>
      </c>
      <c r="Q436" s="650"/>
      <c r="R436" s="650">
        <f>' Plan Energi 2019'!S$33/IF(' Plan Energi 2019'!X$33&gt;0,' Plan Energi 2019'!X$33,1)</f>
        <v>0</v>
      </c>
      <c r="S436" s="650"/>
      <c r="T436" s="726">
        <f>Fjernvarme!J66</f>
        <v>0</v>
      </c>
      <c r="U436" s="650"/>
      <c r="V436" s="726">
        <f>Fjernvarme!L66</f>
        <v>0</v>
      </c>
      <c r="W436" s="650"/>
      <c r="X436" s="604"/>
    </row>
    <row r="437" spans="1:24" x14ac:dyDescent="0.25">
      <c r="A437" s="604" t="s">
        <v>26</v>
      </c>
      <c r="B437" s="650">
        <f>' Plan Energi 2030-S'!V$33/IF(' Plan Energi 2030-S'!X$33&gt;0,' Plan Energi 2030-S'!X$33,1)</f>
        <v>0</v>
      </c>
      <c r="C437" s="650"/>
      <c r="D437" s="650">
        <f>' Plan Energi 2006'!V$33/IF(' Plan Energi 2006'!X$33&gt;0,' Plan Energi 2006'!X$33,1)</f>
        <v>0</v>
      </c>
      <c r="E437" s="650"/>
      <c r="F437" s="650">
        <f>' Plan Energi 2008'!V$33/IF(' Plan Energi 2008'!X$33&gt;0,' Plan Energi 2008'!X$33,1)</f>
        <v>0</v>
      </c>
      <c r="G437" s="650"/>
      <c r="H437" s="650">
        <f>' Plan Energi 2009'!V$33/IF(' Plan Energi 2009'!X$33&gt;0,' Plan Energi 2009'!X$33,1)</f>
        <v>0</v>
      </c>
      <c r="I437" s="650"/>
      <c r="J437" s="650">
        <f>' Plan Energi 2011'!V$33/IF(' Plan Energi 2011'!X$33&gt;0,' Plan Energi 2011'!X$33,1)</f>
        <v>0</v>
      </c>
      <c r="K437" s="650"/>
      <c r="L437" s="650">
        <f>' Plan Energi 2013'!V$33/IF(' Plan Energi 2013'!X$33&gt;0,' Plan Energi 2013'!X$33,1)</f>
        <v>0</v>
      </c>
      <c r="M437" s="650"/>
      <c r="N437" s="650">
        <f>' Plan Energi 2015'!V$33/IF(' Plan Energi 2015'!X$33&gt;0,' Plan Energi 2015'!X$33,1)</f>
        <v>0</v>
      </c>
      <c r="O437" s="650"/>
      <c r="P437" s="650">
        <f>' Plan Energi 2017'!V$33/IF(' Plan Energi 2017'!X$33&gt;0,' Plan Energi 2017'!X$33,1)</f>
        <v>0</v>
      </c>
      <c r="Q437" s="650"/>
      <c r="R437" s="650">
        <f>' Plan Energi 2019'!V$33/IF(' Plan Energi 2019'!X$33&gt;0,' Plan Energi 2019'!X$33,1)</f>
        <v>0</v>
      </c>
      <c r="S437" s="650"/>
      <c r="T437" s="726">
        <f>Fjernvarme!J67</f>
        <v>0</v>
      </c>
      <c r="U437" s="650"/>
      <c r="V437" s="726">
        <f>Fjernvarme!L67</f>
        <v>0</v>
      </c>
      <c r="W437" s="650"/>
      <c r="X437" s="604"/>
    </row>
    <row r="438" spans="1:24" x14ac:dyDescent="0.25">
      <c r="A438" s="629" t="s">
        <v>376</v>
      </c>
      <c r="B438" s="650"/>
      <c r="C438" s="650"/>
      <c r="D438" s="650"/>
      <c r="E438" s="650"/>
      <c r="F438" s="650"/>
      <c r="G438" s="650"/>
      <c r="H438" s="650"/>
      <c r="I438" s="650"/>
      <c r="J438" s="650"/>
      <c r="K438" s="650"/>
      <c r="L438" s="650"/>
      <c r="M438" s="650"/>
      <c r="N438" s="650"/>
      <c r="O438" s="650"/>
      <c r="P438" s="650"/>
      <c r="Q438" s="650"/>
      <c r="R438" s="650"/>
      <c r="S438" s="650"/>
      <c r="T438" s="650"/>
      <c r="U438" s="650"/>
      <c r="V438" s="650"/>
      <c r="W438" s="650"/>
      <c r="X438" s="604"/>
    </row>
    <row r="439" spans="1:24" x14ac:dyDescent="0.25">
      <c r="A439" s="604" t="s">
        <v>7</v>
      </c>
      <c r="B439" s="650">
        <f>' Plan Energi 2030-S'!D$34/IF(' Plan Energi 2030-S'!X$34&gt;0,' Plan Energi 2030-S'!X$34,1)</f>
        <v>0</v>
      </c>
      <c r="C439" s="650"/>
      <c r="D439" s="650">
        <f>' Plan Energi 2006'!D$34/IF(' Plan Energi 2006'!X$34&gt;0,' Plan Energi 2006'!X$34,1)</f>
        <v>0</v>
      </c>
      <c r="E439" s="650"/>
      <c r="F439" s="650">
        <f>' Plan Energi 2008'!D$34/IF(' Plan Energi 2008'!X$34&gt;0,' Plan Energi 2008'!X$34,1)</f>
        <v>0</v>
      </c>
      <c r="G439" s="650"/>
      <c r="H439" s="650">
        <f>' Plan Energi 2009'!D$34/IF(' Plan Energi 2009'!X$34&gt;0,' Plan Energi 2009'!X$34,1)</f>
        <v>0</v>
      </c>
      <c r="I439" s="650"/>
      <c r="J439" s="650">
        <f>' Plan Energi 2011'!D$34/IF(' Plan Energi 2011'!X$34&gt;0,' Plan Energi 2011'!X$34,1)</f>
        <v>0</v>
      </c>
      <c r="K439" s="650"/>
      <c r="L439" s="650">
        <f>' Plan Energi 2013'!D$34/IF(' Plan Energi 2013'!X$34&gt;0,' Plan Energi 2013'!X$34,1)</f>
        <v>0</v>
      </c>
      <c r="M439" s="650"/>
      <c r="N439" s="650">
        <f>' Plan Energi 2015'!D$34/IF(' Plan Energi 2015'!X$34&gt;0,' Plan Energi 2015'!X$34,1)</f>
        <v>0</v>
      </c>
      <c r="O439" s="650"/>
      <c r="P439" s="650">
        <f>' Plan Energi 2017'!D$34/IF(' Plan Energi 2017'!X$34&gt;0,' Plan Energi 2017'!X$34,1)</f>
        <v>0</v>
      </c>
      <c r="Q439" s="650"/>
      <c r="R439" s="650">
        <f>' Plan Energi 2019'!D$34/IF(' Plan Energi 2019'!X$34&gt;0,' Plan Energi 2019'!X$34,1)</f>
        <v>0</v>
      </c>
      <c r="S439" s="650"/>
      <c r="T439" s="726">
        <f>Fjernvarme!J69</f>
        <v>0</v>
      </c>
      <c r="U439" s="650"/>
      <c r="V439" s="726">
        <f>Fjernvarme!L69</f>
        <v>0</v>
      </c>
      <c r="W439" s="650"/>
      <c r="X439" s="604"/>
    </row>
    <row r="440" spans="1:24" x14ac:dyDescent="0.25">
      <c r="A440" s="604" t="s">
        <v>8</v>
      </c>
      <c r="B440" s="650">
        <f>' Plan Energi 2030-S'!E$34/IF(' Plan Energi 2030-S'!X$34&gt;0,' Plan Energi 2030-S'!X$34,1)</f>
        <v>0</v>
      </c>
      <c r="C440" s="650"/>
      <c r="D440" s="650">
        <f>' Plan Energi 2006'!E$34/IF(' Plan Energi 2006'!X$34&gt;0,' Plan Energi 2006'!X$34,1)</f>
        <v>0</v>
      </c>
      <c r="E440" s="650"/>
      <c r="F440" s="650">
        <f>' Plan Energi 2008'!E$34/IF(' Plan Energi 2008'!X$34&gt;0,' Plan Energi 2008'!X$34,1)</f>
        <v>0</v>
      </c>
      <c r="G440" s="650"/>
      <c r="H440" s="650">
        <f>' Plan Energi 2009'!E$34/IF(' Plan Energi 2009'!X$34&gt;0,' Plan Energi 2009'!X$34,1)</f>
        <v>0</v>
      </c>
      <c r="I440" s="650"/>
      <c r="J440" s="650">
        <f>' Plan Energi 2011'!E$34/IF(' Plan Energi 2011'!X$34&gt;0,' Plan Energi 2011'!X$34,1)</f>
        <v>0</v>
      </c>
      <c r="K440" s="650"/>
      <c r="L440" s="650">
        <f>' Plan Energi 2013'!E$34/IF(' Plan Energi 2013'!X$34&gt;0,' Plan Energi 2013'!X$34,1)</f>
        <v>0</v>
      </c>
      <c r="M440" s="650"/>
      <c r="N440" s="650">
        <f>' Plan Energi 2015'!E$34/IF(' Plan Energi 2015'!X$34&gt;0,' Plan Energi 2015'!X$34,1)</f>
        <v>0</v>
      </c>
      <c r="O440" s="650"/>
      <c r="P440" s="650">
        <f>' Plan Energi 2017'!E$34/IF(' Plan Energi 2017'!X$34&gt;0,' Plan Energi 2017'!X$34,1)</f>
        <v>0</v>
      </c>
      <c r="Q440" s="650"/>
      <c r="R440" s="650">
        <f>' Plan Energi 2019'!E$34/IF(' Plan Energi 2019'!X$34&gt;0,' Plan Energi 2019'!X$34,1)</f>
        <v>0</v>
      </c>
      <c r="S440" s="650"/>
      <c r="T440" s="726">
        <f>Fjernvarme!J70</f>
        <v>0</v>
      </c>
      <c r="U440" s="650"/>
      <c r="V440" s="726">
        <f>Fjernvarme!L70</f>
        <v>0</v>
      </c>
      <c r="W440" s="650"/>
      <c r="X440" s="604"/>
    </row>
    <row r="441" spans="1:24" x14ac:dyDescent="0.25">
      <c r="A441" s="604" t="s">
        <v>9</v>
      </c>
      <c r="B441" s="650">
        <f>' Plan Energi 2030-S'!F$34/IF(' Plan Energi 2030-S'!X$34&gt;0,' Plan Energi 2030-S'!X$34,1)</f>
        <v>0</v>
      </c>
      <c r="C441" s="650"/>
      <c r="D441" s="650">
        <f>' Plan Energi 2006'!F$34/IF(' Plan Energi 2006'!X$34&gt;0,' Plan Energi 2006'!X$34,1)</f>
        <v>0</v>
      </c>
      <c r="E441" s="650"/>
      <c r="F441" s="650">
        <f>' Plan Energi 2008'!F$34/IF(' Plan Energi 2008'!X$34&gt;0,' Plan Energi 2008'!X$34,1)</f>
        <v>0</v>
      </c>
      <c r="G441" s="650"/>
      <c r="H441" s="650">
        <f>' Plan Energi 2009'!F$34/IF(' Plan Energi 2009'!X$34&gt;0,' Plan Energi 2009'!X$34,1)</f>
        <v>0</v>
      </c>
      <c r="I441" s="650"/>
      <c r="J441" s="650">
        <f>' Plan Energi 2011'!F$34/IF(' Plan Energi 2011'!X$34&gt;0,' Plan Energi 2011'!X$34,1)</f>
        <v>0</v>
      </c>
      <c r="K441" s="650"/>
      <c r="L441" s="650">
        <f>' Plan Energi 2013'!F$34/IF(' Plan Energi 2013'!X$34&gt;0,' Plan Energi 2013'!X$34,1)</f>
        <v>0</v>
      </c>
      <c r="M441" s="650"/>
      <c r="N441" s="650">
        <f>' Plan Energi 2015'!F$34/IF(' Plan Energi 2015'!X$34&gt;0,' Plan Energi 2015'!X$34,1)</f>
        <v>0</v>
      </c>
      <c r="O441" s="650"/>
      <c r="P441" s="650">
        <f>' Plan Energi 2017'!F$34/IF(' Plan Energi 2017'!X$34&gt;0,' Plan Energi 2017'!X$34,1)</f>
        <v>0</v>
      </c>
      <c r="Q441" s="650"/>
      <c r="R441" s="650">
        <f>' Plan Energi 2019'!F$34/IF(' Plan Energi 2019'!X$34&gt;0,' Plan Energi 2019'!X$34,1)</f>
        <v>0</v>
      </c>
      <c r="S441" s="650"/>
      <c r="T441" s="726">
        <f>Fjernvarme!J71</f>
        <v>0</v>
      </c>
      <c r="U441" s="650"/>
      <c r="V441" s="726">
        <f>Fjernvarme!L71</f>
        <v>0</v>
      </c>
      <c r="W441" s="650"/>
      <c r="X441" s="604"/>
    </row>
    <row r="442" spans="1:24" x14ac:dyDescent="0.25">
      <c r="A442" s="604" t="s">
        <v>11</v>
      </c>
      <c r="B442" s="650">
        <f>' Plan Energi 2030-S'!H$34/IF(' Plan Energi 2030-S'!X$34&gt;0,' Plan Energi 2030-S'!X$34,1)</f>
        <v>0</v>
      </c>
      <c r="C442" s="650"/>
      <c r="D442" s="650">
        <f>' Plan Energi 2006'!H$34/IF(' Plan Energi 2006'!X$34&gt;0,' Plan Energi 2006'!X$34,1)</f>
        <v>0</v>
      </c>
      <c r="E442" s="650"/>
      <c r="F442" s="650">
        <f>' Plan Energi 2008'!H$34/IF(' Plan Energi 2008'!X$34&gt;0,' Plan Energi 2008'!X$34,1)</f>
        <v>0</v>
      </c>
      <c r="G442" s="650"/>
      <c r="H442" s="650">
        <f>' Plan Energi 2009'!H$34/IF(' Plan Energi 2009'!X$34&gt;0,' Plan Energi 2009'!X$34,1)</f>
        <v>0</v>
      </c>
      <c r="I442" s="650"/>
      <c r="J442" s="650">
        <f>' Plan Energi 2011'!H$34/IF(' Plan Energi 2011'!X$34&gt;0,' Plan Energi 2011'!X$34,1)</f>
        <v>0</v>
      </c>
      <c r="K442" s="650"/>
      <c r="L442" s="650">
        <f>' Plan Energi 2013'!H$34/IF(' Plan Energi 2013'!X$34&gt;0,' Plan Energi 2013'!X$34,1)</f>
        <v>0</v>
      </c>
      <c r="M442" s="650"/>
      <c r="N442" s="650">
        <f>' Plan Energi 2015'!H$34/IF(' Plan Energi 2015'!X$34&gt;0,' Plan Energi 2015'!X$34,1)</f>
        <v>0</v>
      </c>
      <c r="O442" s="650"/>
      <c r="P442" s="650">
        <f>' Plan Energi 2017'!H$34/IF(' Plan Energi 2017'!X$34&gt;0,' Plan Energi 2017'!X$34,1)</f>
        <v>0</v>
      </c>
      <c r="Q442" s="650"/>
      <c r="R442" s="650">
        <f>' Plan Energi 2019'!H$34/IF(' Plan Energi 2019'!X$34&gt;0,' Plan Energi 2019'!X$34,1)</f>
        <v>0</v>
      </c>
      <c r="S442" s="650"/>
      <c r="T442" s="726">
        <f>Fjernvarme!J72</f>
        <v>0</v>
      </c>
      <c r="U442" s="650"/>
      <c r="V442" s="726">
        <f>Fjernvarme!L72</f>
        <v>0</v>
      </c>
      <c r="W442" s="650"/>
      <c r="X442" s="604"/>
    </row>
    <row r="443" spans="1:24" x14ac:dyDescent="0.25">
      <c r="A443" s="604" t="s">
        <v>3</v>
      </c>
      <c r="B443" s="650">
        <f>' Plan Energi 2030-S'!I$34/IF(' Plan Energi 2030-S'!X$34&gt;0,' Plan Energi 2030-S'!X$34,1)</f>
        <v>0</v>
      </c>
      <c r="C443" s="650"/>
      <c r="D443" s="650">
        <f>' Plan Energi 2006'!I$34/IF(' Plan Energi 2006'!X$34&gt;0,' Plan Energi 2006'!X$34,1)</f>
        <v>0</v>
      </c>
      <c r="E443" s="650"/>
      <c r="F443" s="650">
        <f>' Plan Energi 2008'!I$34/IF(' Plan Energi 2008'!X$34&gt;0,' Plan Energi 2008'!X$34,1)</f>
        <v>0</v>
      </c>
      <c r="G443" s="650"/>
      <c r="H443" s="650">
        <f>' Plan Energi 2009'!I$34/IF(' Plan Energi 2009'!X$34&gt;0,' Plan Energi 2009'!X$34,1)</f>
        <v>0</v>
      </c>
      <c r="I443" s="650"/>
      <c r="J443" s="650">
        <f>' Plan Energi 2011'!I$34/IF(' Plan Energi 2011'!X$34&gt;0,' Plan Energi 2011'!X$34,1)</f>
        <v>0</v>
      </c>
      <c r="K443" s="650"/>
      <c r="L443" s="650">
        <f>' Plan Energi 2013'!I$34/IF(' Plan Energi 2013'!X$34&gt;0,' Plan Energi 2013'!X$34,1)</f>
        <v>0</v>
      </c>
      <c r="M443" s="650"/>
      <c r="N443" s="650">
        <f>' Plan Energi 2015'!I$34/IF(' Plan Energi 2015'!X$34&gt;0,' Plan Energi 2015'!X$34,1)</f>
        <v>0</v>
      </c>
      <c r="O443" s="650"/>
      <c r="P443" s="650">
        <f>' Plan Energi 2017'!I$34/IF(' Plan Energi 2017'!X$34&gt;0,' Plan Energi 2017'!X$34,1)</f>
        <v>0</v>
      </c>
      <c r="Q443" s="650"/>
      <c r="R443" s="650">
        <f>' Plan Energi 2019'!I$34/IF(' Plan Energi 2019'!X$34&gt;0,' Plan Energi 2019'!X$34,1)</f>
        <v>0</v>
      </c>
      <c r="S443" s="650"/>
      <c r="T443" s="726">
        <f>Fjernvarme!J73</f>
        <v>0</v>
      </c>
      <c r="U443" s="650"/>
      <c r="V443" s="726">
        <f>Fjernvarme!L73</f>
        <v>0</v>
      </c>
      <c r="W443" s="650"/>
      <c r="X443" s="604"/>
    </row>
    <row r="444" spans="1:24" x14ac:dyDescent="0.25">
      <c r="A444" s="604" t="s">
        <v>373</v>
      </c>
      <c r="B444" s="650">
        <f>' Plan Energi 2030-S'!O$34/IF(' Plan Energi 2030-S'!X$34&gt;0,' Plan Energi 2030-S'!X$34,1)</f>
        <v>0</v>
      </c>
      <c r="C444" s="650"/>
      <c r="D444" s="650">
        <f>' Plan Energi 2006'!O$34/IF(' Plan Energi 2006'!X$34&gt;0,' Plan Energi 2006'!X$34,1)</f>
        <v>0</v>
      </c>
      <c r="E444" s="650"/>
      <c r="F444" s="650">
        <f>' Plan Energi 2008'!O$34/IF(' Plan Energi 2008'!X$34&gt;0,' Plan Energi 2008'!X$34,1)</f>
        <v>0</v>
      </c>
      <c r="G444" s="650"/>
      <c r="H444" s="650">
        <f>' Plan Energi 2009'!O$34/IF(' Plan Energi 2009'!X$34&gt;0,' Plan Energi 2009'!X$34,1)</f>
        <v>0</v>
      </c>
      <c r="I444" s="650"/>
      <c r="J444" s="650">
        <f>' Plan Energi 2011'!O$34/IF(' Plan Energi 2011'!X$34&gt;0,' Plan Energi 2011'!X$34,1)</f>
        <v>0</v>
      </c>
      <c r="K444" s="650"/>
      <c r="L444" s="650">
        <f>' Plan Energi 2013'!O$34/IF(' Plan Energi 2013'!X$34&gt;0,' Plan Energi 2013'!X$34,1)</f>
        <v>0</v>
      </c>
      <c r="M444" s="650"/>
      <c r="N444" s="650">
        <f>' Plan Energi 2015'!O$34/IF(' Plan Energi 2015'!X$34&gt;0,' Plan Energi 2015'!X$34,1)</f>
        <v>0</v>
      </c>
      <c r="O444" s="650"/>
      <c r="P444" s="650">
        <f>' Plan Energi 2017'!O$34/IF(' Plan Energi 2017'!X$34&gt;0,' Plan Energi 2017'!X$34,1)</f>
        <v>0</v>
      </c>
      <c r="Q444" s="650"/>
      <c r="R444" s="650">
        <f>' Plan Energi 2019'!O$34/IF(' Plan Energi 2019'!X$34&gt;0,' Plan Energi 2019'!X$34,1)</f>
        <v>0</v>
      </c>
      <c r="S444" s="650"/>
      <c r="T444" s="726">
        <f>Fjernvarme!J74</f>
        <v>0</v>
      </c>
      <c r="U444" s="650"/>
      <c r="V444" s="726">
        <f>Fjernvarme!L74</f>
        <v>0</v>
      </c>
      <c r="W444" s="650"/>
      <c r="X444" s="604"/>
    </row>
    <row r="445" spans="1:24" x14ac:dyDescent="0.25">
      <c r="A445" s="604" t="s">
        <v>374</v>
      </c>
      <c r="B445" s="650">
        <f>' Plan Energi 2030-S'!Q$34/IF(' Plan Energi 2030-S'!X$34&gt;0,' Plan Energi 2030-S'!X$34,1)</f>
        <v>0</v>
      </c>
      <c r="C445" s="650"/>
      <c r="D445" s="650">
        <f>' Plan Energi 2006'!Q$34/IF(' Plan Energi 2006'!X$34&gt;0,' Plan Energi 2006'!X$34,1)</f>
        <v>0</v>
      </c>
      <c r="E445" s="650"/>
      <c r="F445" s="650">
        <f>' Plan Energi 2008'!Q$34/IF(' Plan Energi 2008'!X$34&gt;0,' Plan Energi 2008'!X$34,1)</f>
        <v>0</v>
      </c>
      <c r="G445" s="650"/>
      <c r="H445" s="650">
        <f>' Plan Energi 2009'!Q$34/IF(' Plan Energi 2009'!X$34&gt;0,' Plan Energi 2009'!X$34,1)</f>
        <v>0</v>
      </c>
      <c r="I445" s="650"/>
      <c r="J445" s="650">
        <f>' Plan Energi 2011'!Q$34/IF(' Plan Energi 2011'!X$34&gt;0,' Plan Energi 2011'!X$34,1)</f>
        <v>0</v>
      </c>
      <c r="K445" s="650"/>
      <c r="L445" s="650">
        <f>' Plan Energi 2013'!Q$34/IF(' Plan Energi 2013'!X$34&gt;0,' Plan Energi 2013'!X$34,1)</f>
        <v>0</v>
      </c>
      <c r="M445" s="650"/>
      <c r="N445" s="650">
        <f>' Plan Energi 2015'!Q$34/IF(' Plan Energi 2015'!X$34&gt;0,' Plan Energi 2015'!X$34,1)</f>
        <v>0</v>
      </c>
      <c r="O445" s="650"/>
      <c r="P445" s="650">
        <f>' Plan Energi 2017'!Q$34/IF(' Plan Energi 2017'!X$34&gt;0,' Plan Energi 2017'!X$34,1)</f>
        <v>0</v>
      </c>
      <c r="Q445" s="650"/>
      <c r="R445" s="650">
        <f>' Plan Energi 2019'!Q$34/IF(' Plan Energi 2019'!X$34&gt;0,' Plan Energi 2019'!X$34,1)</f>
        <v>0</v>
      </c>
      <c r="S445" s="650"/>
      <c r="T445" s="726">
        <f>Fjernvarme!J75</f>
        <v>0</v>
      </c>
      <c r="U445" s="650"/>
      <c r="V445" s="726">
        <f>Fjernvarme!L75</f>
        <v>0</v>
      </c>
      <c r="W445" s="650"/>
      <c r="X445" s="604"/>
    </row>
    <row r="446" spans="1:24" x14ac:dyDescent="0.25">
      <c r="A446" s="604" t="s">
        <v>21</v>
      </c>
      <c r="B446" s="650">
        <f>' Plan Energi 2030-S'!Q$34/IF(' Plan Energi 2030-S'!X$34&gt;0,' Plan Energi 2030-S'!X$34,1)</f>
        <v>0</v>
      </c>
      <c r="C446" s="650"/>
      <c r="D446" s="650">
        <f>' Plan Energi 2006'!Q$34/IF(' Plan Energi 2006'!X$34&gt;0,' Plan Energi 2006'!X$34,1)</f>
        <v>0</v>
      </c>
      <c r="E446" s="650"/>
      <c r="F446" s="650">
        <f>' Plan Energi 2008'!Q$34/IF(' Plan Energi 2008'!X$34&gt;0,' Plan Energi 2008'!X$34,1)</f>
        <v>0</v>
      </c>
      <c r="G446" s="650"/>
      <c r="H446" s="650">
        <f>' Plan Energi 2009'!Q$34/IF(' Plan Energi 2009'!X$34&gt;0,' Plan Energi 2009'!X$34,1)</f>
        <v>0</v>
      </c>
      <c r="I446" s="650"/>
      <c r="J446" s="650">
        <f>' Plan Energi 2011'!Q$34/IF(' Plan Energi 2011'!X$34&gt;0,' Plan Energi 2011'!X$34,1)</f>
        <v>0</v>
      </c>
      <c r="K446" s="650"/>
      <c r="L446" s="650">
        <f>' Plan Energi 2013'!Q$34/IF(' Plan Energi 2013'!X$34&gt;0,' Plan Energi 2013'!X$34,1)</f>
        <v>0</v>
      </c>
      <c r="M446" s="650"/>
      <c r="N446" s="650">
        <f>' Plan Energi 2015'!Q$34/IF(' Plan Energi 2015'!X$34&gt;0,' Plan Energi 2015'!X$34,1)</f>
        <v>0</v>
      </c>
      <c r="O446" s="650"/>
      <c r="P446" s="650">
        <f>' Plan Energi 2017'!Q$34/IF(' Plan Energi 2017'!X$34&gt;0,' Plan Energi 2017'!X$34,1)</f>
        <v>0</v>
      </c>
      <c r="Q446" s="650"/>
      <c r="R446" s="650">
        <f>' Plan Energi 2019'!Q$34/IF(' Plan Energi 2019'!X$34&gt;0,' Plan Energi 2019'!X$34,1)</f>
        <v>0</v>
      </c>
      <c r="S446" s="650"/>
      <c r="T446" s="726">
        <f>Fjernvarme!J76</f>
        <v>0</v>
      </c>
      <c r="U446" s="650"/>
      <c r="V446" s="726">
        <f>Fjernvarme!L76</f>
        <v>0</v>
      </c>
      <c r="W446" s="650"/>
      <c r="X446" s="604"/>
    </row>
    <row r="447" spans="1:24" x14ac:dyDescent="0.25">
      <c r="A447" s="604" t="s">
        <v>375</v>
      </c>
      <c r="B447" s="650">
        <f>' Plan Energi 2030-S'!R$34/IF(' Plan Energi 2030-S'!X$34&gt;0,' Plan Energi 2030-S'!X$34,1)</f>
        <v>0</v>
      </c>
      <c r="C447" s="650"/>
      <c r="D447" s="650">
        <f>' Plan Energi 2006'!R$34/IF(' Plan Energi 2006'!X$34&gt;0,' Plan Energi 2006'!X$34,1)</f>
        <v>0</v>
      </c>
      <c r="E447" s="650"/>
      <c r="F447" s="650">
        <f>' Plan Energi 2008'!R$34/IF(' Plan Energi 2008'!X$34&gt;0,' Plan Energi 2008'!X$34,1)</f>
        <v>0</v>
      </c>
      <c r="G447" s="650"/>
      <c r="H447" s="650">
        <f>' Plan Energi 2009'!R$34/IF(' Plan Energi 2009'!X$34&gt;0,' Plan Energi 2009'!X$34,1)</f>
        <v>0</v>
      </c>
      <c r="I447" s="650"/>
      <c r="J447" s="650">
        <f>' Plan Energi 2011'!R$34/IF(' Plan Energi 2011'!X$34&gt;0,' Plan Energi 2011'!X$34,1)</f>
        <v>0</v>
      </c>
      <c r="K447" s="650"/>
      <c r="L447" s="650">
        <f>' Plan Energi 2013'!R$34/IF(' Plan Energi 2013'!X$34&gt;0,' Plan Energi 2013'!X$34,1)</f>
        <v>0</v>
      </c>
      <c r="M447" s="650"/>
      <c r="N447" s="650">
        <f>' Plan Energi 2015'!R$34/IF(' Plan Energi 2015'!X$34&gt;0,' Plan Energi 2015'!X$34,1)</f>
        <v>0</v>
      </c>
      <c r="O447" s="650"/>
      <c r="P447" s="650">
        <f>' Plan Energi 2017'!R$34/IF(' Plan Energi 2017'!X$34&gt;0,' Plan Energi 2017'!X$34,1)</f>
        <v>0</v>
      </c>
      <c r="Q447" s="650"/>
      <c r="R447" s="650">
        <f>' Plan Energi 2019'!R$34/IF(' Plan Energi 2019'!X$34&gt;0,' Plan Energi 2019'!X$34,1)</f>
        <v>0</v>
      </c>
      <c r="S447" s="650"/>
      <c r="T447" s="726">
        <f>Fjernvarme!J77</f>
        <v>0</v>
      </c>
      <c r="U447" s="650"/>
      <c r="V447" s="726">
        <f>Fjernvarme!L77</f>
        <v>0</v>
      </c>
      <c r="W447" s="650"/>
      <c r="X447" s="604"/>
    </row>
    <row r="448" spans="1:24" x14ac:dyDescent="0.25">
      <c r="A448" s="604" t="s">
        <v>23</v>
      </c>
      <c r="B448" s="650">
        <f>' Plan Energi 2030-S'!S$34/IF(' Plan Energi 2030-S'!X$34&gt;0,' Plan Energi 2030-S'!X$34,1)</f>
        <v>0</v>
      </c>
      <c r="C448" s="650"/>
      <c r="D448" s="650">
        <f>' Plan Energi 2006'!S$34/IF(' Plan Energi 2006'!X$34&gt;0,' Plan Energi 2006'!X$34,1)</f>
        <v>0</v>
      </c>
      <c r="E448" s="650"/>
      <c r="F448" s="650">
        <f>' Plan Energi 2008'!S$34/IF(' Plan Energi 2008'!X$34&gt;0,' Plan Energi 2008'!X$34,1)</f>
        <v>0</v>
      </c>
      <c r="G448" s="650"/>
      <c r="H448" s="650">
        <f>' Plan Energi 2009'!S$34/IF(' Plan Energi 2009'!X$34&gt;0,' Plan Energi 2009'!X$34,1)</f>
        <v>0</v>
      </c>
      <c r="I448" s="650"/>
      <c r="J448" s="650">
        <f>' Plan Energi 2011'!S$34/IF(' Plan Energi 2011'!X$34&gt;0,' Plan Energi 2011'!X$34,1)</f>
        <v>0</v>
      </c>
      <c r="K448" s="650"/>
      <c r="L448" s="650">
        <f>' Plan Energi 2013'!S$34/IF(' Plan Energi 2013'!X$34&gt;0,' Plan Energi 2013'!X$34,1)</f>
        <v>0</v>
      </c>
      <c r="M448" s="650"/>
      <c r="N448" s="650">
        <f>' Plan Energi 2015'!S$34/IF(' Plan Energi 2015'!X$34&gt;0,' Plan Energi 2015'!X$34,1)</f>
        <v>0</v>
      </c>
      <c r="O448" s="650"/>
      <c r="P448" s="650">
        <f>' Plan Energi 2017'!S$34/IF(' Plan Energi 2017'!X$34&gt;0,' Plan Energi 2017'!X$34,1)</f>
        <v>0</v>
      </c>
      <c r="Q448" s="650"/>
      <c r="R448" s="650">
        <f>' Plan Energi 2019'!S$34/IF(' Plan Energi 2019'!X$34&gt;0,' Plan Energi 2019'!X$34,1)</f>
        <v>0</v>
      </c>
      <c r="S448" s="650"/>
      <c r="T448" s="726">
        <f>Fjernvarme!J78</f>
        <v>0</v>
      </c>
      <c r="U448" s="650"/>
      <c r="V448" s="726">
        <f>Fjernvarme!L78</f>
        <v>0</v>
      </c>
      <c r="W448" s="650"/>
      <c r="X448" s="604"/>
    </row>
    <row r="449" spans="1:24" x14ac:dyDescent="0.25">
      <c r="A449" s="604" t="s">
        <v>26</v>
      </c>
      <c r="B449" s="650">
        <f>' Plan Energi 2030-S'!V$34/IF(' Plan Energi 2030-S'!X$34&gt;0,' Plan Energi 2030-S'!X$34,1)</f>
        <v>0</v>
      </c>
      <c r="C449" s="650"/>
      <c r="D449" s="650">
        <f>' Plan Energi 2006'!V$34/IF(' Plan Energi 2006'!X$34&gt;0,' Plan Energi 2006'!X$34,1)</f>
        <v>0</v>
      </c>
      <c r="E449" s="650"/>
      <c r="F449" s="650">
        <f>' Plan Energi 2008'!V$34/IF(' Plan Energi 2008'!X$34&gt;0,' Plan Energi 2008'!X$34,1)</f>
        <v>0</v>
      </c>
      <c r="G449" s="650"/>
      <c r="H449" s="650">
        <f>' Plan Energi 2009'!V$34/IF(' Plan Energi 2009'!X$34&gt;0,' Plan Energi 2009'!X$34,1)</f>
        <v>0</v>
      </c>
      <c r="I449" s="650"/>
      <c r="J449" s="650">
        <f>' Plan Energi 2011'!V$34/IF(' Plan Energi 2011'!X$34&gt;0,' Plan Energi 2011'!X$34,1)</f>
        <v>0</v>
      </c>
      <c r="K449" s="650"/>
      <c r="L449" s="650">
        <f>' Plan Energi 2013'!V$34/IF(' Plan Energi 2013'!X$34&gt;0,' Plan Energi 2013'!X$34,1)</f>
        <v>0</v>
      </c>
      <c r="M449" s="650"/>
      <c r="N449" s="650">
        <f>' Plan Energi 2015'!V$34/IF(' Plan Energi 2015'!X$34&gt;0,' Plan Energi 2015'!X$34,1)</f>
        <v>0</v>
      </c>
      <c r="O449" s="650"/>
      <c r="P449" s="650">
        <f>' Plan Energi 2017'!V$34/IF(' Plan Energi 2017'!X$34&gt;0,' Plan Energi 2017'!X$34,1)</f>
        <v>0</v>
      </c>
      <c r="Q449" s="650"/>
      <c r="R449" s="650">
        <f>' Plan Energi 2019'!V$34/IF(' Plan Energi 2019'!X$34&gt;0,' Plan Energi 2019'!X$34,1)</f>
        <v>0</v>
      </c>
      <c r="S449" s="650"/>
      <c r="T449" s="726">
        <f>Fjernvarme!J79</f>
        <v>0</v>
      </c>
      <c r="U449" s="650"/>
      <c r="V449" s="726">
        <f>Fjernvarme!L79</f>
        <v>0</v>
      </c>
      <c r="W449" s="650"/>
      <c r="X449" s="604"/>
    </row>
    <row r="450" spans="1:24" x14ac:dyDescent="0.25">
      <c r="A450" s="629" t="s">
        <v>149</v>
      </c>
      <c r="B450" s="650"/>
      <c r="C450" s="650"/>
      <c r="D450" s="650"/>
      <c r="E450" s="650"/>
      <c r="F450" s="650"/>
      <c r="G450" s="650"/>
      <c r="H450" s="650"/>
      <c r="I450" s="650"/>
      <c r="J450" s="650"/>
      <c r="K450" s="650"/>
      <c r="L450" s="650"/>
      <c r="M450" s="650"/>
      <c r="N450" s="650"/>
      <c r="O450" s="650"/>
      <c r="P450" s="650"/>
      <c r="Q450" s="650"/>
      <c r="R450" s="650"/>
      <c r="S450" s="650"/>
      <c r="T450" s="650"/>
      <c r="U450" s="650"/>
      <c r="V450" s="650"/>
      <c r="W450" s="650"/>
      <c r="X450" s="604"/>
    </row>
    <row r="451" spans="1:24" x14ac:dyDescent="0.25">
      <c r="A451" s="604" t="s">
        <v>3</v>
      </c>
      <c r="B451" s="650">
        <f>' Plan Energi 2030-S'!I$35/IF(' Plan Energi 2030-S'!X$35&gt;0,' Plan Energi 2030-S'!X$35,1)</f>
        <v>0</v>
      </c>
      <c r="C451" s="650"/>
      <c r="D451" s="650">
        <f>' Plan Energi 2006'!I$35/IF(' Plan Energi 2006'!X$35&gt;0,' Plan Energi 2006'!X$35,1)</f>
        <v>0</v>
      </c>
      <c r="E451" s="650"/>
      <c r="F451" s="650">
        <f>' Plan Energi 2008'!I$35/IF(' Plan Energi 2008'!X$35&gt;0,' Plan Energi 2008'!X$35,1)</f>
        <v>0</v>
      </c>
      <c r="G451" s="650"/>
      <c r="H451" s="650">
        <f>' Plan Energi 2009'!I$35/IF(' Plan Energi 2009'!X$35&gt;0,' Plan Energi 2009'!X$35,1)</f>
        <v>0</v>
      </c>
      <c r="I451" s="650"/>
      <c r="J451" s="650">
        <f>' Plan Energi 2011'!I$35/IF(' Plan Energi 2011'!X$35&gt;0,' Plan Energi 2011'!X$35,1)</f>
        <v>0</v>
      </c>
      <c r="K451" s="650"/>
      <c r="L451" s="650">
        <f>' Plan Energi 2013'!I$35/IF(' Plan Energi 2013'!X$35&gt;0,' Plan Energi 2013'!X$35,1)</f>
        <v>0</v>
      </c>
      <c r="M451" s="650"/>
      <c r="N451" s="650">
        <f>' Plan Energi 2015'!I$35/IF(' Plan Energi 2015'!X$35&gt;0,' Plan Energi 2015'!X$35,1)</f>
        <v>0</v>
      </c>
      <c r="O451" s="650"/>
      <c r="P451" s="650">
        <f>' Plan Energi 2017'!I$35/IF(' Plan Energi 2017'!X$35&gt;0,' Plan Energi 2017'!X$35,1)</f>
        <v>0</v>
      </c>
      <c r="Q451" s="650"/>
      <c r="R451" s="650">
        <f>' Plan Energi 2019'!I$35/IF(' Plan Energi 2019'!X$35&gt;0,' Plan Energi 2019'!X$35,1)</f>
        <v>0</v>
      </c>
      <c r="S451" s="650"/>
      <c r="T451" s="726">
        <f>Fjernvarme!J81</f>
        <v>0</v>
      </c>
      <c r="U451" s="650"/>
      <c r="V451" s="726">
        <f>Fjernvarme!L81</f>
        <v>0</v>
      </c>
      <c r="W451" s="650"/>
      <c r="X451" s="604"/>
    </row>
    <row r="452" spans="1:24" x14ac:dyDescent="0.25">
      <c r="A452" s="604" t="s">
        <v>373</v>
      </c>
      <c r="B452" s="650">
        <f>' Plan Energi 2030-S'!O$35/IF(' Plan Energi 2030-S'!X$35&gt;0,' Plan Energi 2030-S'!X$35,1)</f>
        <v>0</v>
      </c>
      <c r="C452" s="650"/>
      <c r="D452" s="650">
        <f>' Plan Energi 2006'!O$35/IF(' Plan Energi 2006'!X$35&gt;0,' Plan Energi 2006'!X$35,1)</f>
        <v>0</v>
      </c>
      <c r="E452" s="650"/>
      <c r="F452" s="650">
        <f>' Plan Energi 2008'!O$35/IF(' Plan Energi 2008'!X$35&gt;0,' Plan Energi 2008'!X$35,1)</f>
        <v>0</v>
      </c>
      <c r="G452" s="650"/>
      <c r="H452" s="650">
        <f>' Plan Energi 2009'!O$35/IF(' Plan Energi 2009'!X$35&gt;0,' Plan Energi 2009'!X$35,1)</f>
        <v>0</v>
      </c>
      <c r="I452" s="650"/>
      <c r="J452" s="650">
        <f>' Plan Energi 2011'!O$35/IF(' Plan Energi 2011'!X$35&gt;0,' Plan Energi 2011'!X$35,1)</f>
        <v>0</v>
      </c>
      <c r="K452" s="650"/>
      <c r="L452" s="650">
        <f>' Plan Energi 2013'!O$35/IF(' Plan Energi 2013'!X$35&gt;0,' Plan Energi 2013'!X$35,1)</f>
        <v>0</v>
      </c>
      <c r="M452" s="650"/>
      <c r="N452" s="650">
        <f>' Plan Energi 2015'!O$35/IF(' Plan Energi 2015'!X$35&gt;0,' Plan Energi 2015'!X$35,1)</f>
        <v>0</v>
      </c>
      <c r="O452" s="650"/>
      <c r="P452" s="650">
        <f>' Plan Energi 2017'!O$35/IF(' Plan Energi 2017'!X$35&gt;0,' Plan Energi 2017'!X$35,1)</f>
        <v>0</v>
      </c>
      <c r="Q452" s="650"/>
      <c r="R452" s="650">
        <f>' Plan Energi 2019'!O$35/IF(' Plan Energi 2019'!X$35&gt;0,' Plan Energi 2019'!X$35,1)</f>
        <v>0</v>
      </c>
      <c r="S452" s="650"/>
      <c r="T452" s="726">
        <f>Fjernvarme!J82</f>
        <v>0</v>
      </c>
      <c r="U452" s="650"/>
      <c r="V452" s="726">
        <f>Fjernvarme!L82</f>
        <v>0</v>
      </c>
      <c r="W452" s="650"/>
      <c r="X452" s="604"/>
    </row>
    <row r="453" spans="1:24" x14ac:dyDescent="0.25">
      <c r="A453" s="604" t="s">
        <v>26</v>
      </c>
      <c r="B453" s="650">
        <f>' Plan Energi 2030-S'!V$35/IF(' Plan Energi 2030-S'!X$35&gt;0,' Plan Energi 2030-S'!X$35,1)</f>
        <v>0</v>
      </c>
      <c r="C453" s="650"/>
      <c r="D453" s="650">
        <f>' Plan Energi 2006'!V$35/IF(' Plan Energi 2006'!X$35&gt;0,' Plan Energi 2006'!X$35,1)</f>
        <v>0</v>
      </c>
      <c r="E453" s="650"/>
      <c r="F453" s="650">
        <f>' Plan Energi 2008'!V$35/IF(' Plan Energi 2008'!X$35&gt;0,' Plan Energi 2008'!X$35,1)</f>
        <v>0</v>
      </c>
      <c r="G453" s="650"/>
      <c r="H453" s="650">
        <f>' Plan Energi 2009'!V$35/IF(' Plan Energi 2009'!X$35&gt;0,' Plan Energi 2009'!X$35,1)</f>
        <v>0</v>
      </c>
      <c r="I453" s="650"/>
      <c r="J453" s="650">
        <f>' Plan Energi 2011'!V$35/IF(' Plan Energi 2011'!X$35&gt;0,' Plan Energi 2011'!X$35,1)</f>
        <v>0</v>
      </c>
      <c r="K453" s="650"/>
      <c r="L453" s="650">
        <f>' Plan Energi 2013'!V$35/IF(' Plan Energi 2013'!X$35&gt;0,' Plan Energi 2013'!X$35,1)</f>
        <v>0</v>
      </c>
      <c r="M453" s="650"/>
      <c r="N453" s="650">
        <f>' Plan Energi 2015'!V$35/IF(' Plan Energi 2015'!X$35&gt;0,' Plan Energi 2015'!X$35,1)</f>
        <v>0</v>
      </c>
      <c r="O453" s="650"/>
      <c r="P453" s="650">
        <f>' Plan Energi 2017'!V$35/IF(' Plan Energi 2017'!X$35&gt;0,' Plan Energi 2017'!X$35,1)</f>
        <v>0</v>
      </c>
      <c r="Q453" s="650"/>
      <c r="R453" s="650">
        <f>' Plan Energi 2019'!V$35/IF(' Plan Energi 2019'!X$35&gt;0,' Plan Energi 2019'!X$35,1)</f>
        <v>0</v>
      </c>
      <c r="S453" s="650"/>
      <c r="T453" s="726">
        <f>Fjernvarme!J83</f>
        <v>0</v>
      </c>
      <c r="U453" s="650"/>
      <c r="V453" s="726">
        <f>Fjernvarme!L83</f>
        <v>0</v>
      </c>
      <c r="W453" s="650"/>
      <c r="X453" s="604"/>
    </row>
    <row r="454" spans="1:24" x14ac:dyDescent="0.25">
      <c r="A454" s="629" t="s">
        <v>377</v>
      </c>
      <c r="B454" s="650"/>
      <c r="C454" s="650"/>
      <c r="D454" s="650"/>
      <c r="E454" s="650"/>
      <c r="F454" s="650"/>
      <c r="G454" s="650"/>
      <c r="H454" s="650"/>
      <c r="I454" s="650"/>
      <c r="J454" s="650"/>
      <c r="K454" s="650"/>
      <c r="L454" s="650"/>
      <c r="M454" s="650"/>
      <c r="N454" s="650"/>
      <c r="O454" s="650"/>
      <c r="P454" s="650"/>
      <c r="Q454" s="650"/>
      <c r="R454" s="650"/>
      <c r="S454" s="650"/>
      <c r="T454" s="650"/>
      <c r="U454" s="650"/>
      <c r="V454" s="650"/>
      <c r="W454" s="650"/>
      <c r="X454" s="604"/>
    </row>
    <row r="455" spans="1:24" ht="15" customHeight="1" x14ac:dyDescent="0.25">
      <c r="A455" s="604" t="s">
        <v>1</v>
      </c>
      <c r="B455" s="650">
        <f>' Plan Energi 2030-S'!C$36/IF(' Plan Energi 2030-S'!X$36&gt;0,' Plan Energi 2030-S'!X$36,1)</f>
        <v>0</v>
      </c>
      <c r="C455" s="650"/>
      <c r="D455" s="650">
        <f>' Plan Energi 2006'!C$36/IF(' Plan Energi 2006'!X$36&gt;0,' Plan Energi 2006'!X$36,1)</f>
        <v>0</v>
      </c>
      <c r="E455" s="650"/>
      <c r="F455" s="650">
        <f>' Plan Energi 2008'!C$36/IF(' Plan Energi 2008'!X$36&gt;0,' Plan Energi 2008'!X$36,1)</f>
        <v>0</v>
      </c>
      <c r="G455" s="650"/>
      <c r="H455" s="650">
        <f>' Plan Energi 2009'!C$36/IF(' Plan Energi 2009'!X$36&gt;0,' Plan Energi 2009'!X$36,1)</f>
        <v>0</v>
      </c>
      <c r="I455" s="650"/>
      <c r="J455" s="650">
        <f>' Plan Energi 2011'!C$36/IF(' Plan Energi 2011'!X$36&gt;0,' Plan Energi 2011'!X$36,1)</f>
        <v>0</v>
      </c>
      <c r="K455" s="650"/>
      <c r="L455" s="650">
        <f>' Plan Energi 2013'!C$36/IF(' Plan Energi 2013'!X$36&gt;0,' Plan Energi 2013'!X$36,1)</f>
        <v>0</v>
      </c>
      <c r="M455" s="650"/>
      <c r="N455" s="650">
        <f>' Plan Energi 2015'!C$36/IF(' Plan Energi 2015'!X$36&gt;0,' Plan Energi 2015'!X$36,1)</f>
        <v>0</v>
      </c>
      <c r="O455" s="650"/>
      <c r="P455" s="650">
        <f>' Plan Energi 2017'!C$36/IF(' Plan Energi 2017'!X$36&gt;0,' Plan Energi 2017'!X$36,1)</f>
        <v>0</v>
      </c>
      <c r="Q455" s="650"/>
      <c r="R455" s="650">
        <f>' Plan Energi 2019'!C$36/IF(' Plan Energi 2019'!X$36&gt;0,' Plan Energi 2019'!X$36,1)</f>
        <v>0</v>
      </c>
      <c r="S455" s="650"/>
      <c r="T455" s="726">
        <f>Fjernvarme!J85</f>
        <v>0</v>
      </c>
      <c r="U455" s="650"/>
      <c r="V455" s="726">
        <f>Fjernvarme!L85</f>
        <v>0</v>
      </c>
      <c r="W455" s="650"/>
      <c r="X455" s="604"/>
    </row>
    <row r="456" spans="1:24" x14ac:dyDescent="0.25">
      <c r="A456" s="604" t="s">
        <v>7</v>
      </c>
      <c r="B456" s="650">
        <f>' Plan Energi 2030-S'!D$36/IF(' Plan Energi 2030-S'!X$36&gt;0,' Plan Energi 2030-S'!X$36,1)</f>
        <v>0</v>
      </c>
      <c r="C456" s="650"/>
      <c r="D456" s="650">
        <f>' Plan Energi 2006'!D$36/IF(' Plan Energi 2006'!X$36&gt;0,' Plan Energi 2006'!X$36,1)</f>
        <v>0</v>
      </c>
      <c r="E456" s="650"/>
      <c r="F456" s="650">
        <f>' Plan Energi 2008'!D$36/IF(' Plan Energi 2008'!X$36&gt;0,' Plan Energi 2008'!X$36,1)</f>
        <v>0</v>
      </c>
      <c r="G456" s="650"/>
      <c r="H456" s="650">
        <f>' Plan Energi 2009'!D$36/IF(' Plan Energi 2009'!X$36&gt;0,' Plan Energi 2009'!X$36,1)</f>
        <v>0</v>
      </c>
      <c r="I456" s="650"/>
      <c r="J456" s="650">
        <f>' Plan Energi 2011'!D$36/IF(' Plan Energi 2011'!X$36&gt;0,' Plan Energi 2011'!X$36,1)</f>
        <v>0</v>
      </c>
      <c r="K456" s="650"/>
      <c r="L456" s="650">
        <f>' Plan Energi 2013'!D$36/IF(' Plan Energi 2013'!X$36&gt;0,' Plan Energi 2013'!X$36,1)</f>
        <v>0</v>
      </c>
      <c r="M456" s="650"/>
      <c r="N456" s="650">
        <f>' Plan Energi 2015'!D$36/IF(' Plan Energi 2015'!X$36&gt;0,' Plan Energi 2015'!X$36,1)</f>
        <v>0</v>
      </c>
      <c r="O456" s="650"/>
      <c r="P456" s="650">
        <f>' Plan Energi 2017'!D$36/IF(' Plan Energi 2017'!X$36&gt;0,' Plan Energi 2017'!X$36,1)</f>
        <v>0</v>
      </c>
      <c r="Q456" s="650"/>
      <c r="R456" s="650">
        <f>' Plan Energi 2019'!D$36/IF(' Plan Energi 2019'!X$36&gt;0,' Plan Energi 2019'!X$36,1)</f>
        <v>0</v>
      </c>
      <c r="S456" s="650"/>
      <c r="T456" s="726">
        <f>Fjernvarme!J86</f>
        <v>0</v>
      </c>
      <c r="U456" s="650"/>
      <c r="V456" s="726">
        <f>Fjernvarme!L86</f>
        <v>0</v>
      </c>
      <c r="W456" s="650"/>
      <c r="X456" s="604"/>
    </row>
    <row r="457" spans="1:24" ht="18" customHeight="1" x14ac:dyDescent="0.25">
      <c r="A457" s="604" t="s">
        <v>3</v>
      </c>
      <c r="B457" s="650">
        <f>' Plan Energi 2030-S'!I$36/IF(' Plan Energi 2030-S'!X$36&gt;0,' Plan Energi 2030-S'!X$36,1)</f>
        <v>0</v>
      </c>
      <c r="C457" s="650"/>
      <c r="D457" s="650">
        <f>' Plan Energi 2006'!I$36/IF(' Plan Energi 2006'!X$36&gt;0,' Plan Energi 2006'!X$36,1)</f>
        <v>0</v>
      </c>
      <c r="E457" s="650"/>
      <c r="F457" s="650">
        <f>' Plan Energi 2008'!I$36/IF(' Plan Energi 2008'!X$36&gt;0,' Plan Energi 2008'!X$36,1)</f>
        <v>0</v>
      </c>
      <c r="G457" s="650"/>
      <c r="H457" s="650">
        <f>' Plan Energi 2009'!I$36/IF(' Plan Energi 2009'!X$36&gt;0,' Plan Energi 2009'!X$36,1)</f>
        <v>0</v>
      </c>
      <c r="I457" s="650"/>
      <c r="J457" s="650">
        <f>' Plan Energi 2011'!I$36/IF(' Plan Energi 2011'!X$36&gt;0,' Plan Energi 2011'!X$36,1)</f>
        <v>0</v>
      </c>
      <c r="K457" s="650"/>
      <c r="L457" s="650">
        <f>' Plan Energi 2013'!I$36/IF(' Plan Energi 2013'!X$36&gt;0,' Plan Energi 2013'!X$36,1)</f>
        <v>0</v>
      </c>
      <c r="M457" s="650"/>
      <c r="N457" s="650">
        <f>' Plan Energi 2015'!I$36/IF(' Plan Energi 2015'!X$36&gt;0,' Plan Energi 2015'!X$36,1)</f>
        <v>0</v>
      </c>
      <c r="O457" s="650"/>
      <c r="P457" s="650">
        <f>' Plan Energi 2017'!I$36/IF(' Plan Energi 2017'!X$36&gt;0,' Plan Energi 2017'!X$36,1)</f>
        <v>0</v>
      </c>
      <c r="Q457" s="650"/>
      <c r="R457" s="650">
        <f>' Plan Energi 2019'!I$36/IF(' Plan Energi 2019'!X$36&gt;0,' Plan Energi 2019'!X$36,1)</f>
        <v>0</v>
      </c>
      <c r="S457" s="650"/>
      <c r="T457" s="726">
        <f>Fjernvarme!J87</f>
        <v>0</v>
      </c>
      <c r="U457" s="650"/>
      <c r="V457" s="726">
        <f>Fjernvarme!L87</f>
        <v>0</v>
      </c>
      <c r="W457" s="650"/>
      <c r="X457" s="604"/>
    </row>
    <row r="458" spans="1:24" ht="20.25" customHeight="1" x14ac:dyDescent="0.25">
      <c r="A458" s="604" t="s">
        <v>373</v>
      </c>
      <c r="B458" s="650">
        <f>' Plan Energi 2030-S'!O$36/IF(' Plan Energi 2030-S'!X$36&gt;0,' Plan Energi 2030-S'!X$36,1)</f>
        <v>0</v>
      </c>
      <c r="C458" s="650"/>
      <c r="D458" s="650">
        <f>' Plan Energi 2006'!O$36/IF(' Plan Energi 2006'!X$36&gt;0,' Plan Energi 2006'!X$36,1)</f>
        <v>0</v>
      </c>
      <c r="E458" s="650"/>
      <c r="F458" s="650">
        <f>' Plan Energi 2008'!O$36/IF(' Plan Energi 2008'!X$36&gt;0,' Plan Energi 2008'!X$36,1)</f>
        <v>0</v>
      </c>
      <c r="G458" s="650"/>
      <c r="H458" s="650">
        <f>' Plan Energi 2009'!O$36/IF(' Plan Energi 2009'!X$36&gt;0,' Plan Energi 2009'!X$36,1)</f>
        <v>0</v>
      </c>
      <c r="I458" s="650"/>
      <c r="J458" s="650">
        <f>' Plan Energi 2011'!O$36/IF(' Plan Energi 2011'!X$36&gt;0,' Plan Energi 2011'!X$36,1)</f>
        <v>0</v>
      </c>
      <c r="K458" s="650"/>
      <c r="L458" s="650">
        <f>' Plan Energi 2013'!O$36/IF(' Plan Energi 2013'!X$36&gt;0,' Plan Energi 2013'!X$36,1)</f>
        <v>0</v>
      </c>
      <c r="M458" s="650"/>
      <c r="N458" s="650">
        <f>' Plan Energi 2015'!O$36/IF(' Plan Energi 2015'!X$36&gt;0,' Plan Energi 2015'!X$36,1)</f>
        <v>0</v>
      </c>
      <c r="O458" s="650"/>
      <c r="P458" s="650">
        <f>' Plan Energi 2017'!O$36/IF(' Plan Energi 2017'!X$36&gt;0,' Plan Energi 2017'!X$36,1)</f>
        <v>0</v>
      </c>
      <c r="Q458" s="650"/>
      <c r="R458" s="650">
        <f>' Plan Energi 2019'!O$36/IF(' Plan Energi 2019'!X$36&gt;0,' Plan Energi 2019'!X$36,1)</f>
        <v>0</v>
      </c>
      <c r="S458" s="650"/>
      <c r="T458" s="726">
        <f>Fjernvarme!J88</f>
        <v>0</v>
      </c>
      <c r="U458" s="650"/>
      <c r="V458" s="726">
        <f>Fjernvarme!L88</f>
        <v>0</v>
      </c>
      <c r="W458" s="650"/>
      <c r="X458" s="604"/>
    </row>
    <row r="459" spans="1:24" x14ac:dyDescent="0.25">
      <c r="A459" s="604" t="s">
        <v>374</v>
      </c>
      <c r="B459" s="650">
        <f>' Plan Energi 2030-S'!P$36/IF(' Plan Energi 2030-S'!X$36&gt;0,' Plan Energi 2030-S'!X$36,1)</f>
        <v>0</v>
      </c>
      <c r="C459" s="650"/>
      <c r="D459" s="650">
        <f>' Plan Energi 2006'!P$36/IF(' Plan Energi 2006'!X$36&gt;0,' Plan Energi 2006'!X$36,1)</f>
        <v>0</v>
      </c>
      <c r="E459" s="650"/>
      <c r="F459" s="650">
        <f>' Plan Energi 2008'!P$36/IF(' Plan Energi 2008'!X$36&gt;0,' Plan Energi 2008'!X$36,1)</f>
        <v>0</v>
      </c>
      <c r="G459" s="650"/>
      <c r="H459" s="650">
        <f>' Plan Energi 2009'!P$36/IF(' Plan Energi 2009'!X$36&gt;0,' Plan Energi 2009'!X$36,1)</f>
        <v>0</v>
      </c>
      <c r="I459" s="650"/>
      <c r="J459" s="650">
        <f>' Plan Energi 2011'!P$36/IF(' Plan Energi 2011'!X$36&gt;0,' Plan Energi 2011'!X$36,1)</f>
        <v>0</v>
      </c>
      <c r="K459" s="650"/>
      <c r="L459" s="650">
        <f>' Plan Energi 2013'!P$36/IF(' Plan Energi 2013'!X$36&gt;0,' Plan Energi 2013'!X$36,1)</f>
        <v>0</v>
      </c>
      <c r="M459" s="650"/>
      <c r="N459" s="650">
        <f>' Plan Energi 2015'!P$36/IF(' Plan Energi 2015'!X$36&gt;0,' Plan Energi 2015'!X$36,1)</f>
        <v>0</v>
      </c>
      <c r="O459" s="650"/>
      <c r="P459" s="650">
        <f>' Plan Energi 2017'!P$36/IF(' Plan Energi 2017'!X$36&gt;0,' Plan Energi 2017'!X$36,1)</f>
        <v>0</v>
      </c>
      <c r="Q459" s="650"/>
      <c r="R459" s="650">
        <f>' Plan Energi 2019'!P$36/IF(' Plan Energi 2019'!X$36&gt;0,' Plan Energi 2019'!X$36,1)</f>
        <v>0</v>
      </c>
      <c r="S459" s="650"/>
      <c r="T459" s="726">
        <f>Fjernvarme!J89</f>
        <v>0</v>
      </c>
      <c r="U459" s="650"/>
      <c r="V459" s="726">
        <f>Fjernvarme!L89</f>
        <v>0</v>
      </c>
      <c r="W459" s="650"/>
      <c r="X459" s="604"/>
    </row>
    <row r="460" spans="1:24" x14ac:dyDescent="0.25">
      <c r="A460" s="604" t="s">
        <v>21</v>
      </c>
      <c r="B460" s="650">
        <f>' Plan Energi 2030-S'!Q$36/IF(' Plan Energi 2030-S'!X$36&gt;0,' Plan Energi 2030-S'!X$36,1)</f>
        <v>0</v>
      </c>
      <c r="C460" s="650"/>
      <c r="D460" s="650">
        <f>' Plan Energi 2006'!Q$36/IF(' Plan Energi 2006'!X$36&gt;0,' Plan Energi 2006'!X$36,1)</f>
        <v>0</v>
      </c>
      <c r="E460" s="650"/>
      <c r="F460" s="650">
        <f>' Plan Energi 2008'!Q$36/IF(' Plan Energi 2008'!X$36&gt;0,' Plan Energi 2008'!X$36,1)</f>
        <v>0</v>
      </c>
      <c r="G460" s="650"/>
      <c r="H460" s="650">
        <f>' Plan Energi 2009'!Q$36/IF(' Plan Energi 2009'!X$36&gt;0,' Plan Energi 2009'!X$36,1)</f>
        <v>0</v>
      </c>
      <c r="I460" s="650"/>
      <c r="J460" s="650">
        <f>' Plan Energi 2011'!Q$36/IF(' Plan Energi 2011'!X$36&gt;0,' Plan Energi 2011'!X$36,1)</f>
        <v>0</v>
      </c>
      <c r="K460" s="650"/>
      <c r="L460" s="650">
        <f>' Plan Energi 2013'!Q$36/IF(' Plan Energi 2013'!X$36&gt;0,' Plan Energi 2013'!X$36,1)</f>
        <v>0</v>
      </c>
      <c r="M460" s="650"/>
      <c r="N460" s="650">
        <f>' Plan Energi 2015'!Q$36/IF(' Plan Energi 2015'!X$36&gt;0,' Plan Energi 2015'!X$36,1)</f>
        <v>0</v>
      </c>
      <c r="O460" s="650"/>
      <c r="P460" s="650">
        <f>' Plan Energi 2017'!Q$36/IF(' Plan Energi 2017'!X$36&gt;0,' Plan Energi 2017'!X$36,1)</f>
        <v>0</v>
      </c>
      <c r="Q460" s="650"/>
      <c r="R460" s="650">
        <f>' Plan Energi 2019'!Q$36/IF(' Plan Energi 2019'!X$36&gt;0,' Plan Energi 2019'!X$36,1)</f>
        <v>0</v>
      </c>
      <c r="S460" s="650"/>
      <c r="T460" s="726">
        <f>Fjernvarme!J90</f>
        <v>0</v>
      </c>
      <c r="U460" s="650"/>
      <c r="V460" s="726">
        <f>Fjernvarme!L90</f>
        <v>0</v>
      </c>
      <c r="W460" s="650"/>
      <c r="X460" s="604"/>
    </row>
    <row r="461" spans="1:24" x14ac:dyDescent="0.25">
      <c r="A461" s="604" t="s">
        <v>375</v>
      </c>
      <c r="B461" s="650">
        <f>' Plan Energi 2030-S'!R$36/IF(' Plan Energi 2030-S'!X$36&gt;0,' Plan Energi 2030-S'!X$36,1)</f>
        <v>0</v>
      </c>
      <c r="C461" s="650"/>
      <c r="D461" s="650">
        <f>' Plan Energi 2006'!R$36/IF(' Plan Energi 2006'!X$36&gt;0,' Plan Energi 2006'!X$36,1)</f>
        <v>0</v>
      </c>
      <c r="E461" s="650"/>
      <c r="F461" s="650">
        <f>' Plan Energi 2008'!R$36/IF(' Plan Energi 2008'!X$36&gt;0,' Plan Energi 2008'!X$36,1)</f>
        <v>0</v>
      </c>
      <c r="G461" s="650"/>
      <c r="H461" s="650">
        <f>' Plan Energi 2009'!R$36/IF(' Plan Energi 2009'!X$36&gt;0,' Plan Energi 2009'!X$36,1)</f>
        <v>0</v>
      </c>
      <c r="I461" s="650"/>
      <c r="J461" s="650">
        <f>' Plan Energi 2011'!R$36/IF(' Plan Energi 2011'!X$36&gt;0,' Plan Energi 2011'!X$36,1)</f>
        <v>0</v>
      </c>
      <c r="K461" s="650"/>
      <c r="L461" s="650">
        <f>' Plan Energi 2013'!R$36/IF(' Plan Energi 2013'!X$36&gt;0,' Plan Energi 2013'!X$36,1)</f>
        <v>0</v>
      </c>
      <c r="M461" s="650"/>
      <c r="N461" s="650">
        <f>' Plan Energi 2015'!R$36/IF(' Plan Energi 2015'!X$36&gt;0,' Plan Energi 2015'!X$36,1)</f>
        <v>0</v>
      </c>
      <c r="O461" s="650"/>
      <c r="P461" s="650">
        <f>' Plan Energi 2017'!R$36/IF(' Plan Energi 2017'!X$36&gt;0,' Plan Energi 2017'!X$36,1)</f>
        <v>0</v>
      </c>
      <c r="Q461" s="650"/>
      <c r="R461" s="650">
        <f>' Plan Energi 2019'!R$36/IF(' Plan Energi 2019'!X$36&gt;0,' Plan Energi 2019'!X$36,1)</f>
        <v>0</v>
      </c>
      <c r="S461" s="650"/>
      <c r="T461" s="726">
        <f>Fjernvarme!J91</f>
        <v>0</v>
      </c>
      <c r="U461" s="650"/>
      <c r="V461" s="726">
        <f>Fjernvarme!L91</f>
        <v>0</v>
      </c>
      <c r="W461" s="650"/>
      <c r="X461" s="604"/>
    </row>
    <row r="462" spans="1:24" x14ac:dyDescent="0.25">
      <c r="A462" s="604" t="s">
        <v>23</v>
      </c>
      <c r="B462" s="650">
        <f>' Plan Energi 2030-S'!S$36/IF(' Plan Energi 2030-S'!X$36&gt;0,' Plan Energi 2030-S'!X$36,1)</f>
        <v>0</v>
      </c>
      <c r="C462" s="650"/>
      <c r="D462" s="650">
        <f>' Plan Energi 2006'!S$36/IF(' Plan Energi 2006'!X$36&gt;0,' Plan Energi 2006'!X$36,1)</f>
        <v>0</v>
      </c>
      <c r="E462" s="650"/>
      <c r="F462" s="650">
        <f>' Plan Energi 2008'!S$36/IF(' Plan Energi 2008'!X$36&gt;0,' Plan Energi 2008'!X$36,1)</f>
        <v>0</v>
      </c>
      <c r="G462" s="650"/>
      <c r="H462" s="650">
        <f>' Plan Energi 2009'!S$36/IF(' Plan Energi 2009'!X$36&gt;0,' Plan Energi 2009'!X$36,1)</f>
        <v>0</v>
      </c>
      <c r="I462" s="650"/>
      <c r="J462" s="650">
        <f>' Plan Energi 2011'!S$36/IF(' Plan Energi 2011'!X$36&gt;0,' Plan Energi 2011'!X$36,1)</f>
        <v>0</v>
      </c>
      <c r="K462" s="650"/>
      <c r="L462" s="650">
        <f>' Plan Energi 2013'!S$36/IF(' Plan Energi 2013'!X$36&gt;0,' Plan Energi 2013'!X$36,1)</f>
        <v>0</v>
      </c>
      <c r="M462" s="650"/>
      <c r="N462" s="650">
        <f>' Plan Energi 2015'!S$36/IF(' Plan Energi 2015'!X$36&gt;0,' Plan Energi 2015'!X$36,1)</f>
        <v>0</v>
      </c>
      <c r="O462" s="650"/>
      <c r="P462" s="650">
        <f>' Plan Energi 2017'!S$36/IF(' Plan Energi 2017'!X$36&gt;0,' Plan Energi 2017'!X$36,1)</f>
        <v>0</v>
      </c>
      <c r="Q462" s="650"/>
      <c r="R462" s="650">
        <f>' Plan Energi 2019'!S$36/IF(' Plan Energi 2019'!X$36&gt;0,' Plan Energi 2019'!X$36,1)</f>
        <v>0</v>
      </c>
      <c r="S462" s="650"/>
      <c r="T462" s="726">
        <f>Fjernvarme!J92</f>
        <v>0</v>
      </c>
      <c r="U462" s="650"/>
      <c r="V462" s="726">
        <f>Fjernvarme!L92</f>
        <v>0</v>
      </c>
      <c r="W462" s="650"/>
      <c r="X462" s="604"/>
    </row>
    <row r="463" spans="1:24" x14ac:dyDescent="0.25">
      <c r="A463" s="604" t="s">
        <v>26</v>
      </c>
      <c r="B463" s="650">
        <f>' Plan Energi 2030-S'!V$36/IF(' Plan Energi 2030-S'!X$36&gt;0,' Plan Energi 2030-S'!X$36,1)</f>
        <v>0</v>
      </c>
      <c r="C463" s="650"/>
      <c r="D463" s="650">
        <f>' Plan Energi 2006'!V$36/IF(' Plan Energi 2006'!X$36&gt;0,' Plan Energi 2006'!X$36,1)</f>
        <v>0</v>
      </c>
      <c r="E463" s="650"/>
      <c r="F463" s="650">
        <f>' Plan Energi 2008'!V$36/IF(' Plan Energi 2008'!X$36&gt;0,' Plan Energi 2008'!X$36,1)</f>
        <v>0</v>
      </c>
      <c r="G463" s="650"/>
      <c r="H463" s="650">
        <f>' Plan Energi 2009'!V$36/IF(' Plan Energi 2009'!X$36&gt;0,' Plan Energi 2009'!X$36,1)</f>
        <v>0</v>
      </c>
      <c r="I463" s="650"/>
      <c r="J463" s="650">
        <f>' Plan Energi 2011'!V$36/IF(' Plan Energi 2011'!X$36&gt;0,' Plan Energi 2011'!X$36,1)</f>
        <v>0</v>
      </c>
      <c r="K463" s="650"/>
      <c r="L463" s="650">
        <f>' Plan Energi 2013'!V$36/IF(' Plan Energi 2013'!X$36&gt;0,' Plan Energi 2013'!X$36,1)</f>
        <v>0</v>
      </c>
      <c r="M463" s="650"/>
      <c r="N463" s="650">
        <f>' Plan Energi 2015'!V$36/IF(' Plan Energi 2015'!X$36&gt;0,' Plan Energi 2015'!X$36,1)</f>
        <v>0</v>
      </c>
      <c r="O463" s="650"/>
      <c r="P463" s="650">
        <f>' Plan Energi 2017'!V$36/IF(' Plan Energi 2017'!X$36&gt;0,' Plan Energi 2017'!X$36,1)</f>
        <v>0</v>
      </c>
      <c r="Q463" s="650"/>
      <c r="R463" s="650">
        <f>' Plan Energi 2019'!V$36/IF(' Plan Energi 2019'!X$36&gt;0,' Plan Energi 2019'!X$36,1)</f>
        <v>0</v>
      </c>
      <c r="S463" s="650"/>
      <c r="T463" s="726">
        <f>Fjernvarme!J93</f>
        <v>0</v>
      </c>
      <c r="U463" s="650"/>
      <c r="V463" s="726">
        <f>Fjernvarme!L93</f>
        <v>0</v>
      </c>
      <c r="W463" s="650"/>
      <c r="X463" s="604"/>
    </row>
    <row r="464" spans="1:24" x14ac:dyDescent="0.25">
      <c r="A464" s="629" t="s">
        <v>382</v>
      </c>
      <c r="B464" s="650"/>
      <c r="C464" s="650"/>
      <c r="D464" s="650"/>
      <c r="E464" s="650"/>
      <c r="F464" s="650"/>
      <c r="G464" s="650"/>
      <c r="H464" s="650"/>
      <c r="I464" s="650"/>
      <c r="J464" s="650"/>
      <c r="K464" s="650"/>
      <c r="L464" s="650"/>
      <c r="M464" s="650"/>
      <c r="N464" s="650"/>
      <c r="O464" s="650"/>
      <c r="P464" s="650"/>
      <c r="Q464" s="650"/>
      <c r="R464" s="650"/>
      <c r="S464" s="650"/>
      <c r="T464" s="650"/>
      <c r="U464" s="650"/>
      <c r="V464" s="650"/>
      <c r="W464" s="650"/>
      <c r="X464" s="604"/>
    </row>
    <row r="465" spans="1:24" x14ac:dyDescent="0.25">
      <c r="A465" s="604" t="s">
        <v>623</v>
      </c>
      <c r="B465" s="650"/>
      <c r="C465" s="649">
        <f>' Plan Energi 2030-S'!AB37/100</f>
        <v>0</v>
      </c>
      <c r="D465" s="649"/>
      <c r="E465" s="649">
        <f>IF(' Plan Energi 2006'!AB37/100&gt;0,' Plan Energi 2006'!AB37/100,4)</f>
        <v>4</v>
      </c>
      <c r="F465" s="649"/>
      <c r="G465" s="649">
        <f>IF(' Plan Energi 2008'!AB37/100&gt;0,' Plan Energi 2008'!AB37/100,4)</f>
        <v>4</v>
      </c>
      <c r="H465" s="649"/>
      <c r="I465" s="649">
        <f>IF(' Plan Energi 2009'!AB37/100&gt;0,' Plan Energi 2009'!AB37/100,4)</f>
        <v>4</v>
      </c>
      <c r="J465" s="649"/>
      <c r="K465" s="649">
        <f>IF(' Plan Energi 2011'!AB37/100&gt;0,' Plan Energi 2011'!AB37/100,4)</f>
        <v>4</v>
      </c>
      <c r="L465" s="649"/>
      <c r="M465" s="649">
        <f>IF(' Plan Energi 2013'!AB37/100&gt;0,' Plan Energi 2013'!AB37/100,4)</f>
        <v>4</v>
      </c>
      <c r="N465" s="649"/>
      <c r="O465" s="649">
        <f>IF(' Plan Energi 2015'!AB37/100&gt;0,' Plan Energi 2015'!AB37/100,4)</f>
        <v>4</v>
      </c>
      <c r="P465" s="649"/>
      <c r="Q465" s="649">
        <f>IF(' Plan Energi 2017'!AB37/100&gt;0,' Plan Energi 2017'!AB37/100,4)</f>
        <v>4</v>
      </c>
      <c r="R465" s="649"/>
      <c r="S465" s="649">
        <f>IF(' Plan Energi 2019'!AB37/100&gt;0,' Plan Energi 2019'!AB37/100,4)</f>
        <v>4</v>
      </c>
      <c r="T465" s="650"/>
      <c r="U465" s="741">
        <f>Fjernvarme!K95</f>
        <v>4.5</v>
      </c>
      <c r="V465" s="650"/>
      <c r="W465" s="742">
        <f>Fjernvarme!M95</f>
        <v>4.5</v>
      </c>
      <c r="X465" s="604"/>
    </row>
    <row r="466" spans="1:24" ht="15" customHeight="1" x14ac:dyDescent="0.25">
      <c r="A466" s="629" t="s">
        <v>386</v>
      </c>
      <c r="B466" s="650"/>
      <c r="C466" s="650"/>
      <c r="D466" s="650"/>
      <c r="E466" s="650"/>
      <c r="F466" s="650"/>
      <c r="G466" s="650"/>
      <c r="H466" s="650"/>
      <c r="I466" s="650"/>
      <c r="J466" s="650"/>
      <c r="K466" s="650"/>
      <c r="L466" s="650"/>
      <c r="M466" s="650"/>
      <c r="N466" s="650"/>
      <c r="O466" s="650"/>
      <c r="P466" s="650"/>
      <c r="Q466" s="650"/>
      <c r="R466" s="650"/>
      <c r="S466" s="650"/>
      <c r="T466" s="650"/>
      <c r="U466" s="650"/>
      <c r="V466" s="650"/>
      <c r="W466" s="650"/>
      <c r="X466" s="604"/>
    </row>
    <row r="467" spans="1:24" ht="15" customHeight="1" x14ac:dyDescent="0.25">
      <c r="A467" s="604" t="s">
        <v>388</v>
      </c>
      <c r="B467" s="650">
        <f>' Plan Energi 2030-S'!T40/IF(' Plan Energi 2030-S'!X40&gt;0,' Plan Energi 2030-S'!X40,1)</f>
        <v>0</v>
      </c>
      <c r="C467" s="650"/>
      <c r="D467" s="650">
        <f>' Plan Energi 2006'!T40/IF(' Plan Energi 2006'!X40&gt;0,' Plan Energi 2006'!X40,1)</f>
        <v>0</v>
      </c>
      <c r="E467" s="650"/>
      <c r="F467" s="650">
        <f>' Plan Energi 2008'!T40/IF(' Plan Energi 2008'!X40&gt;0,' Plan Energi 2008'!X40,1)</f>
        <v>0</v>
      </c>
      <c r="G467" s="650"/>
      <c r="H467" s="650">
        <f>' Plan Energi 2009'!T40/IF(' Plan Energi 2009'!X40&gt;0,' Plan Energi 2009'!X40,1)</f>
        <v>0</v>
      </c>
      <c r="I467" s="650"/>
      <c r="J467" s="650">
        <f>' Plan Energi 2011'!T40/IF(' Plan Energi 2011'!X40&gt;0,' Plan Energi 2011'!X40,1)</f>
        <v>0</v>
      </c>
      <c r="K467" s="650"/>
      <c r="L467" s="650">
        <f>' Plan Energi 2013'!T40/IF(' Plan Energi 2013'!X40&gt;0,' Plan Energi 2013'!X40,1)</f>
        <v>0</v>
      </c>
      <c r="M467" s="650"/>
      <c r="N467" s="650">
        <f>' Plan Energi 2015'!T40/IF(' Plan Energi 2015'!X40&gt;0,' Plan Energi 2015'!X40,1)</f>
        <v>0</v>
      </c>
      <c r="O467" s="650"/>
      <c r="P467" s="650">
        <f>' Plan Energi 2017'!T40/IF(' Plan Energi 2017'!X40&gt;0,' Plan Energi 2017'!X40,1)</f>
        <v>0</v>
      </c>
      <c r="Q467" s="650"/>
      <c r="R467" s="650">
        <f>' Plan Energi 2019'!T40/IF(' Plan Energi 2019'!X40&gt;0,' Plan Energi 2019'!X40,1)</f>
        <v>0</v>
      </c>
      <c r="S467" s="650"/>
      <c r="T467" s="726">
        <f>Fjernvarme!J97</f>
        <v>0</v>
      </c>
      <c r="U467" s="650"/>
      <c r="V467" s="726">
        <f>Fjernvarme!L97</f>
        <v>0</v>
      </c>
      <c r="W467" s="650"/>
      <c r="X467" s="604"/>
    </row>
    <row r="468" spans="1:24" ht="15" customHeight="1" x14ac:dyDescent="0.25">
      <c r="A468" s="604" t="s">
        <v>389</v>
      </c>
      <c r="B468" s="650">
        <f>' Plan Energi 2030-S'!U40/IF(' Plan Energi 2030-S'!X40&gt;0,' Plan Energi 2030-S'!X40,1)</f>
        <v>0</v>
      </c>
      <c r="C468" s="650"/>
      <c r="D468" s="650">
        <f>' Plan Energi 2006'!U40/IF(' Plan Energi 2006'!X40&gt;0,' Plan Energi 2006'!X40,1)</f>
        <v>0</v>
      </c>
      <c r="E468" s="650"/>
      <c r="F468" s="650">
        <f>' Plan Energi 2008'!U40/IF(' Plan Energi 2008'!X40&gt;0,' Plan Energi 2008'!X40,1)</f>
        <v>0</v>
      </c>
      <c r="G468" s="650"/>
      <c r="H468" s="650">
        <f>' Plan Energi 2009'!U40/IF(' Plan Energi 2009'!X40&gt;0,' Plan Energi 2009'!X40,1)</f>
        <v>0</v>
      </c>
      <c r="I468" s="650"/>
      <c r="J468" s="650">
        <f>' Plan Energi 2011'!U40/IF(' Plan Energi 2011'!X40&gt;0,' Plan Energi 2011'!X40,1)</f>
        <v>0</v>
      </c>
      <c r="K468" s="650"/>
      <c r="L468" s="650">
        <f>' Plan Energi 2013'!U40/IF(' Plan Energi 2013'!X40&gt;0,' Plan Energi 2013'!X40,1)</f>
        <v>0</v>
      </c>
      <c r="M468" s="650"/>
      <c r="N468" s="650">
        <f>' Plan Energi 2015'!U40/IF(' Plan Energi 2015'!X40&gt;0,' Plan Energi 2015'!X40,1)</f>
        <v>0</v>
      </c>
      <c r="O468" s="650"/>
      <c r="P468" s="650">
        <f>' Plan Energi 2017'!U40/IF(' Plan Energi 2017'!X40&gt;0,' Plan Energi 2017'!X40,1)</f>
        <v>0</v>
      </c>
      <c r="Q468" s="650"/>
      <c r="R468" s="650">
        <f>' Plan Energi 2019'!U40/IF(' Plan Energi 2019'!X40&gt;0,' Plan Energi 2019'!X40,1)</f>
        <v>0</v>
      </c>
      <c r="S468" s="650"/>
      <c r="T468" s="726">
        <f>Fjernvarme!J98</f>
        <v>0</v>
      </c>
      <c r="U468" s="650"/>
      <c r="V468" s="726">
        <f>Fjernvarme!L98</f>
        <v>0</v>
      </c>
      <c r="W468" s="650"/>
      <c r="X468" s="604"/>
    </row>
    <row r="469" spans="1:24" ht="15" customHeight="1" x14ac:dyDescent="0.25">
      <c r="A469" s="604" t="s">
        <v>471</v>
      </c>
      <c r="B469" s="650">
        <f>' Plan Energi 2030-S'!W40/IF(' Plan Energi 2030-S'!X40&gt;0,' Plan Energi 2030-S'!X40,1)</f>
        <v>0</v>
      </c>
      <c r="C469" s="650"/>
      <c r="D469" s="650">
        <f>' Plan Energi 2006'!W40/IF(' Plan Energi 2006'!X40&gt;0,' Plan Energi 2006'!X40,1)</f>
        <v>0</v>
      </c>
      <c r="E469" s="650"/>
      <c r="F469" s="650">
        <f>' Plan Energi 2008'!W40/IF(' Plan Energi 2008'!X40&gt;0,' Plan Energi 2008'!X40,1)</f>
        <v>0</v>
      </c>
      <c r="G469" s="650"/>
      <c r="H469" s="650">
        <f>' Plan Energi 2009'!W40/IF(' Plan Energi 2009'!X40&gt;0,' Plan Energi 2009'!X40,1)</f>
        <v>0</v>
      </c>
      <c r="I469" s="650"/>
      <c r="J469" s="650">
        <f>' Plan Energi 2011'!W40/IF(' Plan Energi 2011'!X40&gt;0,' Plan Energi 2011'!X40,1)</f>
        <v>0</v>
      </c>
      <c r="K469" s="650"/>
      <c r="L469" s="650">
        <f>' Plan Energi 2013'!W40/IF(' Plan Energi 2013'!X40&gt;0,' Plan Energi 2013'!X40,1)</f>
        <v>0</v>
      </c>
      <c r="M469" s="650"/>
      <c r="N469" s="650">
        <f>' Plan Energi 2015'!W40/IF(' Plan Energi 2015'!X40&gt;0,' Plan Energi 2015'!X40,1)</f>
        <v>0</v>
      </c>
      <c r="O469" s="650"/>
      <c r="P469" s="650">
        <f>' Plan Energi 2017'!W40/IF(' Plan Energi 2017'!X40&gt;0,' Plan Energi 2017'!X40,1)</f>
        <v>0</v>
      </c>
      <c r="Q469" s="650"/>
      <c r="R469" s="650">
        <f>' Plan Energi 2019'!W40/IF(' Plan Energi 2019'!X40&gt;0,' Plan Energi 2019'!X40,1)</f>
        <v>0</v>
      </c>
      <c r="S469" s="650"/>
      <c r="T469" s="726">
        <f>Fjernvarme!J99</f>
        <v>0</v>
      </c>
      <c r="U469" s="650"/>
      <c r="V469" s="726">
        <f>Fjernvarme!L99</f>
        <v>0</v>
      </c>
      <c r="W469" s="650"/>
      <c r="X469" s="604"/>
    </row>
    <row r="470" spans="1:24" ht="15" customHeight="1" x14ac:dyDescent="0.25">
      <c r="A470" s="629" t="s">
        <v>391</v>
      </c>
      <c r="B470" s="650"/>
      <c r="C470" s="650"/>
      <c r="D470" s="650"/>
      <c r="E470" s="650"/>
      <c r="F470" s="650"/>
      <c r="G470" s="650"/>
      <c r="H470" s="650"/>
      <c r="I470" s="650"/>
      <c r="J470" s="650"/>
      <c r="K470" s="650"/>
      <c r="L470" s="650"/>
      <c r="M470" s="650"/>
      <c r="N470" s="650"/>
      <c r="O470" s="650"/>
      <c r="P470" s="650"/>
      <c r="Q470" s="650"/>
      <c r="R470" s="650"/>
      <c r="S470" s="650"/>
      <c r="T470" s="650"/>
      <c r="U470" s="650"/>
      <c r="V470" s="650"/>
      <c r="W470" s="650"/>
      <c r="X470" s="604"/>
    </row>
    <row r="471" spans="1:24" ht="15" customHeight="1" x14ac:dyDescent="0.25">
      <c r="A471" s="604" t="s">
        <v>388</v>
      </c>
      <c r="B471" s="650">
        <f>' Plan Energi 2030-S'!T41/IF(' Plan Energi 2030-S'!X41&gt;0,' Plan Energi 2030-S'!X41,1)</f>
        <v>0</v>
      </c>
      <c r="C471" s="650"/>
      <c r="D471" s="650">
        <f>' Plan Energi 2006'!T41/IF(' Plan Energi 2006'!X41&gt;0,' Plan Energi 2006'!X41,1)</f>
        <v>0</v>
      </c>
      <c r="E471" s="650"/>
      <c r="F471" s="650">
        <f>' Plan Energi 2008'!T41/IF(' Plan Energi 2008'!X41&gt;0,' Plan Energi 2008'!X41,1)</f>
        <v>0</v>
      </c>
      <c r="G471" s="650"/>
      <c r="H471" s="650">
        <f>' Plan Energi 2009'!T41/IF(' Plan Energi 2009'!X41&gt;0,' Plan Energi 2009'!X41,1)</f>
        <v>0</v>
      </c>
      <c r="I471" s="650"/>
      <c r="J471" s="650">
        <f>' Plan Energi 2011'!T41/IF(' Plan Energi 2011'!X41&gt;0,' Plan Energi 2011'!X41,1)</f>
        <v>0</v>
      </c>
      <c r="K471" s="650"/>
      <c r="L471" s="650">
        <f>' Plan Energi 2013'!T41/IF(' Plan Energi 2013'!X41&gt;0,' Plan Energi 2013'!X41,1)</f>
        <v>0</v>
      </c>
      <c r="M471" s="650"/>
      <c r="N471" s="650">
        <f>' Plan Energi 2015'!T41/IF(' Plan Energi 2015'!X41&gt;0,' Plan Energi 2015'!X41,1)</f>
        <v>0</v>
      </c>
      <c r="O471" s="650"/>
      <c r="P471" s="650">
        <f>' Plan Energi 2017'!T41/IF(' Plan Energi 2017'!X41&gt;0,' Plan Energi 2017'!X41,1)</f>
        <v>0</v>
      </c>
      <c r="Q471" s="650"/>
      <c r="R471" s="650">
        <f>' Plan Energi 2019'!T41/IF(' Plan Energi 2019'!X41&gt;0,' Plan Energi 2019'!X41,1)</f>
        <v>0</v>
      </c>
      <c r="S471" s="650"/>
      <c r="T471" s="726">
        <f>Fjernvarme!J101</f>
        <v>0</v>
      </c>
      <c r="U471" s="650"/>
      <c r="V471" s="726">
        <f>Fjernvarme!L101</f>
        <v>0</v>
      </c>
      <c r="W471" s="650"/>
      <c r="X471" s="604"/>
    </row>
    <row r="472" spans="1:24" ht="15" customHeight="1" x14ac:dyDescent="0.25">
      <c r="A472" s="604" t="s">
        <v>389</v>
      </c>
      <c r="B472" s="650">
        <f>' Plan Energi 2030-S'!U41/IF(' Plan Energi 2030-S'!X41&gt;0,' Plan Energi 2030-S'!X41,1)</f>
        <v>0</v>
      </c>
      <c r="C472" s="650"/>
      <c r="D472" s="650">
        <f>' Plan Energi 2006'!U41/IF(' Plan Energi 2006'!X41&gt;0,' Plan Energi 2006'!X41,1)</f>
        <v>0</v>
      </c>
      <c r="E472" s="650"/>
      <c r="F472" s="650">
        <f>' Plan Energi 2008'!U41/IF(' Plan Energi 2008'!X41&gt;0,' Plan Energi 2008'!X41,1)</f>
        <v>0</v>
      </c>
      <c r="G472" s="650"/>
      <c r="H472" s="650">
        <f>' Plan Energi 2009'!U41/IF(' Plan Energi 2009'!X41&gt;0,' Plan Energi 2009'!X41,1)</f>
        <v>0</v>
      </c>
      <c r="I472" s="650"/>
      <c r="J472" s="650">
        <f>' Plan Energi 2011'!U41/IF(' Plan Energi 2011'!X41&gt;0,' Plan Energi 2011'!X41,1)</f>
        <v>0</v>
      </c>
      <c r="K472" s="650"/>
      <c r="L472" s="650">
        <f>' Plan Energi 2013'!U41/IF(' Plan Energi 2013'!X41&gt;0,' Plan Energi 2013'!X41,1)</f>
        <v>0</v>
      </c>
      <c r="M472" s="650"/>
      <c r="N472" s="650">
        <f>' Plan Energi 2015'!U41/IF(' Plan Energi 2015'!X41&gt;0,' Plan Energi 2015'!X41,1)</f>
        <v>0</v>
      </c>
      <c r="O472" s="650"/>
      <c r="P472" s="650">
        <f>' Plan Energi 2017'!U41/IF(' Plan Energi 2017'!X41&gt;0,' Plan Energi 2017'!X41,1)</f>
        <v>0</v>
      </c>
      <c r="Q472" s="650"/>
      <c r="R472" s="650">
        <f>' Plan Energi 2019'!U41/IF(' Plan Energi 2019'!X41&gt;0,' Plan Energi 2019'!X41,1)</f>
        <v>0</v>
      </c>
      <c r="S472" s="650"/>
      <c r="T472" s="726">
        <f>Fjernvarme!J102</f>
        <v>0</v>
      </c>
      <c r="U472" s="650"/>
      <c r="V472" s="726">
        <f>Fjernvarme!L102</f>
        <v>0</v>
      </c>
      <c r="W472" s="650"/>
      <c r="X472" s="604"/>
    </row>
    <row r="473" spans="1:24" ht="15" customHeight="1" x14ac:dyDescent="0.25">
      <c r="A473" s="604" t="s">
        <v>471</v>
      </c>
      <c r="B473" s="650">
        <f>' Plan Energi 2030-S'!W41/IF(' Plan Energi 2030-S'!X41&gt;0,' Plan Energi 2030-S'!X41,1)</f>
        <v>0</v>
      </c>
      <c r="C473" s="650"/>
      <c r="D473" s="650">
        <f>' Plan Energi 2006'!W41/IF(' Plan Energi 2006'!X41&gt;0,' Plan Energi 2006'!X41,1)</f>
        <v>0</v>
      </c>
      <c r="E473" s="650"/>
      <c r="F473" s="650">
        <f>' Plan Energi 2008'!W41/IF(' Plan Energi 2008'!X41&gt;0,' Plan Energi 2008'!X41,1)</f>
        <v>0</v>
      </c>
      <c r="G473" s="650"/>
      <c r="H473" s="650">
        <f>' Plan Energi 2009'!W41/IF(' Plan Energi 2009'!X41&gt;0,' Plan Energi 2009'!X41,1)</f>
        <v>0</v>
      </c>
      <c r="I473" s="650"/>
      <c r="J473" s="650">
        <f>' Plan Energi 2011'!W41/IF(' Plan Energi 2011'!X41&gt;0,' Plan Energi 2011'!X41,1)</f>
        <v>0</v>
      </c>
      <c r="K473" s="650"/>
      <c r="L473" s="650">
        <f>' Plan Energi 2013'!W41/IF(' Plan Energi 2013'!X41&gt;0,' Plan Energi 2013'!X41,1)</f>
        <v>0</v>
      </c>
      <c r="M473" s="650"/>
      <c r="N473" s="650">
        <f>' Plan Energi 2015'!W41/IF(' Plan Energi 2015'!X41&gt;0,' Plan Energi 2015'!X41,1)</f>
        <v>0</v>
      </c>
      <c r="O473" s="650"/>
      <c r="P473" s="650">
        <f>' Plan Energi 2017'!W41/IF(' Plan Energi 2017'!X41&gt;0,' Plan Energi 2017'!X41,1)</f>
        <v>0</v>
      </c>
      <c r="Q473" s="650"/>
      <c r="R473" s="650">
        <f>' Plan Energi 2019'!W41/IF(' Plan Energi 2019'!X41&gt;0,' Plan Energi 2019'!X41,1)</f>
        <v>0</v>
      </c>
      <c r="S473" s="650"/>
      <c r="T473" s="726">
        <f>Fjernvarme!J103</f>
        <v>0</v>
      </c>
      <c r="U473" s="650"/>
      <c r="V473" s="726">
        <f>Fjernvarme!L103</f>
        <v>0</v>
      </c>
      <c r="W473" s="650"/>
      <c r="X473" s="604"/>
    </row>
    <row r="474" spans="1:24" ht="15" customHeight="1" x14ac:dyDescent="0.25">
      <c r="A474" s="629" t="s">
        <v>395</v>
      </c>
      <c r="B474" s="650"/>
      <c r="C474" s="650"/>
      <c r="D474" s="650"/>
      <c r="E474" s="650"/>
      <c r="F474" s="650"/>
      <c r="G474" s="650"/>
      <c r="H474" s="650"/>
      <c r="I474" s="650"/>
      <c r="J474" s="650"/>
      <c r="K474" s="650"/>
      <c r="L474" s="650"/>
      <c r="M474" s="650"/>
      <c r="N474" s="650"/>
      <c r="O474" s="650"/>
      <c r="P474" s="650"/>
      <c r="Q474" s="650"/>
      <c r="R474" s="650"/>
      <c r="S474" s="650"/>
      <c r="T474" s="650"/>
      <c r="U474" s="650"/>
      <c r="V474" s="650"/>
      <c r="W474" s="650"/>
      <c r="X474" s="604"/>
    </row>
    <row r="475" spans="1:24" ht="15" customHeight="1" x14ac:dyDescent="0.25">
      <c r="A475" s="604" t="s">
        <v>388</v>
      </c>
      <c r="B475" s="650">
        <f>' Plan Energi 2030-S'!T42/IF(' Plan Energi 2030-S'!X42&gt;0,' Plan Energi 2030-S'!X42,1)</f>
        <v>0</v>
      </c>
      <c r="C475" s="650"/>
      <c r="D475" s="650">
        <f>' Plan Energi 2006'!T42/IF(' Plan Energi 2006'!X42&gt;0,' Plan Energi 2006'!X42,1)</f>
        <v>0</v>
      </c>
      <c r="E475" s="650"/>
      <c r="F475" s="650">
        <f>' Plan Energi 2008'!T42/IF(' Plan Energi 2008'!X42&gt;0,' Plan Energi 2008'!X42,1)</f>
        <v>0</v>
      </c>
      <c r="G475" s="650"/>
      <c r="H475" s="650">
        <f>' Plan Energi 2009'!T42/IF(' Plan Energi 2009'!X42&gt;0,' Plan Energi 2009'!X42,1)</f>
        <v>0</v>
      </c>
      <c r="I475" s="650"/>
      <c r="J475" s="650">
        <f>' Plan Energi 2011'!T42/IF(' Plan Energi 2011'!X42&gt;0,' Plan Energi 2011'!X42,1)</f>
        <v>0</v>
      </c>
      <c r="K475" s="650"/>
      <c r="L475" s="650">
        <f>' Plan Energi 2013'!T42/IF(' Plan Energi 2013'!X42&gt;0,' Plan Energi 2013'!X42,1)</f>
        <v>0</v>
      </c>
      <c r="M475" s="650"/>
      <c r="N475" s="650">
        <f>' Plan Energi 2015'!T42/IF(' Plan Energi 2015'!X42&gt;0,' Plan Energi 2015'!X42,1)</f>
        <v>0</v>
      </c>
      <c r="O475" s="650"/>
      <c r="P475" s="650">
        <f>' Plan Energi 2017'!T42/IF(' Plan Energi 2017'!X42&gt;0,' Plan Energi 2017'!X42,1)</f>
        <v>0</v>
      </c>
      <c r="Q475" s="650"/>
      <c r="R475" s="650">
        <f>' Plan Energi 2019'!T42/IF(' Plan Energi 2019'!X42&gt;0,' Plan Energi 2019'!X42,1)</f>
        <v>0</v>
      </c>
      <c r="S475" s="650"/>
      <c r="T475" s="726">
        <f>Fjernvarme!J105</f>
        <v>0</v>
      </c>
      <c r="U475" s="650"/>
      <c r="V475" s="726">
        <f>Fjernvarme!L105</f>
        <v>0</v>
      </c>
      <c r="W475" s="650"/>
      <c r="X475" s="604"/>
    </row>
    <row r="476" spans="1:24" ht="15" customHeight="1" x14ac:dyDescent="0.25">
      <c r="A476" s="604" t="s">
        <v>389</v>
      </c>
      <c r="B476" s="650">
        <f>' Plan Energi 2030-S'!U42/IF(' Plan Energi 2030-S'!X42&gt;0,' Plan Energi 2030-S'!X42,1)</f>
        <v>0</v>
      </c>
      <c r="C476" s="650"/>
      <c r="D476" s="650">
        <f>' Plan Energi 2006'!U42/IF(' Plan Energi 2006'!X42&gt;0,' Plan Energi 2006'!X42,1)</f>
        <v>0</v>
      </c>
      <c r="E476" s="650"/>
      <c r="F476" s="650">
        <f>' Plan Energi 2008'!U42/IF(' Plan Energi 2008'!X42&gt;0,' Plan Energi 2008'!X42,1)</f>
        <v>0</v>
      </c>
      <c r="G476" s="650"/>
      <c r="H476" s="650">
        <f>' Plan Energi 2009'!U42/IF(' Plan Energi 2009'!X42&gt;0,' Plan Energi 2009'!X42,1)</f>
        <v>0</v>
      </c>
      <c r="I476" s="650"/>
      <c r="J476" s="650">
        <f>' Plan Energi 2011'!U42/IF(' Plan Energi 2011'!X42&gt;0,' Plan Energi 2011'!X42,1)</f>
        <v>0</v>
      </c>
      <c r="K476" s="650"/>
      <c r="L476" s="650">
        <f>' Plan Energi 2013'!U42/IF(' Plan Energi 2013'!X42&gt;0,' Plan Energi 2013'!X42,1)</f>
        <v>0</v>
      </c>
      <c r="M476" s="650"/>
      <c r="N476" s="650">
        <f>' Plan Energi 2015'!U42/IF(' Plan Energi 2015'!X42&gt;0,' Plan Energi 2015'!X42,1)</f>
        <v>0</v>
      </c>
      <c r="O476" s="650"/>
      <c r="P476" s="650">
        <f>' Plan Energi 2017'!U42/IF(' Plan Energi 2017'!X42&gt;0,' Plan Energi 2017'!X42,1)</f>
        <v>0</v>
      </c>
      <c r="Q476" s="650"/>
      <c r="R476" s="650">
        <f>' Plan Energi 2019'!U42/IF(' Plan Energi 2019'!X42&gt;0,' Plan Energi 2019'!X42,1)</f>
        <v>0</v>
      </c>
      <c r="S476" s="650"/>
      <c r="T476" s="726">
        <f>Fjernvarme!J106</f>
        <v>0</v>
      </c>
      <c r="U476" s="650"/>
      <c r="V476" s="726">
        <f>Fjernvarme!L106</f>
        <v>0</v>
      </c>
      <c r="W476" s="650"/>
      <c r="X476" s="604"/>
    </row>
    <row r="477" spans="1:24" ht="15" customHeight="1" x14ac:dyDescent="0.25">
      <c r="A477" s="604" t="s">
        <v>471</v>
      </c>
      <c r="B477" s="650">
        <f>' Plan Energi 2030-S'!W42/IF(' Plan Energi 2030-S'!X42&gt;0,' Plan Energi 2030-S'!X42,1)</f>
        <v>0</v>
      </c>
      <c r="C477" s="650"/>
      <c r="D477" s="650">
        <f>' Plan Energi 2006'!W42/IF(' Plan Energi 2006'!X42&gt;0,' Plan Energi 2006'!X42,1)</f>
        <v>0</v>
      </c>
      <c r="E477" s="650"/>
      <c r="F477" s="650">
        <f>' Plan Energi 2008'!W42/IF(' Plan Energi 2008'!X42&gt;0,' Plan Energi 2008'!X42,1)</f>
        <v>0</v>
      </c>
      <c r="G477" s="650"/>
      <c r="H477" s="650">
        <f>' Plan Energi 2009'!W42/IF(' Plan Energi 2009'!X42&gt;0,' Plan Energi 2009'!X42,1)</f>
        <v>0</v>
      </c>
      <c r="I477" s="650"/>
      <c r="J477" s="650">
        <f>' Plan Energi 2011'!W42/IF(' Plan Energi 2011'!X42&gt;0,' Plan Energi 2011'!X42,1)</f>
        <v>0</v>
      </c>
      <c r="K477" s="650"/>
      <c r="L477" s="650">
        <f>' Plan Energi 2013'!W42/IF(' Plan Energi 2013'!X42&gt;0,' Plan Energi 2013'!X42,1)</f>
        <v>0</v>
      </c>
      <c r="M477" s="650"/>
      <c r="N477" s="650">
        <f>' Plan Energi 2015'!W42/IF(' Plan Energi 2015'!X42&gt;0,' Plan Energi 2015'!X42,1)</f>
        <v>0</v>
      </c>
      <c r="O477" s="650"/>
      <c r="P477" s="650">
        <f>' Plan Energi 2017'!W42/IF(' Plan Energi 2017'!X42&gt;0,' Plan Energi 2017'!X42,1)</f>
        <v>0</v>
      </c>
      <c r="Q477" s="650"/>
      <c r="R477" s="650">
        <f>' Plan Energi 2019'!W42/IF(' Plan Energi 2019'!X42&gt;0,' Plan Energi 2019'!X42,1)</f>
        <v>0</v>
      </c>
      <c r="S477" s="650"/>
      <c r="T477" s="726">
        <f>Fjernvarme!J107</f>
        <v>0</v>
      </c>
      <c r="U477" s="650"/>
      <c r="V477" s="726">
        <f>Fjernvarme!L107</f>
        <v>0</v>
      </c>
      <c r="W477" s="650"/>
      <c r="X477" s="604"/>
    </row>
    <row r="478" spans="1:24" ht="15" customHeight="1" x14ac:dyDescent="0.25">
      <c r="A478" s="629" t="s">
        <v>399</v>
      </c>
      <c r="B478" s="650"/>
      <c r="C478" s="650"/>
      <c r="D478" s="650"/>
      <c r="E478" s="650"/>
      <c r="F478" s="650"/>
      <c r="G478" s="650"/>
      <c r="H478" s="650"/>
      <c r="I478" s="650"/>
      <c r="J478" s="650"/>
      <c r="K478" s="650"/>
      <c r="L478" s="650"/>
      <c r="M478" s="650"/>
      <c r="N478" s="650"/>
      <c r="O478" s="650"/>
      <c r="P478" s="650"/>
      <c r="Q478" s="650"/>
      <c r="R478" s="650"/>
      <c r="S478" s="650"/>
      <c r="T478" s="650"/>
      <c r="U478" s="650"/>
      <c r="V478" s="650"/>
      <c r="W478" s="650"/>
      <c r="X478" s="604"/>
    </row>
    <row r="479" spans="1:24" ht="15" customHeight="1" x14ac:dyDescent="0.25">
      <c r="A479" s="604" t="s">
        <v>1</v>
      </c>
      <c r="B479" s="650">
        <f>' Plan Energi 2030-S'!C44/IF(' Plan Energi 2030-S'!$X$44&gt;0,' Plan Energi 2030-S'!$X$44,1)</f>
        <v>0</v>
      </c>
      <c r="C479" s="650"/>
      <c r="D479" s="650">
        <f>' Plan Energi 2006'!C44/IF(' Plan Energi 2006'!$X$44&gt;0,' Plan Energi 2006'!$X$44,1)</f>
        <v>0</v>
      </c>
      <c r="E479" s="650"/>
      <c r="F479" s="650">
        <f>' Plan Energi 2008'!C44/IF(' Plan Energi 2008'!$X$44&gt;0,' Plan Energi 2008'!$X$44,1)</f>
        <v>0</v>
      </c>
      <c r="G479" s="650"/>
      <c r="H479" s="650">
        <f>' Plan Energi 2009'!C44/IF(' Plan Energi 2009'!$X$44&gt;0,' Plan Energi 2009'!$X$44,1)</f>
        <v>0</v>
      </c>
      <c r="I479" s="650"/>
      <c r="J479" s="650">
        <f>' Plan Energi 2011'!C44/IF(' Plan Energi 2011'!$X$44&gt;0,' Plan Energi 2011'!$X$44,1)</f>
        <v>0</v>
      </c>
      <c r="K479" s="650"/>
      <c r="L479" s="650">
        <f>' Plan Energi 2013'!C44/IF(' Plan Energi 2013'!$X$44&gt;0,' Plan Energi 2013'!$X$44,1)</f>
        <v>0</v>
      </c>
      <c r="M479" s="650"/>
      <c r="N479" s="650">
        <f>' Plan Energi 2015'!C44/IF(' Plan Energi 2015'!$X$44&gt;0,' Plan Energi 2015'!$X$44,1)</f>
        <v>0</v>
      </c>
      <c r="O479" s="650"/>
      <c r="P479" s="650">
        <f>' Plan Energi 2017'!C44/IF(' Plan Energi 2017'!$X$44&gt;0,' Plan Energi 2017'!$X$44,1)</f>
        <v>0</v>
      </c>
      <c r="Q479" s="650"/>
      <c r="R479" s="650">
        <f>' Plan Energi 2019'!C44/IF(' Plan Energi 2019'!$X$44&gt;0,' Plan Energi 2019'!$X$44,1)</f>
        <v>0</v>
      </c>
      <c r="S479" s="650"/>
      <c r="T479" s="726">
        <f>Fjernvarme!J109</f>
        <v>0</v>
      </c>
      <c r="U479" s="650"/>
      <c r="V479" s="726">
        <f>Fjernvarme!L109</f>
        <v>0</v>
      </c>
      <c r="W479" s="650"/>
      <c r="X479" s="604"/>
    </row>
    <row r="480" spans="1:24" ht="15" customHeight="1" x14ac:dyDescent="0.25">
      <c r="A480" s="604" t="s">
        <v>7</v>
      </c>
      <c r="B480" s="650">
        <f>' Plan Energi 2030-S'!D44/IF(' Plan Energi 2030-S'!$X$44&gt;0,' Plan Energi 2030-S'!$X$44,1)</f>
        <v>0</v>
      </c>
      <c r="C480" s="650"/>
      <c r="D480" s="650">
        <f>' Plan Energi 2006'!D44/IF(' Plan Energi 2006'!$X$44&gt;0,' Plan Energi 2006'!$X$44,1)</f>
        <v>0</v>
      </c>
      <c r="E480" s="650"/>
      <c r="F480" s="650">
        <f>' Plan Energi 2008'!D44/IF(' Plan Energi 2008'!$X$44&gt;0,' Plan Energi 2008'!$X$44,1)</f>
        <v>0</v>
      </c>
      <c r="G480" s="650"/>
      <c r="H480" s="650">
        <f>' Plan Energi 2009'!D44/IF(' Plan Energi 2009'!$X$44&gt;0,' Plan Energi 2009'!$X$44,1)</f>
        <v>0</v>
      </c>
      <c r="I480" s="650"/>
      <c r="J480" s="650">
        <f>' Plan Energi 2011'!D44/IF(' Plan Energi 2011'!$X$44&gt;0,' Plan Energi 2011'!$X$44,1)</f>
        <v>0</v>
      </c>
      <c r="K480" s="650"/>
      <c r="L480" s="650">
        <f>' Plan Energi 2013'!D44/IF(' Plan Energi 2013'!$X$44&gt;0,' Plan Energi 2013'!$X$44,1)</f>
        <v>0</v>
      </c>
      <c r="M480" s="650"/>
      <c r="N480" s="650">
        <f>' Plan Energi 2015'!D44/IF(' Plan Energi 2015'!$X$44&gt;0,' Plan Energi 2015'!$X$44,1)</f>
        <v>0</v>
      </c>
      <c r="O480" s="650"/>
      <c r="P480" s="650">
        <f>' Plan Energi 2017'!D44/IF(' Plan Energi 2017'!$X$44&gt;0,' Plan Energi 2017'!$X$44,1)</f>
        <v>0</v>
      </c>
      <c r="Q480" s="650"/>
      <c r="R480" s="650">
        <f>' Plan Energi 2019'!D44/IF(' Plan Energi 2019'!$X$44&gt;0,' Plan Energi 2019'!$X$44,1)</f>
        <v>0</v>
      </c>
      <c r="S480" s="650"/>
      <c r="T480" s="726">
        <f>Fjernvarme!J110</f>
        <v>0</v>
      </c>
      <c r="U480" s="650"/>
      <c r="V480" s="726">
        <f>Fjernvarme!L110</f>
        <v>0</v>
      </c>
      <c r="W480" s="650"/>
      <c r="X480" s="604"/>
    </row>
    <row r="481" spans="1:24" ht="15" customHeight="1" x14ac:dyDescent="0.25">
      <c r="A481" s="604" t="s">
        <v>3</v>
      </c>
      <c r="B481" s="650">
        <f>' Plan Energi 2030-S'!I44/IF(' Plan Energi 2030-S'!$X$44&gt;0,' Plan Energi 2030-S'!$X$44,1)</f>
        <v>0</v>
      </c>
      <c r="C481" s="650"/>
      <c r="D481" s="650">
        <f>' Plan Energi 2006'!I44/IF(' Plan Energi 2006'!$X$44&gt;0,' Plan Energi 2006'!$X$44,1)</f>
        <v>0</v>
      </c>
      <c r="E481" s="650"/>
      <c r="F481" s="650">
        <f>' Plan Energi 2008'!I44/IF(' Plan Energi 2008'!$X$44&gt;0,' Plan Energi 2008'!$X$44,1)</f>
        <v>0</v>
      </c>
      <c r="G481" s="650"/>
      <c r="H481" s="650">
        <f>' Plan Energi 2009'!I44/IF(' Plan Energi 2009'!$X$44&gt;0,' Plan Energi 2009'!$X$44,1)</f>
        <v>0</v>
      </c>
      <c r="I481" s="650"/>
      <c r="J481" s="650">
        <f>' Plan Energi 2011'!I44/IF(' Plan Energi 2011'!$X$44&gt;0,' Plan Energi 2011'!$X$44,1)</f>
        <v>0</v>
      </c>
      <c r="K481" s="650"/>
      <c r="L481" s="650">
        <f>' Plan Energi 2013'!I44/IF(' Plan Energi 2013'!$X$44&gt;0,' Plan Energi 2013'!$X$44,1)</f>
        <v>0</v>
      </c>
      <c r="M481" s="650"/>
      <c r="N481" s="650">
        <f>' Plan Energi 2015'!I44/IF(' Plan Energi 2015'!$X$44&gt;0,' Plan Energi 2015'!$X$44,1)</f>
        <v>0</v>
      </c>
      <c r="O481" s="650"/>
      <c r="P481" s="650">
        <f>' Plan Energi 2017'!I44/IF(' Plan Energi 2017'!$X$44&gt;0,' Plan Energi 2017'!$X$44,1)</f>
        <v>0</v>
      </c>
      <c r="Q481" s="650"/>
      <c r="R481" s="650">
        <f>' Plan Energi 2019'!I44/IF(' Plan Energi 2019'!$X$44&gt;0,' Plan Energi 2019'!$X$44,1)</f>
        <v>0</v>
      </c>
      <c r="S481" s="650"/>
      <c r="T481" s="726">
        <f>Fjernvarme!J111</f>
        <v>0</v>
      </c>
      <c r="U481" s="650"/>
      <c r="V481" s="726">
        <f>Fjernvarme!L111</f>
        <v>0</v>
      </c>
      <c r="W481" s="650"/>
      <c r="X481" s="604"/>
    </row>
    <row r="482" spans="1:24" ht="15" customHeight="1" x14ac:dyDescent="0.25">
      <c r="A482" s="604" t="s">
        <v>373</v>
      </c>
      <c r="B482" s="650">
        <f>' Plan Energi 2030-S'!O44/IF(' Plan Energi 2030-S'!$X$44&gt;0,' Plan Energi 2030-S'!$X$44,1)</f>
        <v>0</v>
      </c>
      <c r="C482" s="650"/>
      <c r="D482" s="650">
        <f>' Plan Energi 2006'!O44/IF(' Plan Energi 2006'!$X$44&gt;0,' Plan Energi 2006'!$X$44,1)</f>
        <v>0</v>
      </c>
      <c r="E482" s="650"/>
      <c r="F482" s="650">
        <f>' Plan Energi 2008'!O44/IF(' Plan Energi 2008'!$X$44&gt;0,' Plan Energi 2008'!$X$44,1)</f>
        <v>0</v>
      </c>
      <c r="G482" s="650"/>
      <c r="H482" s="650">
        <f>' Plan Energi 2009'!O44/IF(' Plan Energi 2009'!$X$44&gt;0,' Plan Energi 2009'!$X$44,1)</f>
        <v>0</v>
      </c>
      <c r="I482" s="650"/>
      <c r="J482" s="650">
        <f>' Plan Energi 2011'!O44/IF(' Plan Energi 2011'!$X$44&gt;0,' Plan Energi 2011'!$X$44,1)</f>
        <v>0</v>
      </c>
      <c r="K482" s="650"/>
      <c r="L482" s="650">
        <f>' Plan Energi 2013'!O44/IF(' Plan Energi 2013'!$X$44&gt;0,' Plan Energi 2013'!$X$44,1)</f>
        <v>0</v>
      </c>
      <c r="M482" s="650"/>
      <c r="N482" s="650">
        <f>' Plan Energi 2015'!O44/IF(' Plan Energi 2015'!$X$44&gt;0,' Plan Energi 2015'!$X$44,1)</f>
        <v>0</v>
      </c>
      <c r="O482" s="650"/>
      <c r="P482" s="650">
        <f>' Plan Energi 2017'!O44/IF(' Plan Energi 2017'!$X$44&gt;0,' Plan Energi 2017'!$X$44,1)</f>
        <v>0</v>
      </c>
      <c r="Q482" s="650"/>
      <c r="R482" s="650">
        <f>' Plan Energi 2019'!O44/IF(' Plan Energi 2019'!$X$44&gt;0,' Plan Energi 2019'!$X$44,1)</f>
        <v>0</v>
      </c>
      <c r="S482" s="650"/>
      <c r="T482" s="726">
        <f>Fjernvarme!J112</f>
        <v>0</v>
      </c>
      <c r="U482" s="650"/>
      <c r="V482" s="726">
        <f>Fjernvarme!L112</f>
        <v>0</v>
      </c>
      <c r="W482" s="650"/>
      <c r="X482" s="604"/>
    </row>
    <row r="483" spans="1:24" ht="15" customHeight="1" x14ac:dyDescent="0.25">
      <c r="A483" s="604" t="s">
        <v>374</v>
      </c>
      <c r="B483" s="650">
        <f>' Plan Energi 2030-S'!P44/IF(' Plan Energi 2030-S'!$X$44&gt;0,' Plan Energi 2030-S'!$X$44,1)</f>
        <v>0</v>
      </c>
      <c r="C483" s="650"/>
      <c r="D483" s="650">
        <f>' Plan Energi 2006'!P44/IF(' Plan Energi 2006'!$X$44&gt;0,' Plan Energi 2006'!$X$44,1)</f>
        <v>0</v>
      </c>
      <c r="E483" s="650"/>
      <c r="F483" s="650">
        <f>' Plan Energi 2008'!P44/IF(' Plan Energi 2008'!$X$44&gt;0,' Plan Energi 2008'!$X$44,1)</f>
        <v>0</v>
      </c>
      <c r="G483" s="650"/>
      <c r="H483" s="650">
        <f>' Plan Energi 2009'!P44/IF(' Plan Energi 2009'!$X$44&gt;0,' Plan Energi 2009'!$X$44,1)</f>
        <v>0</v>
      </c>
      <c r="I483" s="650"/>
      <c r="J483" s="650">
        <f>' Plan Energi 2011'!P44/IF(' Plan Energi 2011'!$X$44&gt;0,' Plan Energi 2011'!$X$44,1)</f>
        <v>0</v>
      </c>
      <c r="K483" s="650"/>
      <c r="L483" s="650">
        <f>' Plan Energi 2013'!P44/IF(' Plan Energi 2013'!$X$44&gt;0,' Plan Energi 2013'!$X$44,1)</f>
        <v>0</v>
      </c>
      <c r="M483" s="650"/>
      <c r="N483" s="650">
        <f>' Plan Energi 2015'!P44/IF(' Plan Energi 2015'!$X$44&gt;0,' Plan Energi 2015'!$X$44,1)</f>
        <v>0</v>
      </c>
      <c r="O483" s="650"/>
      <c r="P483" s="650">
        <f>' Plan Energi 2017'!P44/IF(' Plan Energi 2017'!$X$44&gt;0,' Plan Energi 2017'!$X$44,1)</f>
        <v>0</v>
      </c>
      <c r="Q483" s="650"/>
      <c r="R483" s="650">
        <f>' Plan Energi 2019'!P44/IF(' Plan Energi 2019'!$X$44&gt;0,' Plan Energi 2019'!$X$44,1)</f>
        <v>0</v>
      </c>
      <c r="S483" s="650"/>
      <c r="T483" s="726">
        <f>Fjernvarme!J113</f>
        <v>0</v>
      </c>
      <c r="U483" s="650"/>
      <c r="V483" s="726">
        <f>Fjernvarme!L113</f>
        <v>0</v>
      </c>
      <c r="W483" s="650"/>
      <c r="X483" s="604"/>
    </row>
    <row r="484" spans="1:24" ht="15" customHeight="1" x14ac:dyDescent="0.25">
      <c r="A484" s="604" t="s">
        <v>21</v>
      </c>
      <c r="B484" s="650">
        <f>' Plan Energi 2030-S'!Q44/IF(' Plan Energi 2030-S'!$X$44&gt;0,' Plan Energi 2030-S'!$X$44,1)</f>
        <v>0</v>
      </c>
      <c r="C484" s="650"/>
      <c r="D484" s="650">
        <f>' Plan Energi 2006'!Q44/IF(' Plan Energi 2006'!$X$44&gt;0,' Plan Energi 2006'!$X$44,1)</f>
        <v>0</v>
      </c>
      <c r="E484" s="650"/>
      <c r="F484" s="650">
        <f>' Plan Energi 2008'!Q44/IF(' Plan Energi 2008'!$X$44&gt;0,' Plan Energi 2008'!$X$44,1)</f>
        <v>0</v>
      </c>
      <c r="G484" s="650"/>
      <c r="H484" s="650">
        <f>' Plan Energi 2009'!Q44/IF(' Plan Energi 2009'!$X$44&gt;0,' Plan Energi 2009'!$X$44,1)</f>
        <v>0</v>
      </c>
      <c r="I484" s="650"/>
      <c r="J484" s="650">
        <f>' Plan Energi 2011'!Q44/IF(' Plan Energi 2011'!$X$44&gt;0,' Plan Energi 2011'!$X$44,1)</f>
        <v>0</v>
      </c>
      <c r="K484" s="650"/>
      <c r="L484" s="650">
        <f>' Plan Energi 2013'!Q44/IF(' Plan Energi 2013'!$X$44&gt;0,' Plan Energi 2013'!$X$44,1)</f>
        <v>0</v>
      </c>
      <c r="M484" s="650"/>
      <c r="N484" s="650">
        <f>' Plan Energi 2015'!Q44/IF(' Plan Energi 2015'!$X$44&gt;0,' Plan Energi 2015'!$X$44,1)</f>
        <v>0</v>
      </c>
      <c r="O484" s="650"/>
      <c r="P484" s="650">
        <f>' Plan Energi 2017'!Q44/IF(' Plan Energi 2017'!$X$44&gt;0,' Plan Energi 2017'!$X$44,1)</f>
        <v>0</v>
      </c>
      <c r="Q484" s="650"/>
      <c r="R484" s="650">
        <f>' Plan Energi 2019'!Q44/IF(' Plan Energi 2019'!$X$44&gt;0,' Plan Energi 2019'!$X$44,1)</f>
        <v>0</v>
      </c>
      <c r="S484" s="650"/>
      <c r="T484" s="726">
        <f>Fjernvarme!J114</f>
        <v>0</v>
      </c>
      <c r="U484" s="650"/>
      <c r="V484" s="726">
        <f>Fjernvarme!L114</f>
        <v>0</v>
      </c>
      <c r="W484" s="650"/>
      <c r="X484" s="604"/>
    </row>
    <row r="485" spans="1:24" ht="15" customHeight="1" x14ac:dyDescent="0.25">
      <c r="A485" s="604" t="s">
        <v>375</v>
      </c>
      <c r="B485" s="650">
        <f>' Plan Energi 2030-S'!R44/IF(' Plan Energi 2030-S'!$X$44&gt;0,' Plan Energi 2030-S'!$X$44,1)</f>
        <v>0</v>
      </c>
      <c r="C485" s="650"/>
      <c r="D485" s="650">
        <f>' Plan Energi 2006'!R44/IF(' Plan Energi 2006'!$X$44&gt;0,' Plan Energi 2006'!$X$44,1)</f>
        <v>0</v>
      </c>
      <c r="E485" s="650"/>
      <c r="F485" s="650">
        <f>' Plan Energi 2008'!R44/IF(' Plan Energi 2008'!$X$44&gt;0,' Plan Energi 2008'!$X$44,1)</f>
        <v>0</v>
      </c>
      <c r="G485" s="650"/>
      <c r="H485" s="650">
        <f>' Plan Energi 2009'!R44/IF(' Plan Energi 2009'!$X$44&gt;0,' Plan Energi 2009'!$X$44,1)</f>
        <v>0</v>
      </c>
      <c r="I485" s="650"/>
      <c r="J485" s="650">
        <f>' Plan Energi 2011'!R44/IF(' Plan Energi 2011'!$X$44&gt;0,' Plan Energi 2011'!$X$44,1)</f>
        <v>0</v>
      </c>
      <c r="K485" s="650"/>
      <c r="L485" s="650">
        <f>' Plan Energi 2013'!R44/IF(' Plan Energi 2013'!$X$44&gt;0,' Plan Energi 2013'!$X$44,1)</f>
        <v>0</v>
      </c>
      <c r="M485" s="650"/>
      <c r="N485" s="650">
        <f>' Plan Energi 2015'!R44/IF(' Plan Energi 2015'!$X$44&gt;0,' Plan Energi 2015'!$X$44,1)</f>
        <v>0</v>
      </c>
      <c r="O485" s="650"/>
      <c r="P485" s="650">
        <f>' Plan Energi 2017'!R44/IF(' Plan Energi 2017'!$X$44&gt;0,' Plan Energi 2017'!$X$44,1)</f>
        <v>0</v>
      </c>
      <c r="Q485" s="650"/>
      <c r="R485" s="650">
        <f>' Plan Energi 2019'!R44/IF(' Plan Energi 2019'!$X$44&gt;0,' Plan Energi 2019'!$X$44,1)</f>
        <v>0</v>
      </c>
      <c r="S485" s="650"/>
      <c r="T485" s="726">
        <f>Fjernvarme!J115</f>
        <v>0</v>
      </c>
      <c r="U485" s="650"/>
      <c r="V485" s="726">
        <f>Fjernvarme!L115</f>
        <v>0</v>
      </c>
      <c r="W485" s="650"/>
      <c r="X485" s="604"/>
    </row>
    <row r="486" spans="1:24" ht="15" customHeight="1" x14ac:dyDescent="0.25">
      <c r="A486" s="604" t="s">
        <v>23</v>
      </c>
      <c r="B486" s="650">
        <f>' Plan Energi 2030-S'!S44/IF(' Plan Energi 2030-S'!$X$44&gt;0,' Plan Energi 2030-S'!$X$44,1)</f>
        <v>0</v>
      </c>
      <c r="C486" s="650"/>
      <c r="D486" s="650">
        <f>' Plan Energi 2006'!S44/IF(' Plan Energi 2006'!$X$44&gt;0,' Plan Energi 2006'!$X$44,1)</f>
        <v>0</v>
      </c>
      <c r="E486" s="650"/>
      <c r="F486" s="650">
        <f>' Plan Energi 2008'!S44/IF(' Plan Energi 2008'!$X$44&gt;0,' Plan Energi 2008'!$X$44,1)</f>
        <v>0</v>
      </c>
      <c r="G486" s="650"/>
      <c r="H486" s="650">
        <f>' Plan Energi 2009'!S44/IF(' Plan Energi 2009'!$X$44&gt;0,' Plan Energi 2009'!$X$44,1)</f>
        <v>0</v>
      </c>
      <c r="I486" s="650"/>
      <c r="J486" s="650">
        <f>' Plan Energi 2011'!S44/IF(' Plan Energi 2011'!$X$44&gt;0,' Plan Energi 2011'!$X$44,1)</f>
        <v>0</v>
      </c>
      <c r="K486" s="650"/>
      <c r="L486" s="650">
        <f>' Plan Energi 2013'!S44/IF(' Plan Energi 2013'!$X$44&gt;0,' Plan Energi 2013'!$X$44,1)</f>
        <v>0</v>
      </c>
      <c r="M486" s="650"/>
      <c r="N486" s="650">
        <f>' Plan Energi 2015'!S44/IF(' Plan Energi 2015'!$X$44&gt;0,' Plan Energi 2015'!$X$44,1)</f>
        <v>0</v>
      </c>
      <c r="O486" s="650"/>
      <c r="P486" s="650">
        <f>' Plan Energi 2017'!S44/IF(' Plan Energi 2017'!$X$44&gt;0,' Plan Energi 2017'!$X$44,1)</f>
        <v>0</v>
      </c>
      <c r="Q486" s="650"/>
      <c r="R486" s="650">
        <f>' Plan Energi 2019'!S44/IF(' Plan Energi 2019'!$X$44&gt;0,' Plan Energi 2019'!$X$44,1)</f>
        <v>0</v>
      </c>
      <c r="S486" s="650"/>
      <c r="T486" s="726">
        <f>Fjernvarme!J116</f>
        <v>0</v>
      </c>
      <c r="U486" s="650"/>
      <c r="V486" s="726">
        <f>Fjernvarme!L116</f>
        <v>0</v>
      </c>
      <c r="W486" s="650"/>
      <c r="X486" s="604"/>
    </row>
    <row r="487" spans="1:24" ht="15" customHeight="1" x14ac:dyDescent="0.25">
      <c r="A487" s="629" t="s">
        <v>407</v>
      </c>
      <c r="B487" s="650"/>
      <c r="C487" s="650"/>
      <c r="D487" s="650"/>
      <c r="E487" s="650"/>
      <c r="F487" s="650"/>
      <c r="G487" s="650"/>
      <c r="H487" s="650"/>
      <c r="I487" s="650"/>
      <c r="J487" s="650"/>
      <c r="K487" s="650"/>
      <c r="L487" s="650"/>
      <c r="M487" s="650"/>
      <c r="N487" s="650"/>
      <c r="O487" s="650"/>
      <c r="P487" s="650"/>
      <c r="Q487" s="650"/>
      <c r="R487" s="650"/>
      <c r="S487" s="650"/>
      <c r="T487" s="650"/>
      <c r="U487" s="650"/>
      <c r="V487" s="650"/>
      <c r="W487" s="650"/>
      <c r="X487" s="604"/>
    </row>
    <row r="488" spans="1:24" ht="15" customHeight="1" x14ac:dyDescent="0.25">
      <c r="A488" s="604" t="s">
        <v>7</v>
      </c>
      <c r="B488" s="650">
        <f>' Plan Energi 2030-S'!D$45/IF(' Plan Energi 2030-S'!$X$45&gt;0,' Plan Energi 2030-S'!$X$45,1)</f>
        <v>0</v>
      </c>
      <c r="C488" s="650"/>
      <c r="D488" s="650">
        <f>' Plan Energi 2006'!D$45/IF(' Plan Energi 2006'!$X$45&gt;0,' Plan Energi 2006'!$X$45,1)</f>
        <v>0</v>
      </c>
      <c r="E488" s="650"/>
      <c r="F488" s="650">
        <f>' Plan Energi 2008'!D$45/IF(' Plan Energi 2008'!$X$45&gt;0,' Plan Energi 2008'!$X$45,1)</f>
        <v>0</v>
      </c>
      <c r="G488" s="650"/>
      <c r="H488" s="650">
        <f>' Plan Energi 2009'!D$45/IF(' Plan Energi 2009'!$X$45&gt;0,' Plan Energi 2009'!$X$45,1)</f>
        <v>0</v>
      </c>
      <c r="I488" s="650"/>
      <c r="J488" s="650">
        <f>' Plan Energi 2011'!D$45/IF(' Plan Energi 2011'!$X$45&gt;0,' Plan Energi 2011'!$X$45,1)</f>
        <v>0</v>
      </c>
      <c r="K488" s="650"/>
      <c r="L488" s="650">
        <f>' Plan Energi 2013'!D$45/IF(' Plan Energi 2013'!$X$45&gt;0,' Plan Energi 2013'!$X$45,1)</f>
        <v>0</v>
      </c>
      <c r="M488" s="650"/>
      <c r="N488" s="650">
        <f>' Plan Energi 2015'!D$45/IF(' Plan Energi 2015'!$X$45&gt;0,' Plan Energi 2015'!$X$45,1)</f>
        <v>0</v>
      </c>
      <c r="O488" s="650"/>
      <c r="P488" s="650">
        <f>' Plan Energi 2017'!D$45/IF(' Plan Energi 2017'!$X$45&gt;0,' Plan Energi 2017'!$X$45,1)</f>
        <v>0</v>
      </c>
      <c r="Q488" s="650"/>
      <c r="R488" s="650">
        <f>' Plan Energi 2019'!D$45/IF(' Plan Energi 2019'!$X$45&gt;0,' Plan Energi 2019'!$X$45,1)</f>
        <v>0</v>
      </c>
      <c r="S488" s="650"/>
      <c r="T488" s="726">
        <f>Fjernvarme!J118</f>
        <v>0</v>
      </c>
      <c r="U488" s="650"/>
      <c r="V488" s="726">
        <f>Fjernvarme!L118</f>
        <v>0</v>
      </c>
      <c r="W488" s="650"/>
      <c r="X488" s="604"/>
    </row>
    <row r="489" spans="1:24" ht="15" customHeight="1" x14ac:dyDescent="0.25">
      <c r="A489" s="604" t="s">
        <v>8</v>
      </c>
      <c r="B489" s="650">
        <f>' Plan Energi 2030-S'!E$45/IF(' Plan Energi 2030-S'!$X$45&gt;0,' Plan Energi 2030-S'!$X$45,1)</f>
        <v>0</v>
      </c>
      <c r="C489" s="650"/>
      <c r="D489" s="650">
        <f>' Plan Energi 2006'!E$45/IF(' Plan Energi 2006'!$X$45&gt;0,' Plan Energi 2006'!$X$45,1)</f>
        <v>0</v>
      </c>
      <c r="E489" s="650"/>
      <c r="F489" s="650">
        <f>' Plan Energi 2008'!E$45/IF(' Plan Energi 2008'!$X$45&gt;0,' Plan Energi 2008'!$X$45,1)</f>
        <v>0</v>
      </c>
      <c r="G489" s="650"/>
      <c r="H489" s="650">
        <f>' Plan Energi 2009'!E$45/IF(' Plan Energi 2009'!$X$45&gt;0,' Plan Energi 2009'!$X$45,1)</f>
        <v>0</v>
      </c>
      <c r="I489" s="650"/>
      <c r="J489" s="650">
        <f>' Plan Energi 2011'!E$45/IF(' Plan Energi 2011'!$X$45&gt;0,' Plan Energi 2011'!$X$45,1)</f>
        <v>0</v>
      </c>
      <c r="K489" s="650"/>
      <c r="L489" s="650">
        <f>' Plan Energi 2013'!E$45/IF(' Plan Energi 2013'!$X$45&gt;0,' Plan Energi 2013'!$X$45,1)</f>
        <v>0</v>
      </c>
      <c r="M489" s="650"/>
      <c r="N489" s="650">
        <f>' Plan Energi 2015'!E$45/IF(' Plan Energi 2015'!$X$45&gt;0,' Plan Energi 2015'!$X$45,1)</f>
        <v>0</v>
      </c>
      <c r="O489" s="650"/>
      <c r="P489" s="650">
        <f>' Plan Energi 2017'!E$45/IF(' Plan Energi 2017'!$X$45&gt;0,' Plan Energi 2017'!$X$45,1)</f>
        <v>0</v>
      </c>
      <c r="Q489" s="650"/>
      <c r="R489" s="650">
        <f>' Plan Energi 2019'!E$45/IF(' Plan Energi 2019'!$X$45&gt;0,' Plan Energi 2019'!$X$45,1)</f>
        <v>0</v>
      </c>
      <c r="S489" s="650"/>
      <c r="T489" s="726">
        <f>Fjernvarme!J119</f>
        <v>0</v>
      </c>
      <c r="U489" s="650"/>
      <c r="V489" s="726">
        <f>Fjernvarme!L119</f>
        <v>0</v>
      </c>
      <c r="W489" s="650"/>
      <c r="X489" s="604"/>
    </row>
    <row r="490" spans="1:24" ht="15" customHeight="1" x14ac:dyDescent="0.25">
      <c r="A490" s="604" t="s">
        <v>9</v>
      </c>
      <c r="B490" s="650">
        <f>' Plan Energi 2030-S'!F$45/IF(' Plan Energi 2030-S'!$X$45&gt;0,' Plan Energi 2030-S'!$X$45,1)</f>
        <v>0</v>
      </c>
      <c r="C490" s="650"/>
      <c r="D490" s="650">
        <f>' Plan Energi 2006'!F$45/IF(' Plan Energi 2006'!$X$45&gt;0,' Plan Energi 2006'!$X$45,1)</f>
        <v>0</v>
      </c>
      <c r="E490" s="650"/>
      <c r="F490" s="650">
        <f>' Plan Energi 2008'!F$45/IF(' Plan Energi 2008'!$X$45&gt;0,' Plan Energi 2008'!$X$45,1)</f>
        <v>0</v>
      </c>
      <c r="G490" s="650"/>
      <c r="H490" s="650">
        <f>' Plan Energi 2009'!F$45/IF(' Plan Energi 2009'!$X$45&gt;0,' Plan Energi 2009'!$X$45,1)</f>
        <v>0</v>
      </c>
      <c r="I490" s="650"/>
      <c r="J490" s="650">
        <f>' Plan Energi 2011'!F$45/IF(' Plan Energi 2011'!$X$45&gt;0,' Plan Energi 2011'!$X$45,1)</f>
        <v>0</v>
      </c>
      <c r="K490" s="650"/>
      <c r="L490" s="650">
        <f>' Plan Energi 2013'!F$45/IF(' Plan Energi 2013'!$X$45&gt;0,' Plan Energi 2013'!$X$45,1)</f>
        <v>0</v>
      </c>
      <c r="M490" s="650"/>
      <c r="N490" s="650">
        <f>' Plan Energi 2015'!F$45/IF(' Plan Energi 2015'!$X$45&gt;0,' Plan Energi 2015'!$X$45,1)</f>
        <v>0</v>
      </c>
      <c r="O490" s="650"/>
      <c r="P490" s="650">
        <f>' Plan Energi 2017'!F$45/IF(' Plan Energi 2017'!$X$45&gt;0,' Plan Energi 2017'!$X$45,1)</f>
        <v>0</v>
      </c>
      <c r="Q490" s="650"/>
      <c r="R490" s="650">
        <f>' Plan Energi 2019'!F$45/IF(' Plan Energi 2019'!$X$45&gt;0,' Plan Energi 2019'!$X$45,1)</f>
        <v>0</v>
      </c>
      <c r="S490" s="650"/>
      <c r="T490" s="726">
        <f>Fjernvarme!J120</f>
        <v>0</v>
      </c>
      <c r="U490" s="650"/>
      <c r="V490" s="726">
        <f>Fjernvarme!L120</f>
        <v>0</v>
      </c>
      <c r="W490" s="650"/>
      <c r="X490" s="604"/>
    </row>
    <row r="491" spans="1:24" ht="15" customHeight="1" x14ac:dyDescent="0.25">
      <c r="A491" s="604" t="s">
        <v>11</v>
      </c>
      <c r="B491" s="650">
        <f>' Plan Energi 2030-S'!H$45/IF(' Plan Energi 2030-S'!$X$45&gt;0,' Plan Energi 2030-S'!$X$45,1)</f>
        <v>0</v>
      </c>
      <c r="C491" s="650"/>
      <c r="D491" s="650">
        <f>' Plan Energi 2006'!H$45/IF(' Plan Energi 2006'!$X$45&gt;0,' Plan Energi 2006'!$X$45,1)</f>
        <v>0</v>
      </c>
      <c r="E491" s="650"/>
      <c r="F491" s="650">
        <f>' Plan Energi 2008'!H$45/IF(' Plan Energi 2008'!$X$45&gt;0,' Plan Energi 2008'!$X$45,1)</f>
        <v>0</v>
      </c>
      <c r="G491" s="650"/>
      <c r="H491" s="650">
        <f>' Plan Energi 2009'!H$45/IF(' Plan Energi 2009'!$X$45&gt;0,' Plan Energi 2009'!$X$45,1)</f>
        <v>0</v>
      </c>
      <c r="I491" s="650"/>
      <c r="J491" s="650">
        <f>' Plan Energi 2011'!H$45/IF(' Plan Energi 2011'!$X$45&gt;0,' Plan Energi 2011'!$X$45,1)</f>
        <v>0</v>
      </c>
      <c r="K491" s="650"/>
      <c r="L491" s="650">
        <f>' Plan Energi 2013'!H$45/IF(' Plan Energi 2013'!$X$45&gt;0,' Plan Energi 2013'!$X$45,1)</f>
        <v>0</v>
      </c>
      <c r="M491" s="650"/>
      <c r="N491" s="650">
        <f>' Plan Energi 2015'!H$45/IF(' Plan Energi 2015'!$X$45&gt;0,' Plan Energi 2015'!$X$45,1)</f>
        <v>0</v>
      </c>
      <c r="O491" s="650"/>
      <c r="P491" s="650">
        <f>' Plan Energi 2017'!H$45/IF(' Plan Energi 2017'!$X$45&gt;0,' Plan Energi 2017'!$X$45,1)</f>
        <v>0</v>
      </c>
      <c r="Q491" s="650"/>
      <c r="R491" s="650">
        <f>' Plan Energi 2019'!H$45/IF(' Plan Energi 2019'!$X$45&gt;0,' Plan Energi 2019'!$X$45,1)</f>
        <v>0</v>
      </c>
      <c r="S491" s="650"/>
      <c r="T491" s="726">
        <f>Fjernvarme!J121</f>
        <v>0</v>
      </c>
      <c r="U491" s="650"/>
      <c r="V491" s="726">
        <f>Fjernvarme!L121</f>
        <v>0</v>
      </c>
      <c r="W491" s="650"/>
      <c r="X491" s="604"/>
    </row>
    <row r="492" spans="1:24" ht="15" customHeight="1" x14ac:dyDescent="0.25">
      <c r="A492" s="604" t="s">
        <v>3</v>
      </c>
      <c r="B492" s="650">
        <f>' Plan Energi 2030-S'!I$45/IF(' Plan Energi 2030-S'!$X$45&gt;0,' Plan Energi 2030-S'!$X$45,1)</f>
        <v>0</v>
      </c>
      <c r="C492" s="650"/>
      <c r="D492" s="650">
        <f>' Plan Energi 2006'!I$45/IF(' Plan Energi 2006'!$X$45&gt;0,' Plan Energi 2006'!$X$45,1)</f>
        <v>0</v>
      </c>
      <c r="E492" s="650"/>
      <c r="F492" s="650">
        <f>' Plan Energi 2008'!I$45/IF(' Plan Energi 2008'!$X$45&gt;0,' Plan Energi 2008'!$X$45,1)</f>
        <v>0</v>
      </c>
      <c r="G492" s="650"/>
      <c r="H492" s="650">
        <f>' Plan Energi 2009'!I$45/IF(' Plan Energi 2009'!$X$45&gt;0,' Plan Energi 2009'!$X$45,1)</f>
        <v>0</v>
      </c>
      <c r="I492" s="650"/>
      <c r="J492" s="650">
        <f>' Plan Energi 2011'!I$45/IF(' Plan Energi 2011'!$X$45&gt;0,' Plan Energi 2011'!$X$45,1)</f>
        <v>0</v>
      </c>
      <c r="K492" s="650"/>
      <c r="L492" s="650">
        <f>' Plan Energi 2013'!I$45/IF(' Plan Energi 2013'!$X$45&gt;0,' Plan Energi 2013'!$X$45,1)</f>
        <v>0</v>
      </c>
      <c r="M492" s="650"/>
      <c r="N492" s="650">
        <f>' Plan Energi 2015'!I$45/IF(' Plan Energi 2015'!$X$45&gt;0,' Plan Energi 2015'!$X$45,1)</f>
        <v>0</v>
      </c>
      <c r="O492" s="650"/>
      <c r="P492" s="650">
        <f>' Plan Energi 2017'!I$45/IF(' Plan Energi 2017'!$X$45&gt;0,' Plan Energi 2017'!$X$45,1)</f>
        <v>0</v>
      </c>
      <c r="Q492" s="650"/>
      <c r="R492" s="650">
        <f>' Plan Energi 2019'!I$45/IF(' Plan Energi 2019'!$X$45&gt;0,' Plan Energi 2019'!$X$45,1)</f>
        <v>0</v>
      </c>
      <c r="S492" s="650"/>
      <c r="T492" s="726">
        <f>Fjernvarme!J122</f>
        <v>0</v>
      </c>
      <c r="U492" s="650"/>
      <c r="V492" s="726">
        <f>Fjernvarme!L122</f>
        <v>0</v>
      </c>
      <c r="W492" s="650"/>
      <c r="X492" s="604"/>
    </row>
    <row r="493" spans="1:24" ht="15" customHeight="1" x14ac:dyDescent="0.25">
      <c r="A493" s="604" t="s">
        <v>373</v>
      </c>
      <c r="B493" s="650">
        <f>' Plan Energi 2030-S'!O$45/IF(' Plan Energi 2030-S'!$X$45&gt;0,' Plan Energi 2030-S'!$X$45,1)</f>
        <v>0</v>
      </c>
      <c r="C493" s="650"/>
      <c r="D493" s="650">
        <f>' Plan Energi 2006'!O$45/IF(' Plan Energi 2006'!$X$45&gt;0,' Plan Energi 2006'!$X$45,1)</f>
        <v>0</v>
      </c>
      <c r="E493" s="650"/>
      <c r="F493" s="650">
        <f>' Plan Energi 2008'!O$45/IF(' Plan Energi 2008'!$X$45&gt;0,' Plan Energi 2008'!$X$45,1)</f>
        <v>0</v>
      </c>
      <c r="G493" s="650"/>
      <c r="H493" s="650">
        <f>' Plan Energi 2009'!O$45/IF(' Plan Energi 2009'!$X$45&gt;0,' Plan Energi 2009'!$X$45,1)</f>
        <v>0</v>
      </c>
      <c r="I493" s="650"/>
      <c r="J493" s="650">
        <f>' Plan Energi 2011'!O$45/IF(' Plan Energi 2011'!$X$45&gt;0,' Plan Energi 2011'!$X$45,1)</f>
        <v>0</v>
      </c>
      <c r="K493" s="650"/>
      <c r="L493" s="650">
        <f>' Plan Energi 2013'!O$45/IF(' Plan Energi 2013'!$X$45&gt;0,' Plan Energi 2013'!$X$45,1)</f>
        <v>0</v>
      </c>
      <c r="M493" s="650"/>
      <c r="N493" s="650">
        <f>' Plan Energi 2015'!O$45/IF(' Plan Energi 2015'!$X$45&gt;0,' Plan Energi 2015'!$X$45,1)</f>
        <v>0</v>
      </c>
      <c r="O493" s="650"/>
      <c r="P493" s="650">
        <f>' Plan Energi 2017'!O$45/IF(' Plan Energi 2017'!$X$45&gt;0,' Plan Energi 2017'!$X$45,1)</f>
        <v>0</v>
      </c>
      <c r="Q493" s="650"/>
      <c r="R493" s="650">
        <f>' Plan Energi 2019'!O$45/IF(' Plan Energi 2019'!$X$45&gt;0,' Plan Energi 2019'!$X$45,1)</f>
        <v>0</v>
      </c>
      <c r="S493" s="650"/>
      <c r="T493" s="726">
        <f>Fjernvarme!J123</f>
        <v>0</v>
      </c>
      <c r="U493" s="650"/>
      <c r="V493" s="726">
        <f>Fjernvarme!L123</f>
        <v>0</v>
      </c>
      <c r="W493" s="650"/>
      <c r="X493" s="604"/>
    </row>
    <row r="494" spans="1:24" ht="15" customHeight="1" x14ac:dyDescent="0.25">
      <c r="A494" s="604" t="s">
        <v>374</v>
      </c>
      <c r="B494" s="650">
        <f>' Plan Energi 2030-S'!P$45/IF(' Plan Energi 2030-S'!$X$45&gt;0,' Plan Energi 2030-S'!$X$45,1)</f>
        <v>0</v>
      </c>
      <c r="C494" s="650"/>
      <c r="D494" s="650">
        <f>' Plan Energi 2006'!P$45/IF(' Plan Energi 2006'!$X$45&gt;0,' Plan Energi 2006'!$X$45,1)</f>
        <v>0</v>
      </c>
      <c r="E494" s="650"/>
      <c r="F494" s="650">
        <f>' Plan Energi 2008'!P$45/IF(' Plan Energi 2008'!$X$45&gt;0,' Plan Energi 2008'!$X$45,1)</f>
        <v>0</v>
      </c>
      <c r="G494" s="650"/>
      <c r="H494" s="650">
        <f>' Plan Energi 2009'!P$45/IF(' Plan Energi 2009'!$X$45&gt;0,' Plan Energi 2009'!$X$45,1)</f>
        <v>0</v>
      </c>
      <c r="I494" s="650"/>
      <c r="J494" s="650">
        <f>' Plan Energi 2011'!P$45/IF(' Plan Energi 2011'!$X$45&gt;0,' Plan Energi 2011'!$X$45,1)</f>
        <v>0</v>
      </c>
      <c r="K494" s="650"/>
      <c r="L494" s="650">
        <f>' Plan Energi 2013'!P$45/IF(' Plan Energi 2013'!$X$45&gt;0,' Plan Energi 2013'!$X$45,1)</f>
        <v>0</v>
      </c>
      <c r="M494" s="650"/>
      <c r="N494" s="650">
        <f>' Plan Energi 2015'!P$45/IF(' Plan Energi 2015'!$X$45&gt;0,' Plan Energi 2015'!$X$45,1)</f>
        <v>0</v>
      </c>
      <c r="O494" s="650"/>
      <c r="P494" s="650">
        <f>' Plan Energi 2017'!P$45/IF(' Plan Energi 2017'!$X$45&gt;0,' Plan Energi 2017'!$X$45,1)</f>
        <v>0</v>
      </c>
      <c r="Q494" s="650"/>
      <c r="R494" s="650">
        <f>' Plan Energi 2019'!P$45/IF(' Plan Energi 2019'!$X$45&gt;0,' Plan Energi 2019'!$X$45,1)</f>
        <v>0</v>
      </c>
      <c r="S494" s="650"/>
      <c r="T494" s="726">
        <f>Fjernvarme!J124</f>
        <v>0</v>
      </c>
      <c r="U494" s="650"/>
      <c r="V494" s="726">
        <f>Fjernvarme!L124</f>
        <v>0</v>
      </c>
      <c r="W494" s="650"/>
      <c r="X494" s="604"/>
    </row>
    <row r="495" spans="1:24" ht="15" customHeight="1" x14ac:dyDescent="0.25">
      <c r="A495" s="604" t="s">
        <v>21</v>
      </c>
      <c r="B495" s="650">
        <f>' Plan Energi 2030-S'!Q$45/IF(' Plan Energi 2030-S'!$X$45&gt;0,' Plan Energi 2030-S'!$X$45,1)</f>
        <v>0</v>
      </c>
      <c r="C495" s="650"/>
      <c r="D495" s="650">
        <f>' Plan Energi 2006'!Q$45/IF(' Plan Energi 2006'!$X$45&gt;0,' Plan Energi 2006'!$X$45,1)</f>
        <v>0</v>
      </c>
      <c r="E495" s="650"/>
      <c r="F495" s="650">
        <f>' Plan Energi 2008'!Q$45/IF(' Plan Energi 2008'!$X$45&gt;0,' Plan Energi 2008'!$X$45,1)</f>
        <v>0</v>
      </c>
      <c r="G495" s="650"/>
      <c r="H495" s="650">
        <f>' Plan Energi 2009'!Q$45/IF(' Plan Energi 2009'!$X$45&gt;0,' Plan Energi 2009'!$X$45,1)</f>
        <v>0</v>
      </c>
      <c r="I495" s="650"/>
      <c r="J495" s="650">
        <f>' Plan Energi 2011'!Q$45/IF(' Plan Energi 2011'!$X$45&gt;0,' Plan Energi 2011'!$X$45,1)</f>
        <v>0</v>
      </c>
      <c r="K495" s="650"/>
      <c r="L495" s="650">
        <f>' Plan Energi 2013'!Q$45/IF(' Plan Energi 2013'!$X$45&gt;0,' Plan Energi 2013'!$X$45,1)</f>
        <v>0</v>
      </c>
      <c r="M495" s="650"/>
      <c r="N495" s="650">
        <f>' Plan Energi 2015'!Q$45/IF(' Plan Energi 2015'!$X$45&gt;0,' Plan Energi 2015'!$X$45,1)</f>
        <v>0</v>
      </c>
      <c r="O495" s="650"/>
      <c r="P495" s="650">
        <f>' Plan Energi 2017'!Q$45/IF(' Plan Energi 2017'!$X$45&gt;0,' Plan Energi 2017'!$X$45,1)</f>
        <v>0</v>
      </c>
      <c r="Q495" s="650"/>
      <c r="R495" s="650">
        <f>' Plan Energi 2019'!Q$45/IF(' Plan Energi 2019'!$X$45&gt;0,' Plan Energi 2019'!$X$45,1)</f>
        <v>0</v>
      </c>
      <c r="S495" s="650"/>
      <c r="T495" s="726">
        <f>Fjernvarme!J125</f>
        <v>0</v>
      </c>
      <c r="U495" s="650"/>
      <c r="V495" s="726">
        <f>Fjernvarme!L125</f>
        <v>0</v>
      </c>
      <c r="W495" s="650"/>
      <c r="X495" s="604"/>
    </row>
    <row r="496" spans="1:24" ht="15" customHeight="1" x14ac:dyDescent="0.25">
      <c r="A496" s="604" t="s">
        <v>375</v>
      </c>
      <c r="B496" s="650">
        <f>' Plan Energi 2030-S'!R$45/IF(' Plan Energi 2030-S'!$X$45&gt;0,' Plan Energi 2030-S'!$X$45,1)</f>
        <v>0</v>
      </c>
      <c r="C496" s="650"/>
      <c r="D496" s="650">
        <f>' Plan Energi 2006'!R$45/IF(' Plan Energi 2006'!$X$45&gt;0,' Plan Energi 2006'!$X$45,1)</f>
        <v>0</v>
      </c>
      <c r="E496" s="650"/>
      <c r="F496" s="650">
        <f>' Plan Energi 2008'!R$45/IF(' Plan Energi 2008'!$X$45&gt;0,' Plan Energi 2008'!$X$45,1)</f>
        <v>0</v>
      </c>
      <c r="G496" s="650"/>
      <c r="H496" s="650">
        <f>' Plan Energi 2009'!R$45/IF(' Plan Energi 2009'!$X$45&gt;0,' Plan Energi 2009'!$X$45,1)</f>
        <v>0</v>
      </c>
      <c r="I496" s="650"/>
      <c r="J496" s="650">
        <f>' Plan Energi 2011'!R$45/IF(' Plan Energi 2011'!$X$45&gt;0,' Plan Energi 2011'!$X$45,1)</f>
        <v>0</v>
      </c>
      <c r="K496" s="650"/>
      <c r="L496" s="650">
        <f>' Plan Energi 2013'!R$45/IF(' Plan Energi 2013'!$X$45&gt;0,' Plan Energi 2013'!$X$45,1)</f>
        <v>0</v>
      </c>
      <c r="M496" s="650"/>
      <c r="N496" s="650">
        <f>' Plan Energi 2015'!R$45/IF(' Plan Energi 2015'!$X$45&gt;0,' Plan Energi 2015'!$X$45,1)</f>
        <v>0</v>
      </c>
      <c r="O496" s="650"/>
      <c r="P496" s="650">
        <f>' Plan Energi 2017'!R$45/IF(' Plan Energi 2017'!$X$45&gt;0,' Plan Energi 2017'!$X$45,1)</f>
        <v>0</v>
      </c>
      <c r="Q496" s="650"/>
      <c r="R496" s="650">
        <f>' Plan Energi 2019'!R$45/IF(' Plan Energi 2019'!$X$45&gt;0,' Plan Energi 2019'!$X$45,1)</f>
        <v>0</v>
      </c>
      <c r="S496" s="650"/>
      <c r="T496" s="726">
        <f>Fjernvarme!J126</f>
        <v>0</v>
      </c>
      <c r="U496" s="650"/>
      <c r="V496" s="726">
        <f>Fjernvarme!L126</f>
        <v>0</v>
      </c>
      <c r="W496" s="650"/>
      <c r="X496" s="604"/>
    </row>
    <row r="497" spans="1:24" ht="15" customHeight="1" x14ac:dyDescent="0.25">
      <c r="A497" s="604" t="s">
        <v>23</v>
      </c>
      <c r="B497" s="650">
        <f>' Plan Energi 2030-S'!S$45/IF(' Plan Energi 2030-S'!$X$45&gt;0,' Plan Energi 2030-S'!$X$45,1)</f>
        <v>0</v>
      </c>
      <c r="C497" s="650"/>
      <c r="D497" s="650">
        <f>' Plan Energi 2006'!S$45/IF(' Plan Energi 2006'!$X$45&gt;0,' Plan Energi 2006'!$X$45,1)</f>
        <v>0</v>
      </c>
      <c r="E497" s="650"/>
      <c r="F497" s="650">
        <f>' Plan Energi 2008'!S$45/IF(' Plan Energi 2008'!$X$45&gt;0,' Plan Energi 2008'!$X$45,1)</f>
        <v>0</v>
      </c>
      <c r="G497" s="650"/>
      <c r="H497" s="650">
        <f>' Plan Energi 2009'!S$45/IF(' Plan Energi 2009'!$X$45&gt;0,' Plan Energi 2009'!$X$45,1)</f>
        <v>0</v>
      </c>
      <c r="I497" s="650"/>
      <c r="J497" s="650">
        <f>' Plan Energi 2011'!S$45/IF(' Plan Energi 2011'!$X$45&gt;0,' Plan Energi 2011'!$X$45,1)</f>
        <v>0</v>
      </c>
      <c r="K497" s="650"/>
      <c r="L497" s="650">
        <f>' Plan Energi 2013'!S$45/IF(' Plan Energi 2013'!$X$45&gt;0,' Plan Energi 2013'!$X$45,1)</f>
        <v>0</v>
      </c>
      <c r="M497" s="650"/>
      <c r="N497" s="650">
        <f>' Plan Energi 2015'!S$45/IF(' Plan Energi 2015'!$X$45&gt;0,' Plan Energi 2015'!$X$45,1)</f>
        <v>0</v>
      </c>
      <c r="O497" s="650"/>
      <c r="P497" s="650">
        <f>' Plan Energi 2017'!S$45/IF(' Plan Energi 2017'!$X$45&gt;0,' Plan Energi 2017'!$X$45,1)</f>
        <v>0</v>
      </c>
      <c r="Q497" s="650"/>
      <c r="R497" s="650">
        <f>' Plan Energi 2019'!S$45/IF(' Plan Energi 2019'!$X$45&gt;0,' Plan Energi 2019'!$X$45,1)</f>
        <v>0</v>
      </c>
      <c r="S497" s="650"/>
      <c r="T497" s="726">
        <f>Fjernvarme!J127</f>
        <v>0</v>
      </c>
      <c r="U497" s="650"/>
      <c r="V497" s="726">
        <f>Fjernvarme!L127</f>
        <v>0</v>
      </c>
      <c r="W497" s="650"/>
      <c r="X497" s="604"/>
    </row>
    <row r="498" spans="1:24" ht="15" customHeight="1" x14ac:dyDescent="0.25">
      <c r="A498" s="604" t="s">
        <v>26</v>
      </c>
      <c r="B498" s="650">
        <f>' Plan Energi 2030-S'!V$45/IF(' Plan Energi 2030-S'!$X$45&gt;0,' Plan Energi 2030-S'!$X$45,1)</f>
        <v>0</v>
      </c>
      <c r="C498" s="650"/>
      <c r="D498" s="650">
        <f>' Plan Energi 2006'!V$45/IF(' Plan Energi 2006'!$X$45&gt;0,' Plan Energi 2006'!$X$45,1)</f>
        <v>0</v>
      </c>
      <c r="E498" s="650"/>
      <c r="F498" s="650">
        <f>' Plan Energi 2008'!V$45/IF(' Plan Energi 2008'!$X$45&gt;0,' Plan Energi 2008'!$X$45,1)</f>
        <v>0</v>
      </c>
      <c r="G498" s="650"/>
      <c r="H498" s="650">
        <f>' Plan Energi 2009'!V$45/IF(' Plan Energi 2009'!$X$45&gt;0,' Plan Energi 2009'!$X$45,1)</f>
        <v>0</v>
      </c>
      <c r="I498" s="650"/>
      <c r="J498" s="650">
        <f>' Plan Energi 2011'!V$45/IF(' Plan Energi 2011'!$X$45&gt;0,' Plan Energi 2011'!$X$45,1)</f>
        <v>0</v>
      </c>
      <c r="K498" s="650"/>
      <c r="L498" s="650">
        <f>' Plan Energi 2013'!V$45/IF(' Plan Energi 2013'!$X$45&gt;0,' Plan Energi 2013'!$X$45,1)</f>
        <v>0</v>
      </c>
      <c r="M498" s="650"/>
      <c r="N498" s="650">
        <f>' Plan Energi 2015'!V$45/IF(' Plan Energi 2015'!$X$45&gt;0,' Plan Energi 2015'!$X$45,1)</f>
        <v>0</v>
      </c>
      <c r="O498" s="650"/>
      <c r="P498" s="650">
        <f>' Plan Energi 2017'!V$45/IF(' Plan Energi 2017'!$X$45&gt;0,' Plan Energi 2017'!$X$45,1)</f>
        <v>0</v>
      </c>
      <c r="Q498" s="650"/>
      <c r="R498" s="650">
        <f>' Plan Energi 2019'!V$45/IF(' Plan Energi 2019'!$X$45&gt;0,' Plan Energi 2019'!$X$45,1)</f>
        <v>0</v>
      </c>
      <c r="S498" s="650"/>
      <c r="T498" s="726">
        <f>Fjernvarme!J128</f>
        <v>0</v>
      </c>
      <c r="U498" s="650"/>
      <c r="V498" s="726">
        <f>Fjernvarme!L128</f>
        <v>0</v>
      </c>
      <c r="W498" s="650"/>
      <c r="X498" s="604"/>
    </row>
    <row r="499" spans="1:24" ht="15" customHeight="1" x14ac:dyDescent="0.25">
      <c r="A499" s="629" t="s">
        <v>408</v>
      </c>
      <c r="B499" s="650"/>
      <c r="C499" s="650"/>
      <c r="D499" s="650"/>
      <c r="E499" s="650"/>
      <c r="F499" s="650"/>
      <c r="G499" s="650"/>
      <c r="H499" s="650"/>
      <c r="I499" s="650"/>
      <c r="J499" s="650"/>
      <c r="K499" s="650"/>
      <c r="L499" s="650"/>
      <c r="M499" s="650"/>
      <c r="N499" s="650"/>
      <c r="O499" s="650"/>
      <c r="P499" s="650"/>
      <c r="Q499" s="650"/>
      <c r="R499" s="650"/>
      <c r="S499" s="650"/>
      <c r="T499" s="650"/>
      <c r="U499" s="650"/>
      <c r="V499" s="650"/>
      <c r="W499" s="650"/>
      <c r="X499" s="604"/>
    </row>
    <row r="500" spans="1:24" ht="15" customHeight="1" x14ac:dyDescent="0.25">
      <c r="A500" s="604" t="s">
        <v>3</v>
      </c>
      <c r="B500" s="650">
        <f>' Plan Energi 2030-S'!I$46/IF(' Plan Energi 2030-S'!$X$46&gt;0,' Plan Energi 2030-S'!$X$46,1)</f>
        <v>0</v>
      </c>
      <c r="C500" s="650"/>
      <c r="D500" s="650">
        <f>' Plan Energi 2006'!I$46/IF(' Plan Energi 2006'!$X$46&gt;0,' Plan Energi 2006'!$X$46,1)</f>
        <v>0</v>
      </c>
      <c r="E500" s="650"/>
      <c r="F500" s="650">
        <f>' Plan Energi 2008'!I$46/IF(' Plan Energi 2008'!$X$46&gt;0,' Plan Energi 2008'!$X$46,1)</f>
        <v>0</v>
      </c>
      <c r="G500" s="650"/>
      <c r="H500" s="650">
        <f>' Plan Energi 2009'!I$46/IF(' Plan Energi 2009'!$X$46&gt;0,' Plan Energi 2009'!$X$46,1)</f>
        <v>0</v>
      </c>
      <c r="I500" s="650"/>
      <c r="J500" s="650">
        <f>' Plan Energi 2011'!I$46/IF(' Plan Energi 2011'!$X$46&gt;0,' Plan Energi 2011'!$X$46,1)</f>
        <v>0</v>
      </c>
      <c r="K500" s="650"/>
      <c r="L500" s="650">
        <f>' Plan Energi 2013'!I$46/IF(' Plan Energi 2013'!$X$46&gt;0,' Plan Energi 2013'!$X$46,1)</f>
        <v>0</v>
      </c>
      <c r="M500" s="650"/>
      <c r="N500" s="650">
        <f>' Plan Energi 2015'!I$46/IF(' Plan Energi 2015'!$X$46&gt;0,' Plan Energi 2015'!$X$46,1)</f>
        <v>0</v>
      </c>
      <c r="O500" s="650"/>
      <c r="P500" s="650">
        <f>' Plan Energi 2017'!I$46/IF(' Plan Energi 2017'!$X$46&gt;0,' Plan Energi 2017'!$X$46,1)</f>
        <v>0</v>
      </c>
      <c r="Q500" s="650"/>
      <c r="R500" s="650">
        <f>' Plan Energi 2019'!I$46/IF(' Plan Energi 2019'!$X$46&gt;0,' Plan Energi 2019'!$X$46,1)</f>
        <v>0</v>
      </c>
      <c r="S500" s="650"/>
      <c r="T500" s="726">
        <f>Fjernvarme!J130</f>
        <v>0</v>
      </c>
      <c r="U500" s="650"/>
      <c r="V500" s="726">
        <f>Fjernvarme!L130</f>
        <v>0</v>
      </c>
      <c r="W500" s="650"/>
      <c r="X500" s="604"/>
    </row>
    <row r="501" spans="1:24" ht="15" customHeight="1" x14ac:dyDescent="0.25">
      <c r="A501" s="604" t="s">
        <v>373</v>
      </c>
      <c r="B501" s="650">
        <f>' Plan Energi 2030-S'!O$46/IF(' Plan Energi 2030-S'!$X$46&gt;0,' Plan Energi 2030-S'!$X$46,1)</f>
        <v>0</v>
      </c>
      <c r="C501" s="650"/>
      <c r="D501" s="650">
        <f>' Plan Energi 2006'!O$46/IF(' Plan Energi 2006'!$X$46&gt;0,' Plan Energi 2006'!$X$46,1)</f>
        <v>0</v>
      </c>
      <c r="E501" s="650"/>
      <c r="F501" s="650">
        <f>' Plan Energi 2008'!O$46/IF(' Plan Energi 2008'!$X$46&gt;0,' Plan Energi 2008'!$X$46,1)</f>
        <v>0</v>
      </c>
      <c r="G501" s="650"/>
      <c r="H501" s="650">
        <f>' Plan Energi 2009'!O$46/IF(' Plan Energi 2009'!$X$46&gt;0,' Plan Energi 2009'!$X$46,1)</f>
        <v>0</v>
      </c>
      <c r="I501" s="650"/>
      <c r="J501" s="650">
        <f>' Plan Energi 2011'!O$46/IF(' Plan Energi 2011'!$X$46&gt;0,' Plan Energi 2011'!$X$46,1)</f>
        <v>0</v>
      </c>
      <c r="K501" s="650"/>
      <c r="L501" s="650">
        <f>' Plan Energi 2013'!O$46/IF(' Plan Energi 2013'!$X$46&gt;0,' Plan Energi 2013'!$X$46,1)</f>
        <v>0</v>
      </c>
      <c r="M501" s="650"/>
      <c r="N501" s="650">
        <f>' Plan Energi 2015'!O$46/IF(' Plan Energi 2015'!$X$46&gt;0,' Plan Energi 2015'!$X$46,1)</f>
        <v>0</v>
      </c>
      <c r="O501" s="650"/>
      <c r="P501" s="650">
        <f>' Plan Energi 2017'!O$46/IF(' Plan Energi 2017'!$X$46&gt;0,' Plan Energi 2017'!$X$46,1)</f>
        <v>0</v>
      </c>
      <c r="Q501" s="650"/>
      <c r="R501" s="650">
        <f>' Plan Energi 2019'!O$46/IF(' Plan Energi 2019'!$X$46&gt;0,' Plan Energi 2019'!$X$46,1)</f>
        <v>0</v>
      </c>
      <c r="S501" s="650"/>
      <c r="T501" s="726">
        <f>Fjernvarme!J131</f>
        <v>0</v>
      </c>
      <c r="U501" s="650"/>
      <c r="V501" s="726">
        <f>Fjernvarme!L131</f>
        <v>0</v>
      </c>
      <c r="W501" s="650"/>
      <c r="X501" s="604"/>
    </row>
    <row r="502" spans="1:24" ht="15" customHeight="1" x14ac:dyDescent="0.25">
      <c r="A502" s="604" t="s">
        <v>26</v>
      </c>
      <c r="B502" s="650">
        <f>' Plan Energi 2030-S'!V$46/IF(' Plan Energi 2030-S'!$X$46&gt;0,' Plan Energi 2030-S'!$X$46,1)</f>
        <v>0</v>
      </c>
      <c r="C502" s="650"/>
      <c r="D502" s="650">
        <f>' Plan Energi 2006'!V$46/IF(' Plan Energi 2006'!$X$46&gt;0,' Plan Energi 2006'!$X$46,1)</f>
        <v>0</v>
      </c>
      <c r="E502" s="650"/>
      <c r="F502" s="650">
        <f>' Plan Energi 2008'!V$46/IF(' Plan Energi 2008'!$X$46&gt;0,' Plan Energi 2008'!$X$46,1)</f>
        <v>0</v>
      </c>
      <c r="G502" s="650"/>
      <c r="H502" s="650">
        <f>' Plan Energi 2009'!V$46/IF(' Plan Energi 2009'!$X$46&gt;0,' Plan Energi 2009'!$X$46,1)</f>
        <v>0</v>
      </c>
      <c r="I502" s="650"/>
      <c r="J502" s="650">
        <f>' Plan Energi 2011'!V$46/IF(' Plan Energi 2011'!$X$46&gt;0,' Plan Energi 2011'!$X$46,1)</f>
        <v>0</v>
      </c>
      <c r="K502" s="650"/>
      <c r="L502" s="650">
        <f>' Plan Energi 2013'!V$46/IF(' Plan Energi 2013'!$X$46&gt;0,' Plan Energi 2013'!$X$46,1)</f>
        <v>0</v>
      </c>
      <c r="M502" s="650"/>
      <c r="N502" s="650">
        <f>' Plan Energi 2015'!V$46/IF(' Plan Energi 2015'!$X$46&gt;0,' Plan Energi 2015'!$X$46,1)</f>
        <v>0</v>
      </c>
      <c r="O502" s="650"/>
      <c r="P502" s="650">
        <f>' Plan Energi 2017'!V$46/IF(' Plan Energi 2017'!$X$46&gt;0,' Plan Energi 2017'!$X$46,1)</f>
        <v>0</v>
      </c>
      <c r="Q502" s="650"/>
      <c r="R502" s="650">
        <f>' Plan Energi 2019'!V$46/IF(' Plan Energi 2019'!$X$46&gt;0,' Plan Energi 2019'!$X$46,1)</f>
        <v>0</v>
      </c>
      <c r="S502" s="650"/>
      <c r="T502" s="726">
        <f>Fjernvarme!J132</f>
        <v>0</v>
      </c>
      <c r="U502" s="650"/>
      <c r="V502" s="726">
        <f>Fjernvarme!L132</f>
        <v>0</v>
      </c>
      <c r="W502" s="650"/>
      <c r="X502" s="604"/>
    </row>
    <row r="503" spans="1:24" ht="15" customHeight="1" x14ac:dyDescent="0.25">
      <c r="A503" s="629" t="s">
        <v>409</v>
      </c>
      <c r="B503" s="650"/>
      <c r="C503" s="650"/>
      <c r="D503" s="650"/>
      <c r="E503" s="650"/>
      <c r="F503" s="650"/>
      <c r="G503" s="650"/>
      <c r="H503" s="650"/>
      <c r="I503" s="650"/>
      <c r="J503" s="650"/>
      <c r="K503" s="650"/>
      <c r="L503" s="650"/>
      <c r="M503" s="650"/>
      <c r="N503" s="650"/>
      <c r="O503" s="650"/>
      <c r="P503" s="650"/>
      <c r="Q503" s="650"/>
      <c r="R503" s="650"/>
      <c r="S503" s="650"/>
      <c r="T503" s="650"/>
      <c r="U503" s="650"/>
      <c r="V503" s="650"/>
      <c r="W503" s="650"/>
      <c r="X503" s="604"/>
    </row>
    <row r="504" spans="1:24" ht="15" customHeight="1" x14ac:dyDescent="0.25">
      <c r="A504" s="604" t="s">
        <v>1</v>
      </c>
      <c r="B504" s="650">
        <f>' Plan Energi 2030-S'!C$47/IF(' Plan Energi 2030-S'!$X$47&gt;0,' Plan Energi 2030-S'!$X$47,1)</f>
        <v>0</v>
      </c>
      <c r="C504" s="650"/>
      <c r="D504" s="650">
        <f>' Plan Energi 2006'!C$47/IF(' Plan Energi 2006'!$X$47&gt;0,' Plan Energi 2006'!$X$47,1)</f>
        <v>0</v>
      </c>
      <c r="E504" s="650"/>
      <c r="F504" s="650">
        <f>' Plan Energi 2008'!C$47/IF(' Plan Energi 2008'!$X$47&gt;0,' Plan Energi 2008'!$X$47,1)</f>
        <v>0</v>
      </c>
      <c r="G504" s="650"/>
      <c r="H504" s="650">
        <f>' Plan Energi 2009'!C$47/IF(' Plan Energi 2009'!$X$47&gt;0,' Plan Energi 2009'!$X$47,1)</f>
        <v>0</v>
      </c>
      <c r="I504" s="650"/>
      <c r="J504" s="650">
        <f>' Plan Energi 2011'!C$47/IF(' Plan Energi 2011'!$X$47&gt;0,' Plan Energi 2011'!$X$47,1)</f>
        <v>0</v>
      </c>
      <c r="K504" s="650"/>
      <c r="L504" s="650">
        <f>' Plan Energi 2013'!C$47/IF(' Plan Energi 2013'!$X$47&gt;0,' Plan Energi 2013'!$X$47,1)</f>
        <v>0</v>
      </c>
      <c r="M504" s="650"/>
      <c r="N504" s="650">
        <f>' Plan Energi 2015'!C$47/IF(' Plan Energi 2015'!$X$47&gt;0,' Plan Energi 2015'!$X$47,1)</f>
        <v>0</v>
      </c>
      <c r="O504" s="650"/>
      <c r="P504" s="650">
        <f>' Plan Energi 2017'!C$47/IF(' Plan Energi 2017'!$X$47&gt;0,' Plan Energi 2017'!$X$47,1)</f>
        <v>0</v>
      </c>
      <c r="Q504" s="650"/>
      <c r="R504" s="650">
        <f>' Plan Energi 2019'!C$47/IF(' Plan Energi 2019'!$X$47&gt;0,' Plan Energi 2019'!$X$47,1)</f>
        <v>0</v>
      </c>
      <c r="S504" s="650"/>
      <c r="T504" s="726">
        <f>Fjernvarme!J134</f>
        <v>0</v>
      </c>
      <c r="U504" s="650"/>
      <c r="V504" s="726">
        <f>Fjernvarme!L134</f>
        <v>0</v>
      </c>
      <c r="W504" s="650"/>
      <c r="X504" s="604"/>
    </row>
    <row r="505" spans="1:24" ht="15" customHeight="1" x14ac:dyDescent="0.25">
      <c r="A505" s="604" t="s">
        <v>7</v>
      </c>
      <c r="B505" s="650">
        <f>' Plan Energi 2030-S'!D$47/IF(' Plan Energi 2030-S'!$X$47&gt;0,' Plan Energi 2030-S'!$X$47,1)</f>
        <v>0</v>
      </c>
      <c r="C505" s="650"/>
      <c r="D505" s="650">
        <f>' Plan Energi 2006'!D$47/IF(' Plan Energi 2006'!$X$47&gt;0,' Plan Energi 2006'!$X$47,1)</f>
        <v>0</v>
      </c>
      <c r="E505" s="650"/>
      <c r="F505" s="650">
        <f>' Plan Energi 2008'!D$47/IF(' Plan Energi 2008'!$X$47&gt;0,' Plan Energi 2008'!$X$47,1)</f>
        <v>0</v>
      </c>
      <c r="G505" s="650"/>
      <c r="H505" s="650">
        <f>' Plan Energi 2009'!D$47/IF(' Plan Energi 2009'!$X$47&gt;0,' Plan Energi 2009'!$X$47,1)</f>
        <v>0</v>
      </c>
      <c r="I505" s="650"/>
      <c r="J505" s="650">
        <f>' Plan Energi 2011'!D$47/IF(' Plan Energi 2011'!$X$47&gt;0,' Plan Energi 2011'!$X$47,1)</f>
        <v>0</v>
      </c>
      <c r="K505" s="650"/>
      <c r="L505" s="650">
        <f>' Plan Energi 2013'!D$47/IF(' Plan Energi 2013'!$X$47&gt;0,' Plan Energi 2013'!$X$47,1)</f>
        <v>0</v>
      </c>
      <c r="M505" s="650"/>
      <c r="N505" s="650">
        <f>' Plan Energi 2015'!D$47/IF(' Plan Energi 2015'!$X$47&gt;0,' Plan Energi 2015'!$X$47,1)</f>
        <v>0</v>
      </c>
      <c r="O505" s="650"/>
      <c r="P505" s="650">
        <f>' Plan Energi 2017'!D$47/IF(' Plan Energi 2017'!$X$47&gt;0,' Plan Energi 2017'!$X$47,1)</f>
        <v>0</v>
      </c>
      <c r="Q505" s="650"/>
      <c r="R505" s="650">
        <f>' Plan Energi 2019'!D$47/IF(' Plan Energi 2019'!$X$47&gt;0,' Plan Energi 2019'!$X$47,1)</f>
        <v>0</v>
      </c>
      <c r="S505" s="650"/>
      <c r="T505" s="726">
        <f>Fjernvarme!J135</f>
        <v>0</v>
      </c>
      <c r="U505" s="650"/>
      <c r="V505" s="726">
        <f>Fjernvarme!L135</f>
        <v>0</v>
      </c>
      <c r="W505" s="650"/>
      <c r="X505" s="604"/>
    </row>
    <row r="506" spans="1:24" ht="15" customHeight="1" x14ac:dyDescent="0.25">
      <c r="A506" s="604" t="s">
        <v>3</v>
      </c>
      <c r="B506" s="650">
        <f>' Plan Energi 2030-S'!I$47/IF(' Plan Energi 2030-S'!$X$47&gt;0,' Plan Energi 2030-S'!$X$47,1)</f>
        <v>0</v>
      </c>
      <c r="C506" s="650"/>
      <c r="D506" s="650">
        <f>' Plan Energi 2006'!I$47/IF(' Plan Energi 2006'!$X$47&gt;0,' Plan Energi 2006'!$X$47,1)</f>
        <v>0</v>
      </c>
      <c r="E506" s="650"/>
      <c r="F506" s="650">
        <f>' Plan Energi 2008'!I$47/IF(' Plan Energi 2008'!$X$47&gt;0,' Plan Energi 2008'!$X$47,1)</f>
        <v>0</v>
      </c>
      <c r="G506" s="650"/>
      <c r="H506" s="650">
        <f>' Plan Energi 2009'!I$47/IF(' Plan Energi 2009'!$X$47&gt;0,' Plan Energi 2009'!$X$47,1)</f>
        <v>0</v>
      </c>
      <c r="I506" s="650"/>
      <c r="J506" s="650">
        <f>' Plan Energi 2011'!I$47/IF(' Plan Energi 2011'!$X$47&gt;0,' Plan Energi 2011'!$X$47,1)</f>
        <v>0</v>
      </c>
      <c r="K506" s="650"/>
      <c r="L506" s="650">
        <f>' Plan Energi 2013'!I$47/IF(' Plan Energi 2013'!$X$47&gt;0,' Plan Energi 2013'!$X$47,1)</f>
        <v>0</v>
      </c>
      <c r="M506" s="650"/>
      <c r="N506" s="650">
        <f>' Plan Energi 2015'!I$47/IF(' Plan Energi 2015'!$X$47&gt;0,' Plan Energi 2015'!$X$47,1)</f>
        <v>0</v>
      </c>
      <c r="O506" s="650"/>
      <c r="P506" s="650">
        <f>' Plan Energi 2017'!I$47/IF(' Plan Energi 2017'!$X$47&gt;0,' Plan Energi 2017'!$X$47,1)</f>
        <v>0</v>
      </c>
      <c r="Q506" s="650"/>
      <c r="R506" s="650">
        <f>' Plan Energi 2019'!I$47/IF(' Plan Energi 2019'!$X$47&gt;0,' Plan Energi 2019'!$X$47,1)</f>
        <v>0</v>
      </c>
      <c r="S506" s="650"/>
      <c r="T506" s="726">
        <f>Fjernvarme!J136</f>
        <v>0</v>
      </c>
      <c r="U506" s="650"/>
      <c r="V506" s="726">
        <f>Fjernvarme!L136</f>
        <v>0</v>
      </c>
      <c r="W506" s="650"/>
      <c r="X506" s="604"/>
    </row>
    <row r="507" spans="1:24" ht="15" customHeight="1" x14ac:dyDescent="0.25">
      <c r="A507" s="604" t="s">
        <v>373</v>
      </c>
      <c r="B507" s="650">
        <f>' Plan Energi 2030-S'!O$47/IF(' Plan Energi 2030-S'!$X$47&gt;0,' Plan Energi 2030-S'!$X$47,1)</f>
        <v>0</v>
      </c>
      <c r="C507" s="650"/>
      <c r="D507" s="650">
        <f>' Plan Energi 2006'!O$47/IF(' Plan Energi 2006'!$X$47&gt;0,' Plan Energi 2006'!$X$47,1)</f>
        <v>0</v>
      </c>
      <c r="E507" s="650"/>
      <c r="F507" s="650">
        <f>' Plan Energi 2008'!O$47/IF(' Plan Energi 2008'!$X$47&gt;0,' Plan Energi 2008'!$X$47,1)</f>
        <v>0</v>
      </c>
      <c r="G507" s="650"/>
      <c r="H507" s="650">
        <f>' Plan Energi 2009'!O$47/IF(' Plan Energi 2009'!$X$47&gt;0,' Plan Energi 2009'!$X$47,1)</f>
        <v>0</v>
      </c>
      <c r="I507" s="650"/>
      <c r="J507" s="650">
        <f>' Plan Energi 2011'!O$47/IF(' Plan Energi 2011'!$X$47&gt;0,' Plan Energi 2011'!$X$47,1)</f>
        <v>0</v>
      </c>
      <c r="K507" s="650"/>
      <c r="L507" s="650">
        <f>' Plan Energi 2013'!O$47/IF(' Plan Energi 2013'!$X$47&gt;0,' Plan Energi 2013'!$X$47,1)</f>
        <v>0</v>
      </c>
      <c r="M507" s="650"/>
      <c r="N507" s="650">
        <f>' Plan Energi 2015'!O$47/IF(' Plan Energi 2015'!$X$47&gt;0,' Plan Energi 2015'!$X$47,1)</f>
        <v>0</v>
      </c>
      <c r="O507" s="650"/>
      <c r="P507" s="650">
        <f>' Plan Energi 2017'!O$47/IF(' Plan Energi 2017'!$X$47&gt;0,' Plan Energi 2017'!$X$47,1)</f>
        <v>0</v>
      </c>
      <c r="Q507" s="650"/>
      <c r="R507" s="650">
        <f>' Plan Energi 2019'!O$47/IF(' Plan Energi 2019'!$X$47&gt;0,' Plan Energi 2019'!$X$47,1)</f>
        <v>0</v>
      </c>
      <c r="S507" s="650"/>
      <c r="T507" s="726">
        <f>Fjernvarme!J137</f>
        <v>0</v>
      </c>
      <c r="U507" s="650"/>
      <c r="V507" s="726">
        <f>Fjernvarme!L137</f>
        <v>0</v>
      </c>
      <c r="W507" s="650"/>
      <c r="X507" s="604"/>
    </row>
    <row r="508" spans="1:24" ht="15" customHeight="1" x14ac:dyDescent="0.25">
      <c r="A508" s="604" t="s">
        <v>374</v>
      </c>
      <c r="B508" s="650">
        <f>' Plan Energi 2030-S'!P$47/IF(' Plan Energi 2030-S'!$X$47&gt;0,' Plan Energi 2030-S'!$X$47,1)</f>
        <v>0</v>
      </c>
      <c r="C508" s="650"/>
      <c r="D508" s="650">
        <f>' Plan Energi 2006'!P$47/IF(' Plan Energi 2006'!$X$47&gt;0,' Plan Energi 2006'!$X$47,1)</f>
        <v>0</v>
      </c>
      <c r="E508" s="650"/>
      <c r="F508" s="650">
        <f>' Plan Energi 2008'!P$47/IF(' Plan Energi 2008'!$X$47&gt;0,' Plan Energi 2008'!$X$47,1)</f>
        <v>0</v>
      </c>
      <c r="G508" s="650"/>
      <c r="H508" s="650">
        <f>' Plan Energi 2009'!P$47/IF(' Plan Energi 2009'!$X$47&gt;0,' Plan Energi 2009'!$X$47,1)</f>
        <v>0</v>
      </c>
      <c r="I508" s="650"/>
      <c r="J508" s="650">
        <f>' Plan Energi 2011'!P$47/IF(' Plan Energi 2011'!$X$47&gt;0,' Plan Energi 2011'!$X$47,1)</f>
        <v>0</v>
      </c>
      <c r="K508" s="650"/>
      <c r="L508" s="650">
        <f>' Plan Energi 2013'!P$47/IF(' Plan Energi 2013'!$X$47&gt;0,' Plan Energi 2013'!$X$47,1)</f>
        <v>0</v>
      </c>
      <c r="M508" s="650"/>
      <c r="N508" s="650">
        <f>' Plan Energi 2015'!P$47/IF(' Plan Energi 2015'!$X$47&gt;0,' Plan Energi 2015'!$X$47,1)</f>
        <v>0</v>
      </c>
      <c r="O508" s="650"/>
      <c r="P508" s="650">
        <f>' Plan Energi 2017'!P$47/IF(' Plan Energi 2017'!$X$47&gt;0,' Plan Energi 2017'!$X$47,1)</f>
        <v>0</v>
      </c>
      <c r="Q508" s="650"/>
      <c r="R508" s="650">
        <f>' Plan Energi 2019'!P$47/IF(' Plan Energi 2019'!$X$47&gt;0,' Plan Energi 2019'!$X$47,1)</f>
        <v>0</v>
      </c>
      <c r="S508" s="650"/>
      <c r="T508" s="726">
        <f>Fjernvarme!J138</f>
        <v>0</v>
      </c>
      <c r="U508" s="650"/>
      <c r="V508" s="726">
        <f>Fjernvarme!L138</f>
        <v>0</v>
      </c>
      <c r="W508" s="650"/>
      <c r="X508" s="604"/>
    </row>
    <row r="509" spans="1:24" ht="15" customHeight="1" x14ac:dyDescent="0.25">
      <c r="A509" s="604" t="s">
        <v>21</v>
      </c>
      <c r="B509" s="650">
        <f>' Plan Energi 2030-S'!Q$47/IF(' Plan Energi 2030-S'!$X$47&gt;0,' Plan Energi 2030-S'!$X$47,1)</f>
        <v>0</v>
      </c>
      <c r="C509" s="650"/>
      <c r="D509" s="650">
        <f>' Plan Energi 2006'!Q$47/IF(' Plan Energi 2006'!$X$47&gt;0,' Plan Energi 2006'!$X$47,1)</f>
        <v>0</v>
      </c>
      <c r="E509" s="650"/>
      <c r="F509" s="650">
        <f>' Plan Energi 2008'!Q$47/IF(' Plan Energi 2008'!$X$47&gt;0,' Plan Energi 2008'!$X$47,1)</f>
        <v>0</v>
      </c>
      <c r="G509" s="650"/>
      <c r="H509" s="650">
        <f>' Plan Energi 2009'!Q$47/IF(' Plan Energi 2009'!$X$47&gt;0,' Plan Energi 2009'!$X$47,1)</f>
        <v>0</v>
      </c>
      <c r="I509" s="650"/>
      <c r="J509" s="650">
        <f>' Plan Energi 2011'!Q$47/IF(' Plan Energi 2011'!$X$47&gt;0,' Plan Energi 2011'!$X$47,1)</f>
        <v>0</v>
      </c>
      <c r="K509" s="650"/>
      <c r="L509" s="650">
        <f>' Plan Energi 2013'!Q$47/IF(' Plan Energi 2013'!$X$47&gt;0,' Plan Energi 2013'!$X$47,1)</f>
        <v>0</v>
      </c>
      <c r="M509" s="650"/>
      <c r="N509" s="650">
        <f>' Plan Energi 2015'!Q$47/IF(' Plan Energi 2015'!$X$47&gt;0,' Plan Energi 2015'!$X$47,1)</f>
        <v>0</v>
      </c>
      <c r="O509" s="650"/>
      <c r="P509" s="650">
        <f>' Plan Energi 2017'!Q$47/IF(' Plan Energi 2017'!$X$47&gt;0,' Plan Energi 2017'!$X$47,1)</f>
        <v>0</v>
      </c>
      <c r="Q509" s="650"/>
      <c r="R509" s="650">
        <f>' Plan Energi 2019'!Q$47/IF(' Plan Energi 2019'!$X$47&gt;0,' Plan Energi 2019'!$X$47,1)</f>
        <v>0</v>
      </c>
      <c r="S509" s="650"/>
      <c r="T509" s="726">
        <f>Fjernvarme!J139</f>
        <v>0</v>
      </c>
      <c r="U509" s="650"/>
      <c r="V509" s="726">
        <f>Fjernvarme!L139</f>
        <v>0</v>
      </c>
      <c r="W509" s="650"/>
      <c r="X509" s="604"/>
    </row>
    <row r="510" spans="1:24" ht="15" customHeight="1" x14ac:dyDescent="0.25">
      <c r="A510" s="604" t="s">
        <v>375</v>
      </c>
      <c r="B510" s="650">
        <f>' Plan Energi 2030-S'!R$47/IF(' Plan Energi 2030-S'!$X$47&gt;0,' Plan Energi 2030-S'!$X$47,1)</f>
        <v>0</v>
      </c>
      <c r="C510" s="650"/>
      <c r="D510" s="650">
        <f>' Plan Energi 2006'!R$47/IF(' Plan Energi 2006'!$X$47&gt;0,' Plan Energi 2006'!$X$47,1)</f>
        <v>0</v>
      </c>
      <c r="E510" s="650"/>
      <c r="F510" s="650">
        <f>' Plan Energi 2008'!R$47/IF(' Plan Energi 2008'!$X$47&gt;0,' Plan Energi 2008'!$X$47,1)</f>
        <v>0</v>
      </c>
      <c r="G510" s="650"/>
      <c r="H510" s="650">
        <f>' Plan Energi 2009'!R$47/IF(' Plan Energi 2009'!$X$47&gt;0,' Plan Energi 2009'!$X$47,1)</f>
        <v>0</v>
      </c>
      <c r="I510" s="650"/>
      <c r="J510" s="650">
        <f>' Plan Energi 2011'!R$47/IF(' Plan Energi 2011'!$X$47&gt;0,' Plan Energi 2011'!$X$47,1)</f>
        <v>0</v>
      </c>
      <c r="K510" s="650"/>
      <c r="L510" s="650">
        <f>' Plan Energi 2013'!R$47/IF(' Plan Energi 2013'!$X$47&gt;0,' Plan Energi 2013'!$X$47,1)</f>
        <v>0</v>
      </c>
      <c r="M510" s="650"/>
      <c r="N510" s="650">
        <f>' Plan Energi 2015'!R$47/IF(' Plan Energi 2015'!$X$47&gt;0,' Plan Energi 2015'!$X$47,1)</f>
        <v>0</v>
      </c>
      <c r="O510" s="650"/>
      <c r="P510" s="650">
        <f>' Plan Energi 2017'!R$47/IF(' Plan Energi 2017'!$X$47&gt;0,' Plan Energi 2017'!$X$47,1)</f>
        <v>0</v>
      </c>
      <c r="Q510" s="650"/>
      <c r="R510" s="650">
        <f>' Plan Energi 2019'!R$47/IF(' Plan Energi 2019'!$X$47&gt;0,' Plan Energi 2019'!$X$47,1)</f>
        <v>0</v>
      </c>
      <c r="S510" s="650"/>
      <c r="T510" s="726">
        <f>Fjernvarme!J140</f>
        <v>0</v>
      </c>
      <c r="U510" s="650"/>
      <c r="V510" s="726">
        <f>Fjernvarme!L140</f>
        <v>0</v>
      </c>
      <c r="W510" s="650"/>
      <c r="X510" s="604"/>
    </row>
    <row r="511" spans="1:24" ht="15" customHeight="1" x14ac:dyDescent="0.25">
      <c r="A511" s="604" t="s">
        <v>23</v>
      </c>
      <c r="B511" s="650">
        <f>' Plan Energi 2030-S'!S$47/IF(' Plan Energi 2030-S'!$X$47&gt;0,' Plan Energi 2030-S'!$X$47,1)</f>
        <v>0</v>
      </c>
      <c r="C511" s="650"/>
      <c r="D511" s="650">
        <f>' Plan Energi 2006'!S$47/IF(' Plan Energi 2006'!$X$47&gt;0,' Plan Energi 2006'!$X$47,1)</f>
        <v>0</v>
      </c>
      <c r="E511" s="650"/>
      <c r="F511" s="650">
        <f>' Plan Energi 2008'!S$47/IF(' Plan Energi 2008'!$X$47&gt;0,' Plan Energi 2008'!$X$47,1)</f>
        <v>0</v>
      </c>
      <c r="G511" s="650"/>
      <c r="H511" s="650">
        <f>' Plan Energi 2009'!S$47/IF(' Plan Energi 2009'!$X$47&gt;0,' Plan Energi 2009'!$X$47,1)</f>
        <v>0</v>
      </c>
      <c r="I511" s="650"/>
      <c r="J511" s="650">
        <f>' Plan Energi 2011'!S$47/IF(' Plan Energi 2011'!$X$47&gt;0,' Plan Energi 2011'!$X$47,1)</f>
        <v>0</v>
      </c>
      <c r="K511" s="650"/>
      <c r="L511" s="650">
        <f>' Plan Energi 2013'!S$47/IF(' Plan Energi 2013'!$X$47&gt;0,' Plan Energi 2013'!$X$47,1)</f>
        <v>0</v>
      </c>
      <c r="M511" s="650"/>
      <c r="N511" s="650">
        <f>' Plan Energi 2015'!S$47/IF(' Plan Energi 2015'!$X$47&gt;0,' Plan Energi 2015'!$X$47,1)</f>
        <v>0</v>
      </c>
      <c r="O511" s="650"/>
      <c r="P511" s="650">
        <f>' Plan Energi 2017'!S$47/IF(' Plan Energi 2017'!$X$47&gt;0,' Plan Energi 2017'!$X$47,1)</f>
        <v>0</v>
      </c>
      <c r="Q511" s="650"/>
      <c r="R511" s="650">
        <f>' Plan Energi 2019'!S$47/IF(' Plan Energi 2019'!$X$47&gt;0,' Plan Energi 2019'!$X$47,1)</f>
        <v>0</v>
      </c>
      <c r="S511" s="650"/>
      <c r="T511" s="726">
        <f>Fjernvarme!J141</f>
        <v>0</v>
      </c>
      <c r="U511" s="650"/>
      <c r="V511" s="726">
        <f>Fjernvarme!L141</f>
        <v>0</v>
      </c>
      <c r="W511" s="650"/>
      <c r="X511" s="604"/>
    </row>
    <row r="512" spans="1:24" ht="15" customHeight="1" x14ac:dyDescent="0.25">
      <c r="A512" s="604" t="s">
        <v>26</v>
      </c>
      <c r="B512" s="650">
        <f>' Plan Energi 2030-S'!V$47/IF(' Plan Energi 2030-S'!$X$47&gt;0,' Plan Energi 2030-S'!$X$47,1)</f>
        <v>0</v>
      </c>
      <c r="C512" s="650"/>
      <c r="D512" s="650">
        <f>' Plan Energi 2006'!V$47/IF(' Plan Energi 2006'!$X$47&gt;0,' Plan Energi 2006'!$X$47,1)</f>
        <v>0</v>
      </c>
      <c r="E512" s="650"/>
      <c r="F512" s="650">
        <f>' Plan Energi 2008'!V$47/IF(' Plan Energi 2008'!$X$47&gt;0,' Plan Energi 2008'!$X$47,1)</f>
        <v>0</v>
      </c>
      <c r="G512" s="650"/>
      <c r="H512" s="650">
        <f>' Plan Energi 2009'!V$47/IF(' Plan Energi 2009'!$X$47&gt;0,' Plan Energi 2009'!$X$47,1)</f>
        <v>0</v>
      </c>
      <c r="I512" s="650"/>
      <c r="J512" s="650">
        <f>' Plan Energi 2011'!V$47/IF(' Plan Energi 2011'!$X$47&gt;0,' Plan Energi 2011'!$X$47,1)</f>
        <v>0</v>
      </c>
      <c r="K512" s="650"/>
      <c r="L512" s="650">
        <f>' Plan Energi 2013'!V$47/IF(' Plan Energi 2013'!$X$47&gt;0,' Plan Energi 2013'!$X$47,1)</f>
        <v>0</v>
      </c>
      <c r="M512" s="650"/>
      <c r="N512" s="650">
        <f>' Plan Energi 2015'!V$47/IF(' Plan Energi 2015'!$X$47&gt;0,' Plan Energi 2015'!$X$47,1)</f>
        <v>0</v>
      </c>
      <c r="O512" s="650"/>
      <c r="P512" s="650">
        <f>' Plan Energi 2017'!V$47/IF(' Plan Energi 2017'!$X$47&gt;0,' Plan Energi 2017'!$X$47,1)</f>
        <v>0</v>
      </c>
      <c r="Q512" s="650"/>
      <c r="R512" s="650">
        <f>' Plan Energi 2019'!V$47/IF(' Plan Energi 2019'!$X$47&gt;0,' Plan Energi 2019'!$X$47,1)</f>
        <v>0</v>
      </c>
      <c r="S512" s="650"/>
      <c r="T512" s="726">
        <f>Fjernvarme!J142</f>
        <v>0</v>
      </c>
      <c r="U512" s="650"/>
      <c r="V512" s="726">
        <f>Fjernvarme!L142</f>
        <v>0</v>
      </c>
      <c r="W512" s="650"/>
      <c r="X512" s="604"/>
    </row>
    <row r="513" spans="1:24" ht="15" customHeight="1" x14ac:dyDescent="0.25">
      <c r="A513" s="629" t="s">
        <v>410</v>
      </c>
      <c r="B513" s="650"/>
      <c r="C513" s="650"/>
      <c r="D513" s="650"/>
      <c r="E513" s="650"/>
      <c r="F513" s="650"/>
      <c r="G513" s="650"/>
      <c r="H513" s="650"/>
      <c r="I513" s="650"/>
      <c r="J513" s="650"/>
      <c r="K513" s="650"/>
      <c r="L513" s="650"/>
      <c r="M513" s="650"/>
      <c r="N513" s="650"/>
      <c r="O513" s="650"/>
      <c r="P513" s="650"/>
      <c r="Q513" s="650"/>
      <c r="R513" s="650"/>
      <c r="S513" s="650"/>
      <c r="T513" s="650"/>
      <c r="U513" s="650"/>
      <c r="V513" s="650"/>
      <c r="W513" s="650"/>
      <c r="X513" s="604"/>
    </row>
    <row r="514" spans="1:24" ht="15" customHeight="1" x14ac:dyDescent="0.25">
      <c r="A514" s="710" t="s">
        <v>516</v>
      </c>
      <c r="B514" s="650"/>
      <c r="C514" s="650">
        <f>' Plan Energi 2030-S'!AB57/100</f>
        <v>0</v>
      </c>
      <c r="D514" s="650"/>
      <c r="E514" s="649">
        <f>IF(' Plan Energi 2006'!AB57/100&gt;0,' Plan Energi 2006'!AB57/100,4)</f>
        <v>4</v>
      </c>
      <c r="F514" s="650"/>
      <c r="G514" s="649">
        <f>IF(' Plan Energi 2008'!AB57/100&gt;0,' Plan Energi 2008'!AB57/100,4)</f>
        <v>4</v>
      </c>
      <c r="H514" s="650"/>
      <c r="I514" s="649">
        <f>IF(' Plan Energi 2009'!AB57/100&gt;0,' Plan Energi 2009'!AB57/100,4)</f>
        <v>4</v>
      </c>
      <c r="J514" s="650"/>
      <c r="K514" s="649">
        <f>IF(' Plan Energi 2011'!AB57/100&gt;0,' Plan Energi 2011'!AB57/100,4)</f>
        <v>4</v>
      </c>
      <c r="L514" s="650"/>
      <c r="M514" s="649">
        <f>IF(' Plan Energi 2013'!AB57/100&gt;0,' Plan Energi 2013'!AB57/100,4)</f>
        <v>4</v>
      </c>
      <c r="N514" s="650"/>
      <c r="O514" s="649">
        <f>IF(' Plan Energi 2015'!AB57/100&gt;0,' Plan Energi 2015'!AB57/100,4)</f>
        <v>4</v>
      </c>
      <c r="P514" s="650"/>
      <c r="Q514" s="649">
        <f>IF(' Plan Energi 2017'!AB57/100&gt;0,' Plan Energi 2017'!AB57/100,4)</f>
        <v>4</v>
      </c>
      <c r="R514" s="650"/>
      <c r="S514" s="649">
        <f>IF(' Plan Energi 2019'!AB57/100&gt;0,' Plan Energi 2019'!AB57/100,4)</f>
        <v>4</v>
      </c>
      <c r="T514" s="650"/>
      <c r="U514" s="741">
        <f>Fjernvarme!K144</f>
        <v>4.5</v>
      </c>
      <c r="V514" s="649"/>
      <c r="W514" s="743">
        <f>Fjernvarme!M144</f>
        <v>4.5</v>
      </c>
      <c r="X514" s="604"/>
    </row>
    <row r="515" spans="1:24" ht="15" customHeight="1" x14ac:dyDescent="0.25">
      <c r="A515" s="629" t="s">
        <v>411</v>
      </c>
      <c r="B515" s="650"/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04"/>
    </row>
    <row r="516" spans="1:24" ht="15" customHeight="1" x14ac:dyDescent="0.25">
      <c r="A516" s="629" t="s">
        <v>412</v>
      </c>
      <c r="B516" s="650"/>
      <c r="C516" s="650"/>
      <c r="D516" s="650"/>
      <c r="E516" s="650"/>
      <c r="F516" s="650"/>
      <c r="G516" s="650"/>
      <c r="H516" s="650"/>
      <c r="I516" s="650"/>
      <c r="J516" s="650"/>
      <c r="K516" s="650"/>
      <c r="L516" s="650"/>
      <c r="M516" s="650"/>
      <c r="N516" s="650"/>
      <c r="O516" s="650"/>
      <c r="P516" s="650"/>
      <c r="Q516" s="650"/>
      <c r="R516" s="650"/>
      <c r="S516" s="650"/>
      <c r="T516" s="650"/>
      <c r="U516" s="650"/>
      <c r="V516" s="650"/>
      <c r="W516" s="650"/>
      <c r="X516" s="604"/>
    </row>
    <row r="517" spans="1:24" ht="15" customHeight="1" x14ac:dyDescent="0.25">
      <c r="A517" s="629" t="s">
        <v>414</v>
      </c>
      <c r="B517" s="650"/>
      <c r="C517" s="650"/>
      <c r="D517" s="650"/>
      <c r="E517" s="650"/>
      <c r="F517" s="650"/>
      <c r="G517" s="650"/>
      <c r="H517" s="650"/>
      <c r="I517" s="650"/>
      <c r="J517" s="650"/>
      <c r="K517" s="650"/>
      <c r="L517" s="650"/>
      <c r="M517" s="650"/>
      <c r="N517" s="650"/>
      <c r="O517" s="650"/>
      <c r="P517" s="650"/>
      <c r="Q517" s="650"/>
      <c r="R517" s="650"/>
      <c r="S517" s="650"/>
      <c r="T517" s="650"/>
      <c r="U517" s="650"/>
      <c r="V517" s="650"/>
      <c r="W517" s="650"/>
      <c r="X517" s="604"/>
    </row>
    <row r="518" spans="1:24" ht="15" customHeight="1" x14ac:dyDescent="0.25">
      <c r="A518" s="604" t="s">
        <v>1</v>
      </c>
      <c r="B518" s="650">
        <f>' Plan Energi 2030-S'!C$51/IF(' Plan Energi 2030-S'!$X$51&gt;0,' Plan Energi 2030-S'!$X$51,1)</f>
        <v>0</v>
      </c>
      <c r="C518" s="650"/>
      <c r="D518" s="650">
        <f>' Plan Energi 2006'!C$51/IF(' Plan Energi 2006'!$X$51&gt;0,' Plan Energi 2006'!$X$51,1)</f>
        <v>0</v>
      </c>
      <c r="E518" s="650"/>
      <c r="F518" s="650">
        <f>' Plan Energi 2008'!C$51/IF(' Plan Energi 2008'!$X$51&gt;0,' Plan Energi 2008'!$X$51,1)</f>
        <v>0</v>
      </c>
      <c r="G518" s="650"/>
      <c r="H518" s="650">
        <f>' Plan Energi 2009'!C$51/IF(' Plan Energi 2009'!$X$51&gt;0,' Plan Energi 2009'!$X$51,1)</f>
        <v>0</v>
      </c>
      <c r="I518" s="650"/>
      <c r="J518" s="650">
        <f>' Plan Energi 2011'!C$51/IF(' Plan Energi 2011'!$X$51&gt;0,' Plan Energi 2011'!$X$51,1)</f>
        <v>0</v>
      </c>
      <c r="K518" s="650"/>
      <c r="L518" s="650">
        <f>' Plan Energi 2013'!C$51/IF(' Plan Energi 2013'!$X$51&gt;0,' Plan Energi 2013'!$X$51,1)</f>
        <v>0</v>
      </c>
      <c r="M518" s="650"/>
      <c r="N518" s="650">
        <f>' Plan Energi 2015'!C$51/IF(' Plan Energi 2015'!$X$51&gt;0,' Plan Energi 2015'!$X$51,1)</f>
        <v>0</v>
      </c>
      <c r="O518" s="650"/>
      <c r="P518" s="650">
        <f>' Plan Energi 2017'!C$51/IF(' Plan Energi 2017'!$X$51&gt;0,' Plan Energi 2017'!$X$51,1)</f>
        <v>0</v>
      </c>
      <c r="Q518" s="650"/>
      <c r="R518" s="650">
        <f>' Plan Energi 2019'!C$51/IF(' Plan Energi 2019'!$X$51&gt;0,' Plan Energi 2019'!$X$51,1)</f>
        <v>0</v>
      </c>
      <c r="S518" s="650"/>
      <c r="T518" s="726">
        <f>Fjernvarme!J148</f>
        <v>0</v>
      </c>
      <c r="U518" s="650"/>
      <c r="V518" s="726">
        <f>Fjernvarme!L148</f>
        <v>0</v>
      </c>
      <c r="W518" s="650"/>
      <c r="X518" s="604"/>
    </row>
    <row r="519" spans="1:24" ht="15" customHeight="1" x14ac:dyDescent="0.25">
      <c r="A519" s="604" t="s">
        <v>7</v>
      </c>
      <c r="B519" s="650">
        <f>' Plan Energi 2030-S'!D$51/IF(' Plan Energi 2030-S'!$X$51&gt;0,' Plan Energi 2030-S'!$X$51,1)</f>
        <v>0</v>
      </c>
      <c r="C519" s="650"/>
      <c r="D519" s="650">
        <f>' Plan Energi 2006'!D$51/IF(' Plan Energi 2006'!$X$51&gt;0,' Plan Energi 2006'!$X$51,1)</f>
        <v>0</v>
      </c>
      <c r="E519" s="650"/>
      <c r="F519" s="650">
        <f>' Plan Energi 2008'!D$51/IF(' Plan Energi 2008'!$X$51&gt;0,' Plan Energi 2008'!$X$51,1)</f>
        <v>0</v>
      </c>
      <c r="G519" s="650"/>
      <c r="H519" s="650">
        <f>' Plan Energi 2009'!D$51/IF(' Plan Energi 2009'!$X$51&gt;0,' Plan Energi 2009'!$X$51,1)</f>
        <v>0</v>
      </c>
      <c r="I519" s="650"/>
      <c r="J519" s="650">
        <f>' Plan Energi 2011'!D$51/IF(' Plan Energi 2011'!$X$51&gt;0,' Plan Energi 2011'!$X$51,1)</f>
        <v>0</v>
      </c>
      <c r="K519" s="650"/>
      <c r="L519" s="650">
        <f>' Plan Energi 2013'!D$51/IF(' Plan Energi 2013'!$X$51&gt;0,' Plan Energi 2013'!$X$51,1)</f>
        <v>0</v>
      </c>
      <c r="M519" s="650"/>
      <c r="N519" s="650">
        <f>' Plan Energi 2015'!D$51/IF(' Plan Energi 2015'!$X$51&gt;0,' Plan Energi 2015'!$X$51,1)</f>
        <v>0</v>
      </c>
      <c r="O519" s="650"/>
      <c r="P519" s="650">
        <f>' Plan Energi 2017'!D$51/IF(' Plan Energi 2017'!$X$51&gt;0,' Plan Energi 2017'!$X$51,1)</f>
        <v>0</v>
      </c>
      <c r="Q519" s="650"/>
      <c r="R519" s="650">
        <f>' Plan Energi 2019'!D$51/IF(' Plan Energi 2019'!$X$51&gt;0,' Plan Energi 2019'!$X$51,1)</f>
        <v>0</v>
      </c>
      <c r="S519" s="650"/>
      <c r="T519" s="726">
        <f>Fjernvarme!J149</f>
        <v>0</v>
      </c>
      <c r="U519" s="650"/>
      <c r="V519" s="726">
        <f>Fjernvarme!L149</f>
        <v>0</v>
      </c>
      <c r="W519" s="650"/>
      <c r="X519" s="604"/>
    </row>
    <row r="520" spans="1:24" ht="15" customHeight="1" x14ac:dyDescent="0.25">
      <c r="A520" s="604" t="s">
        <v>3</v>
      </c>
      <c r="B520" s="650">
        <f>' Plan Energi 2030-S'!I$51/IF(' Plan Energi 2030-S'!$X$51&gt;0,' Plan Energi 2030-S'!$X$51,1)</f>
        <v>0</v>
      </c>
      <c r="C520" s="650"/>
      <c r="D520" s="650">
        <f>' Plan Energi 2006'!I$51/IF(' Plan Energi 2006'!$X$51&gt;0,' Plan Energi 2006'!$X$51,1)</f>
        <v>0</v>
      </c>
      <c r="E520" s="650"/>
      <c r="F520" s="650">
        <f>' Plan Energi 2008'!I$51/IF(' Plan Energi 2008'!$X$51&gt;0,' Plan Energi 2008'!$X$51,1)</f>
        <v>0</v>
      </c>
      <c r="G520" s="650"/>
      <c r="H520" s="650">
        <f>' Plan Energi 2009'!I$51/IF(' Plan Energi 2009'!$X$51&gt;0,' Plan Energi 2009'!$X$51,1)</f>
        <v>0</v>
      </c>
      <c r="I520" s="650"/>
      <c r="J520" s="650">
        <f>' Plan Energi 2011'!I$51/IF(' Plan Energi 2011'!$X$51&gt;0,' Plan Energi 2011'!$X$51,1)</f>
        <v>0</v>
      </c>
      <c r="K520" s="650"/>
      <c r="L520" s="650">
        <f>' Plan Energi 2013'!I$51/IF(' Plan Energi 2013'!$X$51&gt;0,' Plan Energi 2013'!$X$51,1)</f>
        <v>0</v>
      </c>
      <c r="M520" s="650"/>
      <c r="N520" s="650">
        <f>' Plan Energi 2015'!I$51/IF(' Plan Energi 2015'!$X$51&gt;0,' Plan Energi 2015'!$X$51,1)</f>
        <v>0</v>
      </c>
      <c r="O520" s="650"/>
      <c r="P520" s="650">
        <f>' Plan Energi 2017'!I$51/IF(' Plan Energi 2017'!$X$51&gt;0,' Plan Energi 2017'!$X$51,1)</f>
        <v>0</v>
      </c>
      <c r="Q520" s="650"/>
      <c r="R520" s="650">
        <f>' Plan Energi 2019'!I$51/IF(' Plan Energi 2019'!$X$51&gt;0,' Plan Energi 2019'!$X$51,1)</f>
        <v>0</v>
      </c>
      <c r="S520" s="650"/>
      <c r="T520" s="726">
        <f>Fjernvarme!J150</f>
        <v>0</v>
      </c>
      <c r="U520" s="650"/>
      <c r="V520" s="726">
        <f>Fjernvarme!L150</f>
        <v>0</v>
      </c>
      <c r="W520" s="650"/>
      <c r="X520" s="604"/>
    </row>
    <row r="521" spans="1:24" ht="15" customHeight="1" x14ac:dyDescent="0.25">
      <c r="A521" s="604" t="s">
        <v>373</v>
      </c>
      <c r="B521" s="650">
        <f>' Plan Energi 2030-S'!O$51/IF(' Plan Energi 2030-S'!$X$51&gt;0,' Plan Energi 2030-S'!$X$51,1)</f>
        <v>0</v>
      </c>
      <c r="C521" s="650"/>
      <c r="D521" s="650">
        <f>' Plan Energi 2006'!O$51/IF(' Plan Energi 2006'!$X$51&gt;0,' Plan Energi 2006'!$X$51,1)</f>
        <v>0</v>
      </c>
      <c r="E521" s="650"/>
      <c r="F521" s="650">
        <f>' Plan Energi 2008'!O$51/IF(' Plan Energi 2008'!$X$51&gt;0,' Plan Energi 2008'!$X$51,1)</f>
        <v>0</v>
      </c>
      <c r="G521" s="650"/>
      <c r="H521" s="650">
        <f>' Plan Energi 2009'!O$51/IF(' Plan Energi 2009'!$X$51&gt;0,' Plan Energi 2009'!$X$51,1)</f>
        <v>0</v>
      </c>
      <c r="I521" s="650"/>
      <c r="J521" s="650">
        <f>' Plan Energi 2011'!O$51/IF(' Plan Energi 2011'!$X$51&gt;0,' Plan Energi 2011'!$X$51,1)</f>
        <v>0</v>
      </c>
      <c r="K521" s="650"/>
      <c r="L521" s="650">
        <f>' Plan Energi 2013'!O$51/IF(' Plan Energi 2013'!$X$51&gt;0,' Plan Energi 2013'!$X$51,1)</f>
        <v>0</v>
      </c>
      <c r="M521" s="650"/>
      <c r="N521" s="650">
        <f>' Plan Energi 2015'!O$51/IF(' Plan Energi 2015'!$X$51&gt;0,' Plan Energi 2015'!$X$51,1)</f>
        <v>0</v>
      </c>
      <c r="O521" s="650"/>
      <c r="P521" s="650">
        <f>' Plan Energi 2017'!O$51/IF(' Plan Energi 2017'!$X$51&gt;0,' Plan Energi 2017'!$X$51,1)</f>
        <v>0</v>
      </c>
      <c r="Q521" s="650"/>
      <c r="R521" s="650">
        <f>' Plan Energi 2019'!O$51/IF(' Plan Energi 2019'!$X$51&gt;0,' Plan Energi 2019'!$X$51,1)</f>
        <v>0</v>
      </c>
      <c r="S521" s="650"/>
      <c r="T521" s="726">
        <f>Fjernvarme!J151</f>
        <v>0</v>
      </c>
      <c r="U521" s="650"/>
      <c r="V521" s="726">
        <f>Fjernvarme!L151</f>
        <v>0</v>
      </c>
      <c r="W521" s="650"/>
      <c r="X521" s="604"/>
    </row>
    <row r="522" spans="1:24" ht="15" customHeight="1" x14ac:dyDescent="0.25">
      <c r="A522" s="604" t="s">
        <v>374</v>
      </c>
      <c r="B522" s="650">
        <f>' Plan Energi 2030-S'!P$51/IF(' Plan Energi 2030-S'!$X$51&gt;0,' Plan Energi 2030-S'!$X$51,1)</f>
        <v>0</v>
      </c>
      <c r="C522" s="650"/>
      <c r="D522" s="650">
        <f>' Plan Energi 2006'!P$51/IF(' Plan Energi 2006'!$X$51&gt;0,' Plan Energi 2006'!$X$51,1)</f>
        <v>0</v>
      </c>
      <c r="E522" s="650"/>
      <c r="F522" s="650">
        <f>' Plan Energi 2008'!P$51/IF(' Plan Energi 2008'!$X$51&gt;0,' Plan Energi 2008'!$X$51,1)</f>
        <v>0</v>
      </c>
      <c r="G522" s="650"/>
      <c r="H522" s="650">
        <f>' Plan Energi 2009'!P$51/IF(' Plan Energi 2009'!$X$51&gt;0,' Plan Energi 2009'!$X$51,1)</f>
        <v>0</v>
      </c>
      <c r="I522" s="650"/>
      <c r="J522" s="650">
        <f>' Plan Energi 2011'!P$51/IF(' Plan Energi 2011'!$X$51&gt;0,' Plan Energi 2011'!$X$51,1)</f>
        <v>0</v>
      </c>
      <c r="K522" s="650"/>
      <c r="L522" s="650">
        <f>' Plan Energi 2013'!P$51/IF(' Plan Energi 2013'!$X$51&gt;0,' Plan Energi 2013'!$X$51,1)</f>
        <v>0</v>
      </c>
      <c r="M522" s="650"/>
      <c r="N522" s="650">
        <f>' Plan Energi 2015'!P$51/IF(' Plan Energi 2015'!$X$51&gt;0,' Plan Energi 2015'!$X$51,1)</f>
        <v>0</v>
      </c>
      <c r="O522" s="650"/>
      <c r="P522" s="650">
        <f>' Plan Energi 2017'!P$51/IF(' Plan Energi 2017'!$X$51&gt;0,' Plan Energi 2017'!$X$51,1)</f>
        <v>0</v>
      </c>
      <c r="Q522" s="650"/>
      <c r="R522" s="650">
        <f>' Plan Energi 2019'!P$51/IF(' Plan Energi 2019'!$X$51&gt;0,' Plan Energi 2019'!$X$51,1)</f>
        <v>0</v>
      </c>
      <c r="S522" s="650"/>
      <c r="T522" s="726">
        <f>Fjernvarme!J152</f>
        <v>0</v>
      </c>
      <c r="U522" s="650"/>
      <c r="V522" s="726">
        <f>Fjernvarme!L152</f>
        <v>0</v>
      </c>
      <c r="W522" s="650"/>
      <c r="X522" s="604"/>
    </row>
    <row r="523" spans="1:24" ht="15" customHeight="1" x14ac:dyDescent="0.25">
      <c r="A523" s="604" t="s">
        <v>21</v>
      </c>
      <c r="B523" s="650">
        <f>' Plan Energi 2030-S'!Q$51/IF(' Plan Energi 2030-S'!$X$51&gt;0,' Plan Energi 2030-S'!$X$51,1)</f>
        <v>0</v>
      </c>
      <c r="C523" s="650"/>
      <c r="D523" s="650">
        <f>' Plan Energi 2006'!Q$51/IF(' Plan Energi 2006'!$X$51&gt;0,' Plan Energi 2006'!$X$51,1)</f>
        <v>0</v>
      </c>
      <c r="E523" s="650"/>
      <c r="F523" s="650">
        <f>' Plan Energi 2008'!Q$51/IF(' Plan Energi 2008'!$X$51&gt;0,' Plan Energi 2008'!$X$51,1)</f>
        <v>0</v>
      </c>
      <c r="G523" s="650"/>
      <c r="H523" s="650">
        <f>' Plan Energi 2009'!Q$51/IF(' Plan Energi 2009'!$X$51&gt;0,' Plan Energi 2009'!$X$51,1)</f>
        <v>0</v>
      </c>
      <c r="I523" s="650"/>
      <c r="J523" s="650">
        <f>' Plan Energi 2011'!Q$51/IF(' Plan Energi 2011'!$X$51&gt;0,' Plan Energi 2011'!$X$51,1)</f>
        <v>0</v>
      </c>
      <c r="K523" s="650"/>
      <c r="L523" s="650">
        <f>' Plan Energi 2013'!Q$51/IF(' Plan Energi 2013'!$X$51&gt;0,' Plan Energi 2013'!$X$51,1)</f>
        <v>0</v>
      </c>
      <c r="M523" s="650"/>
      <c r="N523" s="650">
        <f>' Plan Energi 2015'!Q$51/IF(' Plan Energi 2015'!$X$51&gt;0,' Plan Energi 2015'!$X$51,1)</f>
        <v>0</v>
      </c>
      <c r="O523" s="650"/>
      <c r="P523" s="650">
        <f>' Plan Energi 2017'!Q$51/IF(' Plan Energi 2017'!$X$51&gt;0,' Plan Energi 2017'!$X$51,1)</f>
        <v>0</v>
      </c>
      <c r="Q523" s="650"/>
      <c r="R523" s="650">
        <f>' Plan Energi 2019'!Q$51/IF(' Plan Energi 2019'!$X$51&gt;0,' Plan Energi 2019'!$X$51,1)</f>
        <v>0</v>
      </c>
      <c r="S523" s="650"/>
      <c r="T523" s="726">
        <f>Fjernvarme!J153</f>
        <v>0</v>
      </c>
      <c r="U523" s="650"/>
      <c r="V523" s="726">
        <f>Fjernvarme!L153</f>
        <v>0</v>
      </c>
      <c r="W523" s="650"/>
      <c r="X523" s="604"/>
    </row>
    <row r="524" spans="1:24" ht="15" customHeight="1" x14ac:dyDescent="0.25">
      <c r="A524" s="604" t="s">
        <v>375</v>
      </c>
      <c r="B524" s="650">
        <f>' Plan Energi 2030-S'!R$51/IF(' Plan Energi 2030-S'!$X$51&gt;0,' Plan Energi 2030-S'!$X$51,1)</f>
        <v>0</v>
      </c>
      <c r="C524" s="650"/>
      <c r="D524" s="650">
        <f>' Plan Energi 2006'!R$51/IF(' Plan Energi 2006'!$X$51&gt;0,' Plan Energi 2006'!$X$51,1)</f>
        <v>0</v>
      </c>
      <c r="E524" s="650"/>
      <c r="F524" s="650">
        <f>' Plan Energi 2008'!R$51/IF(' Plan Energi 2008'!$X$51&gt;0,' Plan Energi 2008'!$X$51,1)</f>
        <v>0</v>
      </c>
      <c r="G524" s="650"/>
      <c r="H524" s="650">
        <f>' Plan Energi 2009'!R$51/IF(' Plan Energi 2009'!$X$51&gt;0,' Plan Energi 2009'!$X$51,1)</f>
        <v>0</v>
      </c>
      <c r="I524" s="650"/>
      <c r="J524" s="650">
        <f>' Plan Energi 2011'!R$51/IF(' Plan Energi 2011'!$X$51&gt;0,' Plan Energi 2011'!$X$51,1)</f>
        <v>0</v>
      </c>
      <c r="K524" s="650"/>
      <c r="L524" s="650">
        <f>' Plan Energi 2013'!R$51/IF(' Plan Energi 2013'!$X$51&gt;0,' Plan Energi 2013'!$X$51,1)</f>
        <v>0</v>
      </c>
      <c r="M524" s="650"/>
      <c r="N524" s="650">
        <f>' Plan Energi 2015'!R$51/IF(' Plan Energi 2015'!$X$51&gt;0,' Plan Energi 2015'!$X$51,1)</f>
        <v>0</v>
      </c>
      <c r="O524" s="650"/>
      <c r="P524" s="650">
        <f>' Plan Energi 2017'!R$51/IF(' Plan Energi 2017'!$X$51&gt;0,' Plan Energi 2017'!$X$51,1)</f>
        <v>0</v>
      </c>
      <c r="Q524" s="650"/>
      <c r="R524" s="650">
        <f>' Plan Energi 2019'!R$51/IF(' Plan Energi 2019'!$X$51&gt;0,' Plan Energi 2019'!$X$51,1)</f>
        <v>0</v>
      </c>
      <c r="S524" s="650"/>
      <c r="T524" s="726">
        <f>Fjernvarme!J154</f>
        <v>0</v>
      </c>
      <c r="U524" s="650"/>
      <c r="V524" s="726">
        <f>Fjernvarme!L154</f>
        <v>0</v>
      </c>
      <c r="W524" s="650"/>
      <c r="X524" s="604"/>
    </row>
    <row r="525" spans="1:24" ht="15" customHeight="1" x14ac:dyDescent="0.25">
      <c r="A525" s="604" t="s">
        <v>23</v>
      </c>
      <c r="B525" s="650">
        <f>' Plan Energi 2030-S'!S$51/IF(' Plan Energi 2030-S'!$X$51&gt;0,' Plan Energi 2030-S'!$X$51,1)</f>
        <v>0</v>
      </c>
      <c r="C525" s="650"/>
      <c r="D525" s="650">
        <f>' Plan Energi 2006'!S$51/IF(' Plan Energi 2006'!$X$51&gt;0,' Plan Energi 2006'!$X$51,1)</f>
        <v>0</v>
      </c>
      <c r="E525" s="650"/>
      <c r="F525" s="650">
        <f>' Plan Energi 2008'!S$51/IF(' Plan Energi 2008'!$X$51&gt;0,' Plan Energi 2008'!$X$51,1)</f>
        <v>0</v>
      </c>
      <c r="G525" s="650"/>
      <c r="H525" s="650">
        <f>' Plan Energi 2009'!S$51/IF(' Plan Energi 2009'!$X$51&gt;0,' Plan Energi 2009'!$X$51,1)</f>
        <v>0</v>
      </c>
      <c r="I525" s="650"/>
      <c r="J525" s="650">
        <f>' Plan Energi 2011'!S$51/IF(' Plan Energi 2011'!$X$51&gt;0,' Plan Energi 2011'!$X$51,1)</f>
        <v>0</v>
      </c>
      <c r="K525" s="650"/>
      <c r="L525" s="650">
        <f>' Plan Energi 2013'!S$51/IF(' Plan Energi 2013'!$X$51&gt;0,' Plan Energi 2013'!$X$51,1)</f>
        <v>0</v>
      </c>
      <c r="M525" s="650"/>
      <c r="N525" s="650">
        <f>' Plan Energi 2015'!S$51/IF(' Plan Energi 2015'!$X$51&gt;0,' Plan Energi 2015'!$X$51,1)</f>
        <v>0</v>
      </c>
      <c r="O525" s="650"/>
      <c r="P525" s="650">
        <f>' Plan Energi 2017'!S$51/IF(' Plan Energi 2017'!$X$51&gt;0,' Plan Energi 2017'!$X$51,1)</f>
        <v>0</v>
      </c>
      <c r="Q525" s="650"/>
      <c r="R525" s="650">
        <f>' Plan Energi 2019'!S$51/IF(' Plan Energi 2019'!$X$51&gt;0,' Plan Energi 2019'!$X$51,1)</f>
        <v>0</v>
      </c>
      <c r="S525" s="650"/>
      <c r="T525" s="726">
        <f>Fjernvarme!J155</f>
        <v>0</v>
      </c>
      <c r="U525" s="650"/>
      <c r="V525" s="726">
        <f>Fjernvarme!L155</f>
        <v>0</v>
      </c>
      <c r="W525" s="650"/>
      <c r="X525" s="604"/>
    </row>
    <row r="526" spans="1:24" ht="15" customHeight="1" x14ac:dyDescent="0.25">
      <c r="A526" s="604" t="s">
        <v>26</v>
      </c>
      <c r="B526" s="650">
        <f>' Plan Energi 2030-S'!V$51/IF(' Plan Energi 2030-S'!$X$51&gt;0,' Plan Energi 2030-S'!$X$51,1)</f>
        <v>0</v>
      </c>
      <c r="C526" s="650"/>
      <c r="D526" s="650">
        <f>' Plan Energi 2006'!V$51/IF(' Plan Energi 2006'!$X$51&gt;0,' Plan Energi 2006'!$X$51,1)</f>
        <v>0</v>
      </c>
      <c r="E526" s="650"/>
      <c r="F526" s="650">
        <f>' Plan Energi 2008'!V$51/IF(' Plan Energi 2008'!$X$51&gt;0,' Plan Energi 2008'!$X$51,1)</f>
        <v>0</v>
      </c>
      <c r="G526" s="650"/>
      <c r="H526" s="650">
        <f>' Plan Energi 2009'!V$51/IF(' Plan Energi 2009'!$X$51&gt;0,' Plan Energi 2009'!$X$51,1)</f>
        <v>0</v>
      </c>
      <c r="I526" s="650"/>
      <c r="J526" s="650">
        <f>' Plan Energi 2011'!V$51/IF(' Plan Energi 2011'!$X$51&gt;0,' Plan Energi 2011'!$X$51,1)</f>
        <v>0</v>
      </c>
      <c r="K526" s="650"/>
      <c r="L526" s="650">
        <f>' Plan Energi 2013'!V$51/IF(' Plan Energi 2013'!$X$51&gt;0,' Plan Energi 2013'!$X$51,1)</f>
        <v>0</v>
      </c>
      <c r="M526" s="650"/>
      <c r="N526" s="650">
        <f>' Plan Energi 2015'!V$51/IF(' Plan Energi 2015'!$X$51&gt;0,' Plan Energi 2015'!$X$51,1)</f>
        <v>0</v>
      </c>
      <c r="O526" s="650"/>
      <c r="P526" s="650">
        <f>' Plan Energi 2017'!V$51/IF(' Plan Energi 2017'!$X$51&gt;0,' Plan Energi 2017'!$X$51,1)</f>
        <v>0</v>
      </c>
      <c r="Q526" s="650"/>
      <c r="R526" s="650">
        <f>' Plan Energi 2019'!V$51/IF(' Plan Energi 2019'!$X$51&gt;0,' Plan Energi 2019'!$X$51,1)</f>
        <v>0</v>
      </c>
      <c r="S526" s="650"/>
      <c r="T526" s="726">
        <f>Fjernvarme!J156</f>
        <v>0</v>
      </c>
      <c r="U526" s="650"/>
      <c r="V526" s="726">
        <f>Fjernvarme!L156</f>
        <v>0</v>
      </c>
      <c r="W526" s="650"/>
      <c r="X526" s="604"/>
    </row>
    <row r="527" spans="1:24" x14ac:dyDescent="0.25">
      <c r="A527" s="629" t="s">
        <v>415</v>
      </c>
      <c r="B527" s="650"/>
      <c r="C527" s="650"/>
      <c r="D527" s="650"/>
      <c r="E527" s="650"/>
      <c r="F527" s="650"/>
      <c r="G527" s="650"/>
      <c r="H527" s="650"/>
      <c r="I527" s="650"/>
      <c r="J527" s="650"/>
      <c r="K527" s="650"/>
      <c r="L527" s="650"/>
      <c r="M527" s="650"/>
      <c r="N527" s="650"/>
      <c r="O527" s="650"/>
      <c r="P527" s="650"/>
      <c r="Q527" s="650"/>
      <c r="R527" s="650"/>
      <c r="S527" s="650"/>
      <c r="T527" s="650"/>
      <c r="U527" s="650"/>
      <c r="V527" s="650"/>
      <c r="W527" s="650"/>
      <c r="X527" s="604"/>
    </row>
    <row r="528" spans="1:24" x14ac:dyDescent="0.25">
      <c r="A528" s="604" t="s">
        <v>7</v>
      </c>
      <c r="B528" s="650">
        <f>' Plan Energi 2030-S'!D$53/IF(' Plan Energi 2030-S'!$X$53&gt;0,' Plan Energi 2030-S'!$X$53,1)</f>
        <v>0</v>
      </c>
      <c r="C528" s="650"/>
      <c r="D528" s="650">
        <f>' Plan Energi 2006'!D$53/IF(' Plan Energi 2006'!$X$53&gt;0,' Plan Energi 2006'!$X$53,1)</f>
        <v>0</v>
      </c>
      <c r="E528" s="650"/>
      <c r="F528" s="650">
        <f>' Plan Energi 2008'!D$53/IF(' Plan Energi 2008'!$X$53&gt;0,' Plan Energi 2008'!$X$53,1)</f>
        <v>0</v>
      </c>
      <c r="G528" s="650"/>
      <c r="H528" s="650">
        <f>' Plan Energi 2009'!D$53/IF(' Plan Energi 2009'!$X$53&gt;0,' Plan Energi 2009'!$X$53,1)</f>
        <v>0</v>
      </c>
      <c r="I528" s="650"/>
      <c r="J528" s="650">
        <f>' Plan Energi 2011'!D$53/IF(' Plan Energi 2011'!$X$53&gt;0,' Plan Energi 2011'!$X$53,1)</f>
        <v>0</v>
      </c>
      <c r="K528" s="650"/>
      <c r="L528" s="650">
        <f>' Plan Energi 2013'!D$53/IF(' Plan Energi 2013'!$X$53&gt;0,' Plan Energi 2013'!$X$53,1)</f>
        <v>0</v>
      </c>
      <c r="M528" s="650"/>
      <c r="N528" s="650">
        <f>' Plan Energi 2015'!D$53/IF(' Plan Energi 2015'!$X$53&gt;0,' Plan Energi 2015'!$X$53,1)</f>
        <v>0</v>
      </c>
      <c r="O528" s="650"/>
      <c r="P528" s="650">
        <f>' Plan Energi 2017'!D$53/IF(' Plan Energi 2017'!$X$53&gt;0,' Plan Energi 2017'!$X$53,1)</f>
        <v>0</v>
      </c>
      <c r="Q528" s="650"/>
      <c r="R528" s="650">
        <f>' Plan Energi 2019'!D$53/IF(' Plan Energi 2019'!$X$53&gt;0,' Plan Energi 2019'!$X$53,1)</f>
        <v>0</v>
      </c>
      <c r="S528" s="650"/>
      <c r="T528" s="726">
        <f>Fjernvarme!J158</f>
        <v>0</v>
      </c>
      <c r="U528" s="650"/>
      <c r="V528" s="726">
        <f>Fjernvarme!L158</f>
        <v>0</v>
      </c>
      <c r="W528" s="650"/>
      <c r="X528" s="604"/>
    </row>
    <row r="529" spans="1:24" x14ac:dyDescent="0.25">
      <c r="A529" s="604" t="s">
        <v>8</v>
      </c>
      <c r="B529" s="650">
        <f>' Plan Energi 2030-S'!E$53/IF(' Plan Energi 2030-S'!$X$53&gt;0,' Plan Energi 2030-S'!$X$53,1)</f>
        <v>0</v>
      </c>
      <c r="C529" s="650"/>
      <c r="D529" s="650">
        <f>' Plan Energi 2006'!E$53/IF(' Plan Energi 2006'!$X$53&gt;0,' Plan Energi 2006'!$X$53,1)</f>
        <v>0</v>
      </c>
      <c r="E529" s="650"/>
      <c r="F529" s="650">
        <f>' Plan Energi 2008'!E$53/IF(' Plan Energi 2008'!$X$53&gt;0,' Plan Energi 2008'!$X$53,1)</f>
        <v>0</v>
      </c>
      <c r="G529" s="650"/>
      <c r="H529" s="650">
        <f>' Plan Energi 2009'!E$53/IF(' Plan Energi 2009'!$X$53&gt;0,' Plan Energi 2009'!$X$53,1)</f>
        <v>0</v>
      </c>
      <c r="I529" s="650"/>
      <c r="J529" s="650">
        <f>' Plan Energi 2011'!E$53/IF(' Plan Energi 2011'!$X$53&gt;0,' Plan Energi 2011'!$X$53,1)</f>
        <v>0</v>
      </c>
      <c r="K529" s="650"/>
      <c r="L529" s="650">
        <f>' Plan Energi 2013'!E$53/IF(' Plan Energi 2013'!$X$53&gt;0,' Plan Energi 2013'!$X$53,1)</f>
        <v>0</v>
      </c>
      <c r="M529" s="650"/>
      <c r="N529" s="650">
        <f>' Plan Energi 2015'!E$53/IF(' Plan Energi 2015'!$X$53&gt;0,' Plan Energi 2015'!$X$53,1)</f>
        <v>0</v>
      </c>
      <c r="O529" s="650"/>
      <c r="P529" s="650">
        <f>' Plan Energi 2017'!E$53/IF(' Plan Energi 2017'!$X$53&gt;0,' Plan Energi 2017'!$X$53,1)</f>
        <v>0</v>
      </c>
      <c r="Q529" s="650"/>
      <c r="R529" s="650">
        <f>' Plan Energi 2019'!E$53/IF(' Plan Energi 2019'!$X$53&gt;0,' Plan Energi 2019'!$X$53,1)</f>
        <v>0</v>
      </c>
      <c r="S529" s="650"/>
      <c r="T529" s="726">
        <f>Fjernvarme!J159</f>
        <v>0</v>
      </c>
      <c r="U529" s="650"/>
      <c r="V529" s="726">
        <f>Fjernvarme!L159</f>
        <v>0</v>
      </c>
      <c r="W529" s="650"/>
      <c r="X529" s="604"/>
    </row>
    <row r="530" spans="1:24" x14ac:dyDescent="0.25">
      <c r="A530" s="604" t="s">
        <v>9</v>
      </c>
      <c r="B530" s="650">
        <f>' Plan Energi 2030-S'!F$53/IF(' Plan Energi 2030-S'!$X$53&gt;0,' Plan Energi 2030-S'!$X$53,1)</f>
        <v>0</v>
      </c>
      <c r="C530" s="650"/>
      <c r="D530" s="650">
        <f>' Plan Energi 2006'!F$53/IF(' Plan Energi 2006'!$X$53&gt;0,' Plan Energi 2006'!$X$53,1)</f>
        <v>0</v>
      </c>
      <c r="E530" s="650"/>
      <c r="F530" s="650">
        <f>' Plan Energi 2008'!F$53/IF(' Plan Energi 2008'!$X$53&gt;0,' Plan Energi 2008'!$X$53,1)</f>
        <v>0</v>
      </c>
      <c r="G530" s="650"/>
      <c r="H530" s="650">
        <f>' Plan Energi 2009'!F$53/IF(' Plan Energi 2009'!$X$53&gt;0,' Plan Energi 2009'!$X$53,1)</f>
        <v>0</v>
      </c>
      <c r="I530" s="650"/>
      <c r="J530" s="650">
        <f>' Plan Energi 2011'!F$53/IF(' Plan Energi 2011'!$X$53&gt;0,' Plan Energi 2011'!$X$53,1)</f>
        <v>0</v>
      </c>
      <c r="K530" s="650"/>
      <c r="L530" s="650">
        <f>' Plan Energi 2013'!F$53/IF(' Plan Energi 2013'!$X$53&gt;0,' Plan Energi 2013'!$X$53,1)</f>
        <v>0</v>
      </c>
      <c r="M530" s="650"/>
      <c r="N530" s="650">
        <f>' Plan Energi 2015'!F$53/IF(' Plan Energi 2015'!$X$53&gt;0,' Plan Energi 2015'!$X$53,1)</f>
        <v>0</v>
      </c>
      <c r="O530" s="650"/>
      <c r="P530" s="650">
        <f>' Plan Energi 2017'!F$53/IF(' Plan Energi 2017'!$X$53&gt;0,' Plan Energi 2017'!$X$53,1)</f>
        <v>0</v>
      </c>
      <c r="Q530" s="650"/>
      <c r="R530" s="650">
        <f>' Plan Energi 2019'!F$53/IF(' Plan Energi 2019'!$X$53&gt;0,' Plan Energi 2019'!$X$53,1)</f>
        <v>0</v>
      </c>
      <c r="S530" s="650"/>
      <c r="T530" s="726">
        <f>Fjernvarme!J160</f>
        <v>0</v>
      </c>
      <c r="U530" s="650"/>
      <c r="V530" s="726">
        <f>Fjernvarme!L160</f>
        <v>0</v>
      </c>
      <c r="W530" s="650"/>
      <c r="X530" s="604"/>
    </row>
    <row r="531" spans="1:24" x14ac:dyDescent="0.25">
      <c r="A531" s="604" t="s">
        <v>11</v>
      </c>
      <c r="B531" s="650">
        <f>' Plan Energi 2030-S'!H$53/IF(' Plan Energi 2030-S'!$X$53&gt;0,' Plan Energi 2030-S'!$X$53,1)</f>
        <v>0</v>
      </c>
      <c r="C531" s="650"/>
      <c r="D531" s="650">
        <f>' Plan Energi 2006'!H$53/IF(' Plan Energi 2006'!$X$53&gt;0,' Plan Energi 2006'!$X$53,1)</f>
        <v>0</v>
      </c>
      <c r="E531" s="650"/>
      <c r="F531" s="650">
        <f>' Plan Energi 2008'!H$53/IF(' Plan Energi 2008'!$X$53&gt;0,' Plan Energi 2008'!$X$53,1)</f>
        <v>0</v>
      </c>
      <c r="G531" s="650"/>
      <c r="H531" s="650">
        <f>' Plan Energi 2009'!H$53/IF(' Plan Energi 2009'!$X$53&gt;0,' Plan Energi 2009'!$X$53,1)</f>
        <v>0</v>
      </c>
      <c r="I531" s="650"/>
      <c r="J531" s="650">
        <f>' Plan Energi 2011'!H$53/IF(' Plan Energi 2011'!$X$53&gt;0,' Plan Energi 2011'!$X$53,1)</f>
        <v>0</v>
      </c>
      <c r="K531" s="650"/>
      <c r="L531" s="650">
        <f>' Plan Energi 2013'!H$53/IF(' Plan Energi 2013'!$X$53&gt;0,' Plan Energi 2013'!$X$53,1)</f>
        <v>0</v>
      </c>
      <c r="M531" s="650"/>
      <c r="N531" s="650">
        <f>' Plan Energi 2015'!H$53/IF(' Plan Energi 2015'!$X$53&gt;0,' Plan Energi 2015'!$X$53,1)</f>
        <v>0</v>
      </c>
      <c r="O531" s="650"/>
      <c r="P531" s="650">
        <f>' Plan Energi 2017'!H$53/IF(' Plan Energi 2017'!$X$53&gt;0,' Plan Energi 2017'!$X$53,1)</f>
        <v>0</v>
      </c>
      <c r="Q531" s="650"/>
      <c r="R531" s="650">
        <f>' Plan Energi 2019'!H$53/IF(' Plan Energi 2019'!$X$53&gt;0,' Plan Energi 2019'!$X$53,1)</f>
        <v>0</v>
      </c>
      <c r="S531" s="650"/>
      <c r="T531" s="726">
        <f>Fjernvarme!J161</f>
        <v>0</v>
      </c>
      <c r="U531" s="650"/>
      <c r="V531" s="726">
        <f>Fjernvarme!L161</f>
        <v>0</v>
      </c>
      <c r="W531" s="650"/>
      <c r="X531" s="604"/>
    </row>
    <row r="532" spans="1:24" x14ac:dyDescent="0.25">
      <c r="A532" s="604" t="s">
        <v>3</v>
      </c>
      <c r="B532" s="650">
        <f>' Plan Energi 2030-S'!I$53/IF(' Plan Energi 2030-S'!$X$53&gt;0,' Plan Energi 2030-S'!$X$53,1)</f>
        <v>0</v>
      </c>
      <c r="C532" s="650"/>
      <c r="D532" s="650">
        <f>' Plan Energi 2006'!I$53/IF(' Plan Energi 2006'!$X$53&gt;0,' Plan Energi 2006'!$X$53,1)</f>
        <v>0</v>
      </c>
      <c r="E532" s="650"/>
      <c r="F532" s="650">
        <f>' Plan Energi 2008'!I$53/IF(' Plan Energi 2008'!$X$53&gt;0,' Plan Energi 2008'!$X$53,1)</f>
        <v>0</v>
      </c>
      <c r="G532" s="650"/>
      <c r="H532" s="650">
        <f>' Plan Energi 2009'!I$53/IF(' Plan Energi 2009'!$X$53&gt;0,' Plan Energi 2009'!$X$53,1)</f>
        <v>0</v>
      </c>
      <c r="I532" s="650"/>
      <c r="J532" s="650">
        <f>' Plan Energi 2011'!I$53/IF(' Plan Energi 2011'!$X$53&gt;0,' Plan Energi 2011'!$X$53,1)</f>
        <v>0</v>
      </c>
      <c r="K532" s="650"/>
      <c r="L532" s="650">
        <f>' Plan Energi 2013'!I$53/IF(' Plan Energi 2013'!$X$53&gt;0,' Plan Energi 2013'!$X$53,1)</f>
        <v>0</v>
      </c>
      <c r="M532" s="650"/>
      <c r="N532" s="650">
        <f>' Plan Energi 2015'!I$53/IF(' Plan Energi 2015'!$X$53&gt;0,' Plan Energi 2015'!$X$53,1)</f>
        <v>0</v>
      </c>
      <c r="O532" s="650"/>
      <c r="P532" s="650">
        <f>' Plan Energi 2017'!I$53/IF(' Plan Energi 2017'!$X$53&gt;0,' Plan Energi 2017'!$X$53,1)</f>
        <v>0</v>
      </c>
      <c r="Q532" s="650"/>
      <c r="R532" s="650">
        <f>' Plan Energi 2019'!I$53/IF(' Plan Energi 2019'!$X$53&gt;0,' Plan Energi 2019'!$X$53,1)</f>
        <v>0</v>
      </c>
      <c r="S532" s="650"/>
      <c r="T532" s="726">
        <f>Fjernvarme!J162</f>
        <v>0</v>
      </c>
      <c r="U532" s="650"/>
      <c r="V532" s="726">
        <f>Fjernvarme!L162</f>
        <v>0</v>
      </c>
      <c r="W532" s="650"/>
      <c r="X532" s="604"/>
    </row>
    <row r="533" spans="1:24" x14ac:dyDescent="0.25">
      <c r="A533" s="604" t="s">
        <v>373</v>
      </c>
      <c r="B533" s="650">
        <f>' Plan Energi 2030-S'!O$53/IF(' Plan Energi 2030-S'!$X$53&gt;0,' Plan Energi 2030-S'!$X$53,1)</f>
        <v>0</v>
      </c>
      <c r="C533" s="650"/>
      <c r="D533" s="650">
        <f>' Plan Energi 2006'!O$53/IF(' Plan Energi 2006'!$X$53&gt;0,' Plan Energi 2006'!$X$53,1)</f>
        <v>0</v>
      </c>
      <c r="E533" s="650"/>
      <c r="F533" s="650">
        <f>' Plan Energi 2008'!O$53/IF(' Plan Energi 2008'!$X$53&gt;0,' Plan Energi 2008'!$X$53,1)</f>
        <v>0</v>
      </c>
      <c r="G533" s="650"/>
      <c r="H533" s="650">
        <f>' Plan Energi 2009'!O$53/IF(' Plan Energi 2009'!$X$53&gt;0,' Plan Energi 2009'!$X$53,1)</f>
        <v>0</v>
      </c>
      <c r="I533" s="650"/>
      <c r="J533" s="650">
        <f>' Plan Energi 2011'!O$53/IF(' Plan Energi 2011'!$X$53&gt;0,' Plan Energi 2011'!$X$53,1)</f>
        <v>0</v>
      </c>
      <c r="K533" s="650"/>
      <c r="L533" s="650">
        <f>' Plan Energi 2013'!O$53/IF(' Plan Energi 2013'!$X$53&gt;0,' Plan Energi 2013'!$X$53,1)</f>
        <v>0</v>
      </c>
      <c r="M533" s="650"/>
      <c r="N533" s="650">
        <f>' Plan Energi 2015'!O$53/IF(' Plan Energi 2015'!$X$53&gt;0,' Plan Energi 2015'!$X$53,1)</f>
        <v>0</v>
      </c>
      <c r="O533" s="650"/>
      <c r="P533" s="650">
        <f>' Plan Energi 2017'!O$53/IF(' Plan Energi 2017'!$X$53&gt;0,' Plan Energi 2017'!$X$53,1)</f>
        <v>0</v>
      </c>
      <c r="Q533" s="650"/>
      <c r="R533" s="650">
        <f>' Plan Energi 2019'!O$53/IF(' Plan Energi 2019'!$X$53&gt;0,' Plan Energi 2019'!$X$53,1)</f>
        <v>0</v>
      </c>
      <c r="S533" s="650"/>
      <c r="T533" s="726">
        <f>Fjernvarme!J163</f>
        <v>0</v>
      </c>
      <c r="U533" s="650"/>
      <c r="V533" s="726">
        <f>Fjernvarme!L163</f>
        <v>0</v>
      </c>
      <c r="W533" s="650"/>
      <c r="X533" s="604"/>
    </row>
    <row r="534" spans="1:24" x14ac:dyDescent="0.25">
      <c r="A534" s="604" t="s">
        <v>374</v>
      </c>
      <c r="B534" s="650">
        <f>' Plan Energi 2030-S'!P$53/IF(' Plan Energi 2030-S'!$X$53&gt;0,' Plan Energi 2030-S'!$X$53,1)</f>
        <v>0</v>
      </c>
      <c r="C534" s="650"/>
      <c r="D534" s="650">
        <f>' Plan Energi 2006'!P$53/IF(' Plan Energi 2006'!$X$53&gt;0,' Plan Energi 2006'!$X$53,1)</f>
        <v>0</v>
      </c>
      <c r="E534" s="650"/>
      <c r="F534" s="650">
        <f>' Plan Energi 2008'!P$53/IF(' Plan Energi 2008'!$X$53&gt;0,' Plan Energi 2008'!$X$53,1)</f>
        <v>0</v>
      </c>
      <c r="G534" s="650"/>
      <c r="H534" s="650">
        <f>' Plan Energi 2009'!P$53/IF(' Plan Energi 2009'!$X$53&gt;0,' Plan Energi 2009'!$X$53,1)</f>
        <v>0</v>
      </c>
      <c r="I534" s="650"/>
      <c r="J534" s="650">
        <f>' Plan Energi 2011'!P$53/IF(' Plan Energi 2011'!$X$53&gt;0,' Plan Energi 2011'!$X$53,1)</f>
        <v>0</v>
      </c>
      <c r="K534" s="650"/>
      <c r="L534" s="650">
        <f>' Plan Energi 2013'!P$53/IF(' Plan Energi 2013'!$X$53&gt;0,' Plan Energi 2013'!$X$53,1)</f>
        <v>0</v>
      </c>
      <c r="M534" s="650"/>
      <c r="N534" s="650">
        <f>' Plan Energi 2015'!P$53/IF(' Plan Energi 2015'!$X$53&gt;0,' Plan Energi 2015'!$X$53,1)</f>
        <v>0</v>
      </c>
      <c r="O534" s="650"/>
      <c r="P534" s="650">
        <f>' Plan Energi 2017'!P$53/IF(' Plan Energi 2017'!$X$53&gt;0,' Plan Energi 2017'!$X$53,1)</f>
        <v>0</v>
      </c>
      <c r="Q534" s="650"/>
      <c r="R534" s="650">
        <f>' Plan Energi 2019'!P$53/IF(' Plan Energi 2019'!$X$53&gt;0,' Plan Energi 2019'!$X$53,1)</f>
        <v>0</v>
      </c>
      <c r="S534" s="650"/>
      <c r="T534" s="726">
        <f>Fjernvarme!J164</f>
        <v>0</v>
      </c>
      <c r="U534" s="650"/>
      <c r="V534" s="726">
        <f>Fjernvarme!L164</f>
        <v>0</v>
      </c>
      <c r="W534" s="650"/>
      <c r="X534" s="604"/>
    </row>
    <row r="535" spans="1:24" x14ac:dyDescent="0.25">
      <c r="A535" s="604" t="s">
        <v>21</v>
      </c>
      <c r="B535" s="650">
        <f>' Plan Energi 2030-S'!Q$53/IF(' Plan Energi 2030-S'!$X$53&gt;0,' Plan Energi 2030-S'!$X$53,1)</f>
        <v>0</v>
      </c>
      <c r="C535" s="650"/>
      <c r="D535" s="650">
        <f>' Plan Energi 2006'!Q$53/IF(' Plan Energi 2006'!$X$53&gt;0,' Plan Energi 2006'!$X$53,1)</f>
        <v>0</v>
      </c>
      <c r="E535" s="650"/>
      <c r="F535" s="650">
        <f>' Plan Energi 2008'!Q$53/IF(' Plan Energi 2008'!$X$53&gt;0,' Plan Energi 2008'!$X$53,1)</f>
        <v>0</v>
      </c>
      <c r="G535" s="650"/>
      <c r="H535" s="650">
        <f>' Plan Energi 2009'!Q$53/IF(' Plan Energi 2009'!$X$53&gt;0,' Plan Energi 2009'!$X$53,1)</f>
        <v>0</v>
      </c>
      <c r="I535" s="650"/>
      <c r="J535" s="650">
        <f>' Plan Energi 2011'!Q$53/IF(' Plan Energi 2011'!$X$53&gt;0,' Plan Energi 2011'!$X$53,1)</f>
        <v>0</v>
      </c>
      <c r="K535" s="650"/>
      <c r="L535" s="650">
        <f>' Plan Energi 2013'!Q$53/IF(' Plan Energi 2013'!$X$53&gt;0,' Plan Energi 2013'!$X$53,1)</f>
        <v>0</v>
      </c>
      <c r="M535" s="650"/>
      <c r="N535" s="650">
        <f>' Plan Energi 2015'!Q$53/IF(' Plan Energi 2015'!$X$53&gt;0,' Plan Energi 2015'!$X$53,1)</f>
        <v>0</v>
      </c>
      <c r="O535" s="650"/>
      <c r="P535" s="650">
        <f>' Plan Energi 2017'!Q$53/IF(' Plan Energi 2017'!$X$53&gt;0,' Plan Energi 2017'!$X$53,1)</f>
        <v>0</v>
      </c>
      <c r="Q535" s="650"/>
      <c r="R535" s="650">
        <f>' Plan Energi 2019'!Q$53/IF(' Plan Energi 2019'!$X$53&gt;0,' Plan Energi 2019'!$X$53,1)</f>
        <v>0</v>
      </c>
      <c r="S535" s="650"/>
      <c r="T535" s="726">
        <f>Fjernvarme!J165</f>
        <v>0</v>
      </c>
      <c r="U535" s="650"/>
      <c r="V535" s="726">
        <f>Fjernvarme!L165</f>
        <v>0</v>
      </c>
      <c r="W535" s="650"/>
      <c r="X535" s="604"/>
    </row>
    <row r="536" spans="1:24" x14ac:dyDescent="0.25">
      <c r="A536" s="604" t="s">
        <v>375</v>
      </c>
      <c r="B536" s="650">
        <f>' Plan Energi 2030-S'!R$53/IF(' Plan Energi 2030-S'!$X$53&gt;0,' Plan Energi 2030-S'!$X$53,1)</f>
        <v>0</v>
      </c>
      <c r="C536" s="650"/>
      <c r="D536" s="650">
        <f>' Plan Energi 2006'!R$53/IF(' Plan Energi 2006'!$X$53&gt;0,' Plan Energi 2006'!$X$53,1)</f>
        <v>0</v>
      </c>
      <c r="E536" s="650"/>
      <c r="F536" s="650">
        <f>' Plan Energi 2008'!R$53/IF(' Plan Energi 2008'!$X$53&gt;0,' Plan Energi 2008'!$X$53,1)</f>
        <v>0</v>
      </c>
      <c r="G536" s="650"/>
      <c r="H536" s="650">
        <f>' Plan Energi 2009'!R$53/IF(' Plan Energi 2009'!$X$53&gt;0,' Plan Energi 2009'!$X$53,1)</f>
        <v>0</v>
      </c>
      <c r="I536" s="650"/>
      <c r="J536" s="650">
        <f>' Plan Energi 2011'!R$53/IF(' Plan Energi 2011'!$X$53&gt;0,' Plan Energi 2011'!$X$53,1)</f>
        <v>0</v>
      </c>
      <c r="K536" s="650"/>
      <c r="L536" s="650">
        <f>' Plan Energi 2013'!R$53/IF(' Plan Energi 2013'!$X$53&gt;0,' Plan Energi 2013'!$X$53,1)</f>
        <v>0</v>
      </c>
      <c r="M536" s="650"/>
      <c r="N536" s="650">
        <f>' Plan Energi 2015'!R$53/IF(' Plan Energi 2015'!$X$53&gt;0,' Plan Energi 2015'!$X$53,1)</f>
        <v>0</v>
      </c>
      <c r="O536" s="650"/>
      <c r="P536" s="650">
        <f>' Plan Energi 2017'!R$53/IF(' Plan Energi 2017'!$X$53&gt;0,' Plan Energi 2017'!$X$53,1)</f>
        <v>0</v>
      </c>
      <c r="Q536" s="650"/>
      <c r="R536" s="650">
        <f>' Plan Energi 2019'!R$53/IF(' Plan Energi 2019'!$X$53&gt;0,' Plan Energi 2019'!$X$53,1)</f>
        <v>0</v>
      </c>
      <c r="S536" s="650"/>
      <c r="T536" s="726">
        <f>Fjernvarme!J166</f>
        <v>0</v>
      </c>
      <c r="U536" s="650"/>
      <c r="V536" s="726">
        <f>Fjernvarme!L166</f>
        <v>0</v>
      </c>
      <c r="W536" s="650"/>
      <c r="X536" s="604"/>
    </row>
    <row r="537" spans="1:24" x14ac:dyDescent="0.25">
      <c r="A537" s="604" t="s">
        <v>23</v>
      </c>
      <c r="B537" s="650">
        <f>' Plan Energi 2030-S'!S$53/IF(' Plan Energi 2030-S'!$X$53&gt;0,' Plan Energi 2030-S'!$X$53,1)</f>
        <v>0</v>
      </c>
      <c r="C537" s="650"/>
      <c r="D537" s="650">
        <f>' Plan Energi 2006'!S$53/IF(' Plan Energi 2006'!$X$53&gt;0,' Plan Energi 2006'!$X$53,1)</f>
        <v>0</v>
      </c>
      <c r="E537" s="650"/>
      <c r="F537" s="650">
        <f>' Plan Energi 2008'!S$53/IF(' Plan Energi 2008'!$X$53&gt;0,' Plan Energi 2008'!$X$53,1)</f>
        <v>0</v>
      </c>
      <c r="G537" s="650"/>
      <c r="H537" s="650">
        <f>' Plan Energi 2009'!S$53/IF(' Plan Energi 2009'!$X$53&gt;0,' Plan Energi 2009'!$X$53,1)</f>
        <v>0</v>
      </c>
      <c r="I537" s="650"/>
      <c r="J537" s="650">
        <f>' Plan Energi 2011'!S$53/IF(' Plan Energi 2011'!$X$53&gt;0,' Plan Energi 2011'!$X$53,1)</f>
        <v>0</v>
      </c>
      <c r="K537" s="650"/>
      <c r="L537" s="650">
        <f>' Plan Energi 2013'!S$53/IF(' Plan Energi 2013'!$X$53&gt;0,' Plan Energi 2013'!$X$53,1)</f>
        <v>0</v>
      </c>
      <c r="M537" s="650"/>
      <c r="N537" s="650">
        <f>' Plan Energi 2015'!S$53/IF(' Plan Energi 2015'!$X$53&gt;0,' Plan Energi 2015'!$X$53,1)</f>
        <v>0</v>
      </c>
      <c r="O537" s="650"/>
      <c r="P537" s="650">
        <f>' Plan Energi 2017'!S$53/IF(' Plan Energi 2017'!$X$53&gt;0,' Plan Energi 2017'!$X$53,1)</f>
        <v>0</v>
      </c>
      <c r="Q537" s="650"/>
      <c r="R537" s="650">
        <f>' Plan Energi 2019'!S$53/IF(' Plan Energi 2019'!$X$53&gt;0,' Plan Energi 2019'!$X$53,1)</f>
        <v>0</v>
      </c>
      <c r="S537" s="650"/>
      <c r="T537" s="726">
        <f>Fjernvarme!J167</f>
        <v>0</v>
      </c>
      <c r="U537" s="650"/>
      <c r="V537" s="726">
        <f>Fjernvarme!L167</f>
        <v>0</v>
      </c>
      <c r="W537" s="650"/>
      <c r="X537" s="604"/>
    </row>
    <row r="538" spans="1:24" x14ac:dyDescent="0.25">
      <c r="A538" s="604" t="s">
        <v>26</v>
      </c>
      <c r="B538" s="650">
        <f>' Plan Energi 2030-S'!V$53/IF(' Plan Energi 2030-S'!$X$53&gt;0,' Plan Energi 2030-S'!$X$53,1)</f>
        <v>0</v>
      </c>
      <c r="C538" s="650"/>
      <c r="D538" s="650">
        <f>' Plan Energi 2006'!V$53/IF(' Plan Energi 2006'!$X$53&gt;0,' Plan Energi 2006'!$X$53,1)</f>
        <v>1</v>
      </c>
      <c r="E538" s="650"/>
      <c r="F538" s="650">
        <f>' Plan Energi 2008'!V$53/IF(' Plan Energi 2008'!$X$53&gt;0,' Plan Energi 2008'!$X$53,1)</f>
        <v>1</v>
      </c>
      <c r="G538" s="650"/>
      <c r="H538" s="650">
        <f>' Plan Energi 2009'!V$53/IF(' Plan Energi 2009'!$X$53&gt;0,' Plan Energi 2009'!$X$53,1)</f>
        <v>1</v>
      </c>
      <c r="I538" s="650"/>
      <c r="J538" s="650">
        <f>' Plan Energi 2011'!V$53/IF(' Plan Energi 2011'!$X$53&gt;0,' Plan Energi 2011'!$X$53,1)</f>
        <v>1</v>
      </c>
      <c r="K538" s="650"/>
      <c r="L538" s="650">
        <f>' Plan Energi 2013'!V$53/IF(' Plan Energi 2013'!$X$53&gt;0,' Plan Energi 2013'!$X$53,1)</f>
        <v>1</v>
      </c>
      <c r="M538" s="650"/>
      <c r="N538" s="650">
        <f>' Plan Energi 2015'!V$53/IF(' Plan Energi 2015'!$X$53&gt;0,' Plan Energi 2015'!$X$53,1)</f>
        <v>0</v>
      </c>
      <c r="O538" s="650"/>
      <c r="P538" s="650">
        <f>' Plan Energi 2017'!V$53/IF(' Plan Energi 2017'!$X$53&gt;0,' Plan Energi 2017'!$X$53,1)</f>
        <v>0</v>
      </c>
      <c r="Q538" s="650"/>
      <c r="R538" s="650">
        <f>' Plan Energi 2019'!V$53/IF(' Plan Energi 2019'!$X$53&gt;0,' Plan Energi 2019'!$X$53,1)</f>
        <v>0</v>
      </c>
      <c r="S538" s="650"/>
      <c r="T538" s="726">
        <f>Fjernvarme!J168</f>
        <v>0</v>
      </c>
      <c r="U538" s="650"/>
      <c r="V538" s="726">
        <f>Fjernvarme!L168</f>
        <v>0</v>
      </c>
      <c r="W538" s="650"/>
      <c r="X538" s="604"/>
    </row>
    <row r="539" spans="1:24" x14ac:dyDescent="0.25">
      <c r="A539" s="629" t="s">
        <v>416</v>
      </c>
      <c r="B539" s="650"/>
      <c r="C539" s="650"/>
      <c r="D539" s="650"/>
      <c r="E539" s="650"/>
      <c r="F539" s="650"/>
      <c r="G539" s="650"/>
      <c r="H539" s="650"/>
      <c r="I539" s="650"/>
      <c r="J539" s="650"/>
      <c r="K539" s="650"/>
      <c r="L539" s="650"/>
      <c r="M539" s="650"/>
      <c r="N539" s="650"/>
      <c r="O539" s="650"/>
      <c r="P539" s="650"/>
      <c r="Q539" s="650"/>
      <c r="R539" s="650"/>
      <c r="S539" s="650"/>
      <c r="T539" s="650"/>
      <c r="U539" s="650"/>
      <c r="V539" s="650"/>
      <c r="W539" s="650"/>
      <c r="X539" s="604"/>
    </row>
    <row r="540" spans="1:24" x14ac:dyDescent="0.25">
      <c r="A540" s="604" t="s">
        <v>1</v>
      </c>
      <c r="B540" s="650">
        <f>' Plan Energi 2030-S'!C$54/IF(' Plan Energi 2030-S'!$X$54&gt;0,' Plan Energi 2030-S'!$X$54,1)</f>
        <v>0</v>
      </c>
      <c r="C540" s="650"/>
      <c r="D540" s="650">
        <f>' Plan Energi 2006'!C$54/IF(' Plan Energi 2006'!$X$54&gt;0,' Plan Energi 2006'!$X$54,1)</f>
        <v>0</v>
      </c>
      <c r="E540" s="650"/>
      <c r="F540" s="650">
        <f>' Plan Energi 2008'!C$54/IF(' Plan Energi 2008'!$X$54&gt;0,' Plan Energi 2008'!$X$54,1)</f>
        <v>0</v>
      </c>
      <c r="G540" s="650"/>
      <c r="H540" s="650">
        <f>' Plan Energi 2009'!C$54/IF(' Plan Energi 2009'!$X$54&gt;0,' Plan Energi 2009'!$X$54,1)</f>
        <v>0</v>
      </c>
      <c r="I540" s="650"/>
      <c r="J540" s="650">
        <f>' Plan Energi 2011'!C$54/IF(' Plan Energi 2011'!$X$54&gt;0,' Plan Energi 2011'!$X$54,1)</f>
        <v>0</v>
      </c>
      <c r="K540" s="650"/>
      <c r="L540" s="650">
        <f>' Plan Energi 2013'!C$54/IF(' Plan Energi 2013'!$X$54&gt;0,' Plan Energi 2013'!$X$54,1)</f>
        <v>0</v>
      </c>
      <c r="M540" s="650"/>
      <c r="N540" s="650">
        <f>' Plan Energi 2015'!C$54/IF(' Plan Energi 2015'!$X$54&gt;0,' Plan Energi 2015'!$X$54,1)</f>
        <v>0</v>
      </c>
      <c r="O540" s="650"/>
      <c r="P540" s="650">
        <f>' Plan Energi 2017'!C$54/IF(' Plan Energi 2017'!$X$54&gt;0,' Plan Energi 2017'!$X$54,1)</f>
        <v>0</v>
      </c>
      <c r="Q540" s="650"/>
      <c r="R540" s="650">
        <f>' Plan Energi 2019'!C$54/IF(' Plan Energi 2019'!$X$54&gt;0,' Plan Energi 2019'!$X$54,1)</f>
        <v>0</v>
      </c>
      <c r="S540" s="650"/>
      <c r="T540" s="726">
        <f>Fjernvarme!J170</f>
        <v>0</v>
      </c>
      <c r="U540" s="650"/>
      <c r="V540" s="726">
        <f>Fjernvarme!L170</f>
        <v>0</v>
      </c>
      <c r="W540" s="650"/>
      <c r="X540" s="604"/>
    </row>
    <row r="541" spans="1:24" x14ac:dyDescent="0.25">
      <c r="A541" s="604" t="s">
        <v>7</v>
      </c>
      <c r="B541" s="650">
        <f>' Plan Energi 2030-S'!D$54/IF(' Plan Energi 2030-S'!$X$54&gt;0,' Plan Energi 2030-S'!$X$54,1)</f>
        <v>0</v>
      </c>
      <c r="C541" s="650"/>
      <c r="D541" s="650">
        <f>' Plan Energi 2006'!D$54/IF(' Plan Energi 2006'!$X$54&gt;0,' Plan Energi 2006'!$X$54,1)</f>
        <v>0</v>
      </c>
      <c r="E541" s="650"/>
      <c r="F541" s="650">
        <f>' Plan Energi 2008'!D$54/IF(' Plan Energi 2008'!$X$54&gt;0,' Plan Energi 2008'!$X$54,1)</f>
        <v>0</v>
      </c>
      <c r="G541" s="650"/>
      <c r="H541" s="650">
        <f>' Plan Energi 2009'!D$54/IF(' Plan Energi 2009'!$X$54&gt;0,' Plan Energi 2009'!$X$54,1)</f>
        <v>0</v>
      </c>
      <c r="I541" s="650"/>
      <c r="J541" s="650">
        <f>' Plan Energi 2011'!D$54/IF(' Plan Energi 2011'!$X$54&gt;0,' Plan Energi 2011'!$X$54,1)</f>
        <v>0</v>
      </c>
      <c r="K541" s="650"/>
      <c r="L541" s="650">
        <f>' Plan Energi 2013'!D$54/IF(' Plan Energi 2013'!$X$54&gt;0,' Plan Energi 2013'!$X$54,1)</f>
        <v>0</v>
      </c>
      <c r="M541" s="650"/>
      <c r="N541" s="650">
        <f>' Plan Energi 2015'!D$54/IF(' Plan Energi 2015'!$X$54&gt;0,' Plan Energi 2015'!$X$54,1)</f>
        <v>0</v>
      </c>
      <c r="O541" s="650"/>
      <c r="P541" s="650">
        <f>' Plan Energi 2017'!D$54/IF(' Plan Energi 2017'!$X$54&gt;0,' Plan Energi 2017'!$X$54,1)</f>
        <v>0</v>
      </c>
      <c r="Q541" s="650"/>
      <c r="R541" s="650">
        <f>' Plan Energi 2019'!D$54/IF(' Plan Energi 2019'!$X$54&gt;0,' Plan Energi 2019'!$X$54,1)</f>
        <v>0</v>
      </c>
      <c r="S541" s="650"/>
      <c r="T541" s="726">
        <f>Fjernvarme!J171</f>
        <v>0</v>
      </c>
      <c r="U541" s="650"/>
      <c r="V541" s="726">
        <f>Fjernvarme!L171</f>
        <v>0</v>
      </c>
      <c r="W541" s="650"/>
      <c r="X541" s="604"/>
    </row>
    <row r="542" spans="1:24" x14ac:dyDescent="0.25">
      <c r="A542" s="604" t="s">
        <v>3</v>
      </c>
      <c r="B542" s="650">
        <f>' Plan Energi 2030-S'!I$54/IF(' Plan Energi 2030-S'!$X$54&gt;0,' Plan Energi 2030-S'!$X$54,1)</f>
        <v>0</v>
      </c>
      <c r="C542" s="650"/>
      <c r="D542" s="650">
        <f>' Plan Energi 2006'!I$54/IF(' Plan Energi 2006'!$X$54&gt;0,' Plan Energi 2006'!$X$54,1)</f>
        <v>0</v>
      </c>
      <c r="E542" s="650"/>
      <c r="F542" s="650">
        <f>' Plan Energi 2008'!I$54/IF(' Plan Energi 2008'!$X$54&gt;0,' Plan Energi 2008'!$X$54,1)</f>
        <v>0</v>
      </c>
      <c r="G542" s="650"/>
      <c r="H542" s="650">
        <f>' Plan Energi 2009'!I$54/IF(' Plan Energi 2009'!$X$54&gt;0,' Plan Energi 2009'!$X$54,1)</f>
        <v>0</v>
      </c>
      <c r="I542" s="650"/>
      <c r="J542" s="650">
        <f>' Plan Energi 2011'!I$54/IF(' Plan Energi 2011'!$X$54&gt;0,' Plan Energi 2011'!$X$54,1)</f>
        <v>0</v>
      </c>
      <c r="K542" s="650"/>
      <c r="L542" s="650">
        <f>' Plan Energi 2013'!I$54/IF(' Plan Energi 2013'!$X$54&gt;0,' Plan Energi 2013'!$X$54,1)</f>
        <v>0</v>
      </c>
      <c r="M542" s="650"/>
      <c r="N542" s="650">
        <f>' Plan Energi 2015'!I$54/IF(' Plan Energi 2015'!$X$54&gt;0,' Plan Energi 2015'!$X$54,1)</f>
        <v>0</v>
      </c>
      <c r="O542" s="650"/>
      <c r="P542" s="650">
        <f>' Plan Energi 2017'!I$54/IF(' Plan Energi 2017'!$X$54&gt;0,' Plan Energi 2017'!$X$54,1)</f>
        <v>0</v>
      </c>
      <c r="Q542" s="650"/>
      <c r="R542" s="650">
        <f>' Plan Energi 2019'!I$54/IF(' Plan Energi 2019'!$X$54&gt;0,' Plan Energi 2019'!$X$54,1)</f>
        <v>0</v>
      </c>
      <c r="S542" s="650"/>
      <c r="T542" s="726">
        <f>Fjernvarme!J172</f>
        <v>0</v>
      </c>
      <c r="U542" s="650"/>
      <c r="V542" s="726">
        <f>Fjernvarme!L172</f>
        <v>0</v>
      </c>
      <c r="W542" s="650"/>
      <c r="X542" s="604"/>
    </row>
    <row r="543" spans="1:24" x14ac:dyDescent="0.25">
      <c r="A543" s="604" t="s">
        <v>373</v>
      </c>
      <c r="B543" s="650">
        <f>' Plan Energi 2030-S'!O$54/IF(' Plan Energi 2030-S'!$X$54&gt;0,' Plan Energi 2030-S'!$X$54,1)</f>
        <v>0</v>
      </c>
      <c r="C543" s="650"/>
      <c r="D543" s="650">
        <f>' Plan Energi 2006'!O$54/IF(' Plan Energi 2006'!$X$54&gt;0,' Plan Energi 2006'!$X$54,1)</f>
        <v>0</v>
      </c>
      <c r="E543" s="650"/>
      <c r="F543" s="650">
        <f>' Plan Energi 2008'!O$54/IF(' Plan Energi 2008'!$X$54&gt;0,' Plan Energi 2008'!$X$54,1)</f>
        <v>0</v>
      </c>
      <c r="G543" s="650"/>
      <c r="H543" s="650">
        <f>' Plan Energi 2009'!O$54/IF(' Plan Energi 2009'!$X$54&gt;0,' Plan Energi 2009'!$X$54,1)</f>
        <v>0</v>
      </c>
      <c r="I543" s="650"/>
      <c r="J543" s="650">
        <f>' Plan Energi 2011'!O$54/IF(' Plan Energi 2011'!$X$54&gt;0,' Plan Energi 2011'!$X$54,1)</f>
        <v>0</v>
      </c>
      <c r="K543" s="650"/>
      <c r="L543" s="650">
        <f>' Plan Energi 2013'!O$54/IF(' Plan Energi 2013'!$X$54&gt;0,' Plan Energi 2013'!$X$54,1)</f>
        <v>0</v>
      </c>
      <c r="M543" s="650"/>
      <c r="N543" s="650">
        <f>' Plan Energi 2015'!O$54/IF(' Plan Energi 2015'!$X$54&gt;0,' Plan Energi 2015'!$X$54,1)</f>
        <v>0</v>
      </c>
      <c r="O543" s="650"/>
      <c r="P543" s="650">
        <f>' Plan Energi 2017'!O$54/IF(' Plan Energi 2017'!$X$54&gt;0,' Plan Energi 2017'!$X$54,1)</f>
        <v>0</v>
      </c>
      <c r="Q543" s="650"/>
      <c r="R543" s="650">
        <f>' Plan Energi 2019'!O$54/IF(' Plan Energi 2019'!$X$54&gt;0,' Plan Energi 2019'!$X$54,1)</f>
        <v>0</v>
      </c>
      <c r="S543" s="650"/>
      <c r="T543" s="726">
        <f>Fjernvarme!J173</f>
        <v>0</v>
      </c>
      <c r="U543" s="650"/>
      <c r="V543" s="726">
        <f>Fjernvarme!L173</f>
        <v>0</v>
      </c>
      <c r="W543" s="650"/>
      <c r="X543" s="604"/>
    </row>
    <row r="544" spans="1:24" x14ac:dyDescent="0.25">
      <c r="A544" s="604" t="s">
        <v>374</v>
      </c>
      <c r="B544" s="650">
        <f>' Plan Energi 2030-S'!P$54/IF(' Plan Energi 2030-S'!$X$54&gt;0,' Plan Energi 2030-S'!$X$54,1)</f>
        <v>0</v>
      </c>
      <c r="C544" s="650"/>
      <c r="D544" s="650">
        <f>' Plan Energi 2006'!P$54/IF(' Plan Energi 2006'!$X$54&gt;0,' Plan Energi 2006'!$X$54,1)</f>
        <v>0</v>
      </c>
      <c r="E544" s="650"/>
      <c r="F544" s="650">
        <f>' Plan Energi 2008'!P$54/IF(' Plan Energi 2008'!$X$54&gt;0,' Plan Energi 2008'!$X$54,1)</f>
        <v>0</v>
      </c>
      <c r="G544" s="650"/>
      <c r="H544" s="650">
        <f>' Plan Energi 2009'!P$54/IF(' Plan Energi 2009'!$X$54&gt;0,' Plan Energi 2009'!$X$54,1)</f>
        <v>0</v>
      </c>
      <c r="I544" s="650"/>
      <c r="J544" s="650">
        <f>' Plan Energi 2011'!P$54/IF(' Plan Energi 2011'!$X$54&gt;0,' Plan Energi 2011'!$X$54,1)</f>
        <v>0</v>
      </c>
      <c r="K544" s="650"/>
      <c r="L544" s="650">
        <f>' Plan Energi 2013'!P$54/IF(' Plan Energi 2013'!$X$54&gt;0,' Plan Energi 2013'!$X$54,1)</f>
        <v>0</v>
      </c>
      <c r="M544" s="650"/>
      <c r="N544" s="650">
        <f>' Plan Energi 2015'!P$54/IF(' Plan Energi 2015'!$X$54&gt;0,' Plan Energi 2015'!$X$54,1)</f>
        <v>0</v>
      </c>
      <c r="O544" s="650"/>
      <c r="P544" s="650">
        <f>' Plan Energi 2017'!P$54/IF(' Plan Energi 2017'!$X$54&gt;0,' Plan Energi 2017'!$X$54,1)</f>
        <v>0</v>
      </c>
      <c r="Q544" s="650"/>
      <c r="R544" s="650">
        <f>' Plan Energi 2019'!P$54/IF(' Plan Energi 2019'!$X$54&gt;0,' Plan Energi 2019'!$X$54,1)</f>
        <v>0</v>
      </c>
      <c r="S544" s="650"/>
      <c r="T544" s="726">
        <f>Fjernvarme!J174</f>
        <v>0</v>
      </c>
      <c r="U544" s="650"/>
      <c r="V544" s="726">
        <f>Fjernvarme!L174</f>
        <v>0</v>
      </c>
      <c r="W544" s="650"/>
      <c r="X544" s="604"/>
    </row>
    <row r="545" spans="1:24" x14ac:dyDescent="0.25">
      <c r="A545" s="604" t="s">
        <v>21</v>
      </c>
      <c r="B545" s="650">
        <f>' Plan Energi 2030-S'!Q$54/IF(' Plan Energi 2030-S'!$X$54&gt;0,' Plan Energi 2030-S'!$X$54,1)</f>
        <v>0</v>
      </c>
      <c r="C545" s="650"/>
      <c r="D545" s="650">
        <f>' Plan Energi 2006'!Q$54/IF(' Plan Energi 2006'!$X$54&gt;0,' Plan Energi 2006'!$X$54,1)</f>
        <v>0</v>
      </c>
      <c r="E545" s="650"/>
      <c r="F545" s="650">
        <f>' Plan Energi 2008'!Q$54/IF(' Plan Energi 2008'!$X$54&gt;0,' Plan Energi 2008'!$X$54,1)</f>
        <v>0</v>
      </c>
      <c r="G545" s="650"/>
      <c r="H545" s="650">
        <f>' Plan Energi 2009'!Q$54/IF(' Plan Energi 2009'!$X$54&gt;0,' Plan Energi 2009'!$X$54,1)</f>
        <v>0</v>
      </c>
      <c r="I545" s="650"/>
      <c r="J545" s="650">
        <f>' Plan Energi 2011'!Q$54/IF(' Plan Energi 2011'!$X$54&gt;0,' Plan Energi 2011'!$X$54,1)</f>
        <v>0</v>
      </c>
      <c r="K545" s="650"/>
      <c r="L545" s="650">
        <f>' Plan Energi 2013'!Q$54/IF(' Plan Energi 2013'!$X$54&gt;0,' Plan Energi 2013'!$X$54,1)</f>
        <v>0</v>
      </c>
      <c r="M545" s="650"/>
      <c r="N545" s="650">
        <f>' Plan Energi 2015'!Q$54/IF(' Plan Energi 2015'!$X$54&gt;0,' Plan Energi 2015'!$X$54,1)</f>
        <v>0</v>
      </c>
      <c r="O545" s="650"/>
      <c r="P545" s="650">
        <f>' Plan Energi 2017'!Q$54/IF(' Plan Energi 2017'!$X$54&gt;0,' Plan Energi 2017'!$X$54,1)</f>
        <v>0</v>
      </c>
      <c r="Q545" s="650"/>
      <c r="R545" s="650">
        <f>' Plan Energi 2019'!Q$54/IF(' Plan Energi 2019'!$X$54&gt;0,' Plan Energi 2019'!$X$54,1)</f>
        <v>0</v>
      </c>
      <c r="S545" s="650"/>
      <c r="T545" s="726">
        <f>Fjernvarme!J175</f>
        <v>0</v>
      </c>
      <c r="U545" s="650"/>
      <c r="V545" s="726">
        <f>Fjernvarme!L175</f>
        <v>0</v>
      </c>
      <c r="W545" s="650"/>
      <c r="X545" s="604"/>
    </row>
    <row r="546" spans="1:24" x14ac:dyDescent="0.25">
      <c r="A546" s="604" t="s">
        <v>413</v>
      </c>
      <c r="B546" s="650">
        <f>' Plan Energi 2030-S'!L$54/IF(' Plan Energi 2030-S'!$X$54&gt;0,' Plan Energi 2030-S'!$X$54,1)</f>
        <v>0</v>
      </c>
      <c r="C546" s="650"/>
      <c r="D546" s="650">
        <f>' Plan Energi 2006'!L$54/IF(' Plan Energi 2006'!$X$54&gt;0,' Plan Energi 2006'!$X$54,1)</f>
        <v>0</v>
      </c>
      <c r="E546" s="650"/>
      <c r="F546" s="650">
        <f>' Plan Energi 2008'!L$54/IF(' Plan Energi 2008'!$X$54&gt;0,' Plan Energi 2008'!$X$54,1)</f>
        <v>0</v>
      </c>
      <c r="G546" s="650"/>
      <c r="H546" s="650">
        <f>' Plan Energi 2009'!L$54/IF(' Plan Energi 2009'!$X$54&gt;0,' Plan Energi 2009'!$X$54,1)</f>
        <v>0</v>
      </c>
      <c r="I546" s="650"/>
      <c r="J546" s="650">
        <f>' Plan Energi 2011'!L$54/IF(' Plan Energi 2011'!$X$54&gt;0,' Plan Energi 2011'!$X$54,1)</f>
        <v>0</v>
      </c>
      <c r="K546" s="650"/>
      <c r="L546" s="650">
        <f>' Plan Energi 2013'!L$54/IF(' Plan Energi 2013'!$X$54&gt;0,' Plan Energi 2013'!$X$54,1)</f>
        <v>0</v>
      </c>
      <c r="M546" s="650"/>
      <c r="N546" s="650">
        <f>' Plan Energi 2015'!L$54/IF(' Plan Energi 2015'!$X$54&gt;0,' Plan Energi 2015'!$X$54,1)</f>
        <v>0</v>
      </c>
      <c r="O546" s="650"/>
      <c r="P546" s="650">
        <f>' Plan Energi 2017'!L$54/IF(' Plan Energi 2017'!$X$54&gt;0,' Plan Energi 2017'!$X$54,1)</f>
        <v>0</v>
      </c>
      <c r="Q546" s="650"/>
      <c r="R546" s="650">
        <f>' Plan Energi 2019'!L$54/IF(' Plan Energi 2019'!$X$54&gt;0,' Plan Energi 2019'!$X$54,1)</f>
        <v>0</v>
      </c>
      <c r="S546" s="650"/>
      <c r="T546" s="726">
        <f>Fjernvarme!J176</f>
        <v>0</v>
      </c>
      <c r="U546" s="650"/>
      <c r="V546" s="726">
        <f>Fjernvarme!L176</f>
        <v>0.02</v>
      </c>
      <c r="W546" s="650"/>
      <c r="X546" s="604"/>
    </row>
    <row r="547" spans="1:24" x14ac:dyDescent="0.25">
      <c r="A547" s="604" t="s">
        <v>375</v>
      </c>
      <c r="B547" s="650">
        <f>' Plan Energi 2030-S'!R$54/IF(' Plan Energi 2030-S'!$X$54&gt;0,' Plan Energi 2030-S'!$X$54,1)</f>
        <v>0</v>
      </c>
      <c r="C547" s="650"/>
      <c r="D547" s="650">
        <f>' Plan Energi 2006'!R$54/IF(' Plan Energi 2006'!$X$54&gt;0,' Plan Energi 2006'!$X$54,1)</f>
        <v>0</v>
      </c>
      <c r="E547" s="650"/>
      <c r="F547" s="650">
        <f>' Plan Energi 2008'!R$54/IF(' Plan Energi 2008'!$X$54&gt;0,' Plan Energi 2008'!$X$54,1)</f>
        <v>0</v>
      </c>
      <c r="G547" s="650"/>
      <c r="H547" s="650">
        <f>' Plan Energi 2009'!R$54/IF(' Plan Energi 2009'!$X$54&gt;0,' Plan Energi 2009'!$X$54,1)</f>
        <v>0</v>
      </c>
      <c r="I547" s="650"/>
      <c r="J547" s="650">
        <f>' Plan Energi 2011'!R$54/IF(' Plan Energi 2011'!$X$54&gt;0,' Plan Energi 2011'!$X$54,1)</f>
        <v>0</v>
      </c>
      <c r="K547" s="650"/>
      <c r="L547" s="650">
        <f>' Plan Energi 2013'!R$54/IF(' Plan Energi 2013'!$X$54&gt;0,' Plan Energi 2013'!$X$54,1)</f>
        <v>0</v>
      </c>
      <c r="M547" s="650"/>
      <c r="N547" s="650">
        <f>' Plan Energi 2015'!R$54/IF(' Plan Energi 2015'!$X$54&gt;0,' Plan Energi 2015'!$X$54,1)</f>
        <v>0</v>
      </c>
      <c r="O547" s="650"/>
      <c r="P547" s="650">
        <f>' Plan Energi 2017'!R$54/IF(' Plan Energi 2017'!$X$54&gt;0,' Plan Energi 2017'!$X$54,1)</f>
        <v>0</v>
      </c>
      <c r="Q547" s="650"/>
      <c r="R547" s="650">
        <f>' Plan Energi 2019'!R$54/IF(' Plan Energi 2019'!$X$54&gt;0,' Plan Energi 2019'!$X$54,1)</f>
        <v>0</v>
      </c>
      <c r="S547" s="650"/>
      <c r="T547" s="726">
        <f>Fjernvarme!J177</f>
        <v>0</v>
      </c>
      <c r="U547" s="650"/>
      <c r="V547" s="726">
        <f>Fjernvarme!L177</f>
        <v>0</v>
      </c>
      <c r="W547" s="650"/>
      <c r="X547" s="604"/>
    </row>
    <row r="548" spans="1:24" x14ac:dyDescent="0.25">
      <c r="A548" s="604" t="s">
        <v>23</v>
      </c>
      <c r="B548" s="650">
        <f>' Plan Energi 2030-S'!S$54/IF(' Plan Energi 2030-S'!$X$54&gt;0,' Plan Energi 2030-S'!$X$54,1)</f>
        <v>0</v>
      </c>
      <c r="C548" s="650"/>
      <c r="D548" s="650">
        <f>' Plan Energi 2006'!S$54/IF(' Plan Energi 2006'!$X$54&gt;0,' Plan Energi 2006'!$X$54,1)</f>
        <v>0</v>
      </c>
      <c r="E548" s="650"/>
      <c r="F548" s="650">
        <f>' Plan Energi 2008'!S$54/IF(' Plan Energi 2008'!$X$54&gt;0,' Plan Energi 2008'!$X$54,1)</f>
        <v>0</v>
      </c>
      <c r="G548" s="650"/>
      <c r="H548" s="650">
        <f>' Plan Energi 2009'!S$54/IF(' Plan Energi 2009'!$X$54&gt;0,' Plan Energi 2009'!$X$54,1)</f>
        <v>0</v>
      </c>
      <c r="I548" s="650"/>
      <c r="J548" s="650">
        <f>' Plan Energi 2011'!S$54/IF(' Plan Energi 2011'!$X$54&gt;0,' Plan Energi 2011'!$X$54,1)</f>
        <v>0</v>
      </c>
      <c r="K548" s="650"/>
      <c r="L548" s="650">
        <f>' Plan Energi 2013'!S$54/IF(' Plan Energi 2013'!$X$54&gt;0,' Plan Energi 2013'!$X$54,1)</f>
        <v>0</v>
      </c>
      <c r="M548" s="650"/>
      <c r="N548" s="650">
        <f>' Plan Energi 2015'!S$54/IF(' Plan Energi 2015'!$X$54&gt;0,' Plan Energi 2015'!$X$54,1)</f>
        <v>0</v>
      </c>
      <c r="O548" s="650"/>
      <c r="P548" s="650">
        <f>' Plan Energi 2017'!S$54/IF(' Plan Energi 2017'!$X$54&gt;0,' Plan Energi 2017'!$X$54,1)</f>
        <v>0</v>
      </c>
      <c r="Q548" s="650"/>
      <c r="R548" s="650">
        <f>' Plan Energi 2019'!S$54/IF(' Plan Energi 2019'!$X$54&gt;0,' Plan Energi 2019'!$X$54,1)</f>
        <v>0</v>
      </c>
      <c r="S548" s="650"/>
      <c r="T548" s="726">
        <f>Fjernvarme!J178</f>
        <v>0</v>
      </c>
      <c r="U548" s="650"/>
      <c r="V548" s="726">
        <f>Fjernvarme!L178</f>
        <v>0</v>
      </c>
      <c r="W548" s="650"/>
      <c r="X548" s="604"/>
    </row>
    <row r="549" spans="1:24" x14ac:dyDescent="0.25">
      <c r="A549" s="604" t="s">
        <v>26</v>
      </c>
      <c r="B549" s="650">
        <f>' Plan Energi 2030-S'!V$54/IF(' Plan Energi 2030-S'!$X$54&gt;0,' Plan Energi 2030-S'!$X$54,1)</f>
        <v>0</v>
      </c>
      <c r="C549" s="650"/>
      <c r="D549" s="650">
        <f>' Plan Energi 2006'!V$54/IF(' Plan Energi 2006'!$X$54&gt;0,' Plan Energi 2006'!$X$54,1)</f>
        <v>0</v>
      </c>
      <c r="E549" s="650"/>
      <c r="F549" s="650">
        <f>' Plan Energi 2008'!V$54/IF(' Plan Energi 2008'!$X$54&gt;0,' Plan Energi 2008'!$X$54,1)</f>
        <v>0</v>
      </c>
      <c r="G549" s="650"/>
      <c r="H549" s="650">
        <f>' Plan Energi 2009'!V$54/IF(' Plan Energi 2009'!$X$54&gt;0,' Plan Energi 2009'!$X$54,1)</f>
        <v>0</v>
      </c>
      <c r="I549" s="650"/>
      <c r="J549" s="650">
        <f>' Plan Energi 2011'!V$54/IF(' Plan Energi 2011'!$X$54&gt;0,' Plan Energi 2011'!$X$54,1)</f>
        <v>0</v>
      </c>
      <c r="K549" s="650"/>
      <c r="L549" s="650">
        <f>' Plan Energi 2013'!V$54/IF(' Plan Energi 2013'!$X$54&gt;0,' Plan Energi 2013'!$X$54,1)</f>
        <v>0</v>
      </c>
      <c r="M549" s="650"/>
      <c r="N549" s="650">
        <f>' Plan Energi 2015'!V$54/IF(' Plan Energi 2015'!$X$54&gt;0,' Plan Energi 2015'!$X$54,1)</f>
        <v>0</v>
      </c>
      <c r="O549" s="650"/>
      <c r="P549" s="650">
        <f>' Plan Energi 2017'!V$54/IF(' Plan Energi 2017'!$X$54&gt;0,' Plan Energi 2017'!$X$54,1)</f>
        <v>0</v>
      </c>
      <c r="Q549" s="650"/>
      <c r="R549" s="650">
        <f>' Plan Energi 2019'!V$54/IF(' Plan Energi 2019'!$X$54&gt;0,' Plan Energi 2019'!$X$54,1)</f>
        <v>0</v>
      </c>
      <c r="S549" s="650"/>
      <c r="T549" s="726">
        <f>Fjernvarme!J179</f>
        <v>0</v>
      </c>
      <c r="U549" s="650"/>
      <c r="V549" s="726">
        <f>Fjernvarme!L179</f>
        <v>0</v>
      </c>
      <c r="W549" s="650"/>
      <c r="X549" s="604"/>
    </row>
    <row r="550" spans="1:24" x14ac:dyDescent="0.25">
      <c r="A550" s="629" t="s">
        <v>417</v>
      </c>
      <c r="B550" s="650"/>
      <c r="C550" s="650"/>
      <c r="D550" s="650"/>
      <c r="E550" s="650"/>
      <c r="F550" s="650"/>
      <c r="G550" s="650"/>
      <c r="H550" s="650"/>
      <c r="I550" s="650"/>
      <c r="J550" s="650"/>
      <c r="K550" s="650"/>
      <c r="L550" s="650"/>
      <c r="M550" s="650"/>
      <c r="N550" s="650"/>
      <c r="O550" s="650"/>
      <c r="P550" s="650"/>
      <c r="Q550" s="650"/>
      <c r="R550" s="650"/>
      <c r="S550" s="650"/>
      <c r="T550" s="650"/>
      <c r="U550" s="650"/>
      <c r="V550" s="650"/>
      <c r="W550" s="650"/>
      <c r="X550" s="604"/>
    </row>
    <row r="551" spans="1:24" x14ac:dyDescent="0.25">
      <c r="A551" s="604" t="s">
        <v>1</v>
      </c>
      <c r="B551" s="650">
        <f>' Plan Energi 2030-S'!C$56/IF(' Plan Energi 2030-S'!$X$56&gt;0,' Plan Energi 2030-S'!$X$56,1)</f>
        <v>0</v>
      </c>
      <c r="C551" s="650"/>
      <c r="D551" s="650">
        <f>' Plan Energi 2006'!C$56/IF(' Plan Energi 2006'!$X$56&gt;0,' Plan Energi 2006'!$X$56,1)</f>
        <v>0</v>
      </c>
      <c r="E551" s="650"/>
      <c r="F551" s="650">
        <f>' Plan Energi 2008'!C$56/IF(' Plan Energi 2008'!$X$56&gt;0,' Plan Energi 2008'!$X$56,1)</f>
        <v>0</v>
      </c>
      <c r="G551" s="650"/>
      <c r="H551" s="650">
        <f>' Plan Energi 2009'!C$56/IF(' Plan Energi 2009'!$X$56&gt;0,' Plan Energi 2009'!$X$56,1)</f>
        <v>0</v>
      </c>
      <c r="I551" s="650"/>
      <c r="J551" s="650">
        <f>' Plan Energi 2011'!C$56/IF(' Plan Energi 2011'!$X$56&gt;0,' Plan Energi 2011'!$X$56,1)</f>
        <v>0</v>
      </c>
      <c r="K551" s="650"/>
      <c r="L551" s="650">
        <f>' Plan Energi 2013'!C$56/IF(' Plan Energi 2013'!$X$56&gt;0,' Plan Energi 2013'!$X$56,1)</f>
        <v>0</v>
      </c>
      <c r="M551" s="650"/>
      <c r="N551" s="650">
        <f>' Plan Energi 2015'!C$56/IF(' Plan Energi 2015'!$X$56&gt;0,' Plan Energi 2015'!$X$56,1)</f>
        <v>0</v>
      </c>
      <c r="O551" s="650"/>
      <c r="P551" s="650">
        <f>' Plan Energi 2017'!C$56/IF(' Plan Energi 2017'!$X$56&gt;0,' Plan Energi 2017'!$X$56,1)</f>
        <v>0</v>
      </c>
      <c r="Q551" s="650"/>
      <c r="R551" s="650">
        <f>' Plan Energi 2019'!C$56/IF(' Plan Energi 2019'!$X$56&gt;0,' Plan Energi 2019'!$X$56,1)</f>
        <v>0</v>
      </c>
      <c r="S551" s="650"/>
      <c r="T551" s="726">
        <f>Fjernvarme!J181</f>
        <v>0</v>
      </c>
      <c r="U551" s="650"/>
      <c r="V551" s="726">
        <f>Fjernvarme!L181</f>
        <v>0</v>
      </c>
      <c r="W551" s="650"/>
      <c r="X551" s="604"/>
    </row>
    <row r="552" spans="1:24" x14ac:dyDescent="0.25">
      <c r="A552" s="604" t="s">
        <v>7</v>
      </c>
      <c r="B552" s="650">
        <f>' Plan Energi 2030-S'!D$56/IF(' Plan Energi 2030-S'!$X$56&gt;0,' Plan Energi 2030-S'!$X$56,1)</f>
        <v>0</v>
      </c>
      <c r="C552" s="650"/>
      <c r="D552" s="650">
        <f>' Plan Energi 2006'!D$56/IF(' Plan Energi 2006'!$X$56&gt;0,' Plan Energi 2006'!$X$56,1)</f>
        <v>0</v>
      </c>
      <c r="E552" s="650"/>
      <c r="F552" s="650">
        <f>' Plan Energi 2008'!D$56/IF(' Plan Energi 2008'!$X$56&gt;0,' Plan Energi 2008'!$X$56,1)</f>
        <v>0</v>
      </c>
      <c r="G552" s="650"/>
      <c r="H552" s="650">
        <f>' Plan Energi 2009'!D$56/IF(' Plan Energi 2009'!$X$56&gt;0,' Plan Energi 2009'!$X$56,1)</f>
        <v>0</v>
      </c>
      <c r="I552" s="650"/>
      <c r="J552" s="650">
        <f>' Plan Energi 2011'!D$56/IF(' Plan Energi 2011'!$X$56&gt;0,' Plan Energi 2011'!$X$56,1)</f>
        <v>0</v>
      </c>
      <c r="K552" s="650"/>
      <c r="L552" s="650">
        <f>' Plan Energi 2013'!D$56/IF(' Plan Energi 2013'!$X$56&gt;0,' Plan Energi 2013'!$X$56,1)</f>
        <v>0</v>
      </c>
      <c r="M552" s="650"/>
      <c r="N552" s="650">
        <f>' Plan Energi 2015'!D$56/IF(' Plan Energi 2015'!$X$56&gt;0,' Plan Energi 2015'!$X$56,1)</f>
        <v>0</v>
      </c>
      <c r="O552" s="650"/>
      <c r="P552" s="650">
        <f>' Plan Energi 2017'!D$56/IF(' Plan Energi 2017'!$X$56&gt;0,' Plan Energi 2017'!$X$56,1)</f>
        <v>0</v>
      </c>
      <c r="Q552" s="650"/>
      <c r="R552" s="650">
        <f>' Plan Energi 2019'!D$56/IF(' Plan Energi 2019'!$X$56&gt;0,' Plan Energi 2019'!$X$56,1)</f>
        <v>0</v>
      </c>
      <c r="S552" s="650"/>
      <c r="T552" s="726">
        <f>Fjernvarme!J182</f>
        <v>0</v>
      </c>
      <c r="U552" s="650"/>
      <c r="V552" s="726">
        <f>Fjernvarme!L182</f>
        <v>0</v>
      </c>
      <c r="W552" s="650"/>
      <c r="X552" s="604"/>
    </row>
    <row r="553" spans="1:24" x14ac:dyDescent="0.25">
      <c r="A553" s="604" t="s">
        <v>3</v>
      </c>
      <c r="B553" s="650">
        <f>' Plan Energi 2030-S'!I$56/IF(' Plan Energi 2030-S'!$X$56&gt;0,' Plan Energi 2030-S'!$X$56,1)</f>
        <v>0</v>
      </c>
      <c r="C553" s="650"/>
      <c r="D553" s="650">
        <f>' Plan Energi 2006'!I$56/IF(' Plan Energi 2006'!$X$56&gt;0,' Plan Energi 2006'!$X$56,1)</f>
        <v>0</v>
      </c>
      <c r="E553" s="650"/>
      <c r="F553" s="650">
        <f>' Plan Energi 2008'!I$56/IF(' Plan Energi 2008'!$X$56&gt;0,' Plan Energi 2008'!$X$56,1)</f>
        <v>0</v>
      </c>
      <c r="G553" s="650"/>
      <c r="H553" s="650">
        <f>' Plan Energi 2009'!I$56/IF(' Plan Energi 2009'!$X$56&gt;0,' Plan Energi 2009'!$X$56,1)</f>
        <v>0</v>
      </c>
      <c r="I553" s="650"/>
      <c r="J553" s="650">
        <f>' Plan Energi 2011'!I$56/IF(' Plan Energi 2011'!$X$56&gt;0,' Plan Energi 2011'!$X$56,1)</f>
        <v>0</v>
      </c>
      <c r="K553" s="650"/>
      <c r="L553" s="650">
        <f>' Plan Energi 2013'!I$56/IF(' Plan Energi 2013'!$X$56&gt;0,' Plan Energi 2013'!$X$56,1)</f>
        <v>0</v>
      </c>
      <c r="M553" s="650"/>
      <c r="N553" s="650">
        <f>' Plan Energi 2015'!I$56/IF(' Plan Energi 2015'!$X$56&gt;0,' Plan Energi 2015'!$X$56,1)</f>
        <v>0</v>
      </c>
      <c r="O553" s="650"/>
      <c r="P553" s="650">
        <f>' Plan Energi 2017'!I$56/IF(' Plan Energi 2017'!$X$56&gt;0,' Plan Energi 2017'!$X$56,1)</f>
        <v>0</v>
      </c>
      <c r="Q553" s="650"/>
      <c r="R553" s="650">
        <f>' Plan Energi 2019'!I$56/IF(' Plan Energi 2019'!$X$56&gt;0,' Plan Energi 2019'!$X$56,1)</f>
        <v>0</v>
      </c>
      <c r="S553" s="650"/>
      <c r="T553" s="726">
        <f>Fjernvarme!J183</f>
        <v>0</v>
      </c>
      <c r="U553" s="650"/>
      <c r="V553" s="726">
        <f>Fjernvarme!L183</f>
        <v>0</v>
      </c>
      <c r="W553" s="650"/>
      <c r="X553" s="604"/>
    </row>
    <row r="554" spans="1:24" x14ac:dyDescent="0.25">
      <c r="A554" s="604" t="s">
        <v>373</v>
      </c>
      <c r="B554" s="650">
        <f>' Plan Energi 2030-S'!O$56/IF(' Plan Energi 2030-S'!$X$56&gt;0,' Plan Energi 2030-S'!$X$56,1)</f>
        <v>0</v>
      </c>
      <c r="C554" s="650"/>
      <c r="D554" s="650">
        <f>' Plan Energi 2006'!O$56/IF(' Plan Energi 2006'!$X$56&gt;0,' Plan Energi 2006'!$X$56,1)</f>
        <v>0</v>
      </c>
      <c r="E554" s="650"/>
      <c r="F554" s="650">
        <f>' Plan Energi 2008'!O$56/IF(' Plan Energi 2008'!$X$56&gt;0,' Plan Energi 2008'!$X$56,1)</f>
        <v>0</v>
      </c>
      <c r="G554" s="650"/>
      <c r="H554" s="650">
        <f>' Plan Energi 2009'!O$56/IF(' Plan Energi 2009'!$X$56&gt;0,' Plan Energi 2009'!$X$56,1)</f>
        <v>0</v>
      </c>
      <c r="I554" s="650"/>
      <c r="J554" s="650">
        <f>' Plan Energi 2011'!O$56/IF(' Plan Energi 2011'!$X$56&gt;0,' Plan Energi 2011'!$X$56,1)</f>
        <v>0</v>
      </c>
      <c r="K554" s="650"/>
      <c r="L554" s="650">
        <f>' Plan Energi 2013'!O$56/IF(' Plan Energi 2013'!$X$56&gt;0,' Plan Energi 2013'!$X$56,1)</f>
        <v>0</v>
      </c>
      <c r="M554" s="650"/>
      <c r="N554" s="650">
        <f>' Plan Energi 2015'!O$56/IF(' Plan Energi 2015'!$X$56&gt;0,' Plan Energi 2015'!$X$56,1)</f>
        <v>0</v>
      </c>
      <c r="O554" s="650"/>
      <c r="P554" s="650">
        <f>' Plan Energi 2017'!O$56/IF(' Plan Energi 2017'!$X$56&gt;0,' Plan Energi 2017'!$X$56,1)</f>
        <v>0</v>
      </c>
      <c r="Q554" s="650"/>
      <c r="R554" s="650">
        <f>' Plan Energi 2019'!O$56/IF(' Plan Energi 2019'!$X$56&gt;0,' Plan Energi 2019'!$X$56,1)</f>
        <v>0</v>
      </c>
      <c r="S554" s="650"/>
      <c r="T554" s="726">
        <f>Fjernvarme!J184</f>
        <v>0</v>
      </c>
      <c r="U554" s="650"/>
      <c r="V554" s="726">
        <f>Fjernvarme!L184</f>
        <v>0</v>
      </c>
      <c r="W554" s="650"/>
      <c r="X554" s="604"/>
    </row>
    <row r="555" spans="1:24" x14ac:dyDescent="0.25">
      <c r="A555" s="604" t="s">
        <v>374</v>
      </c>
      <c r="B555" s="650">
        <f>' Plan Energi 2030-S'!CP$56/IF(' Plan Energi 2030-S'!$X$56&gt;0,' Plan Energi 2030-S'!$X$56,1)</f>
        <v>0</v>
      </c>
      <c r="C555" s="650"/>
      <c r="D555" s="650">
        <f>' Plan Energi 2006'!CP$56/IF(' Plan Energi 2006'!$X$56&gt;0,' Plan Energi 2006'!$X$56,1)</f>
        <v>0</v>
      </c>
      <c r="E555" s="650"/>
      <c r="F555" s="650">
        <f>' Plan Energi 2008'!CP$56/IF(' Plan Energi 2008'!$X$56&gt;0,' Plan Energi 2008'!$X$56,1)</f>
        <v>0</v>
      </c>
      <c r="G555" s="650"/>
      <c r="H555" s="650">
        <f>' Plan Energi 2009'!CP$56/IF(' Plan Energi 2009'!$X$56&gt;0,' Plan Energi 2009'!$X$56,1)</f>
        <v>0</v>
      </c>
      <c r="I555" s="650"/>
      <c r="J555" s="650">
        <f>' Plan Energi 2011'!CP$56/IF(' Plan Energi 2011'!$X$56&gt;0,' Plan Energi 2011'!$X$56,1)</f>
        <v>0</v>
      </c>
      <c r="K555" s="650"/>
      <c r="L555" s="650">
        <f>' Plan Energi 2013'!CP$56/IF(' Plan Energi 2013'!$X$56&gt;0,' Plan Energi 2013'!$X$56,1)</f>
        <v>0</v>
      </c>
      <c r="M555" s="650"/>
      <c r="N555" s="650">
        <f>' Plan Energi 2015'!CP$56/IF(' Plan Energi 2015'!$X$56&gt;0,' Plan Energi 2015'!$X$56,1)</f>
        <v>0</v>
      </c>
      <c r="O555" s="650"/>
      <c r="P555" s="650">
        <f>' Plan Energi 2017'!CP$56/IF(' Plan Energi 2017'!$X$56&gt;0,' Plan Energi 2017'!$X$56,1)</f>
        <v>0</v>
      </c>
      <c r="Q555" s="650"/>
      <c r="R555" s="650">
        <f>' Plan Energi 2019'!CP$56/IF(' Plan Energi 2019'!$X$56&gt;0,' Plan Energi 2019'!$X$56,1)</f>
        <v>0</v>
      </c>
      <c r="S555" s="650"/>
      <c r="T555" s="726">
        <f>Fjernvarme!J185</f>
        <v>0</v>
      </c>
      <c r="U555" s="650"/>
      <c r="V555" s="726">
        <f>Fjernvarme!L185</f>
        <v>0</v>
      </c>
      <c r="W555" s="650"/>
      <c r="X555" s="604"/>
    </row>
    <row r="556" spans="1:24" x14ac:dyDescent="0.25">
      <c r="A556" s="604" t="s">
        <v>21</v>
      </c>
      <c r="B556" s="650">
        <f>' Plan Energi 2030-S'!Q$56/IF(' Plan Energi 2030-S'!$X$56&gt;0,' Plan Energi 2030-S'!$X$56,1)</f>
        <v>0</v>
      </c>
      <c r="C556" s="650"/>
      <c r="D556" s="650">
        <f>' Plan Energi 2006'!Q$56/IF(' Plan Energi 2006'!$X$56&gt;0,' Plan Energi 2006'!$X$56,1)</f>
        <v>0</v>
      </c>
      <c r="E556" s="650"/>
      <c r="F556" s="650">
        <f>' Plan Energi 2008'!Q$56/IF(' Plan Energi 2008'!$X$56&gt;0,' Plan Energi 2008'!$X$56,1)</f>
        <v>0</v>
      </c>
      <c r="G556" s="650"/>
      <c r="H556" s="650">
        <f>' Plan Energi 2009'!Q$56/IF(' Plan Energi 2009'!$X$56&gt;0,' Plan Energi 2009'!$X$56,1)</f>
        <v>0</v>
      </c>
      <c r="I556" s="650"/>
      <c r="J556" s="650">
        <f>' Plan Energi 2011'!Q$56/IF(' Plan Energi 2011'!$X$56&gt;0,' Plan Energi 2011'!$X$56,1)</f>
        <v>0</v>
      </c>
      <c r="K556" s="650"/>
      <c r="L556" s="650">
        <f>' Plan Energi 2013'!Q$56/IF(' Plan Energi 2013'!$X$56&gt;0,' Plan Energi 2013'!$X$56,1)</f>
        <v>0</v>
      </c>
      <c r="M556" s="650"/>
      <c r="N556" s="650">
        <f>' Plan Energi 2015'!Q$56/IF(' Plan Energi 2015'!$X$56&gt;0,' Plan Energi 2015'!$X$56,1)</f>
        <v>0</v>
      </c>
      <c r="O556" s="650"/>
      <c r="P556" s="650">
        <f>' Plan Energi 2017'!Q$56/IF(' Plan Energi 2017'!$X$56&gt;0,' Plan Energi 2017'!$X$56,1)</f>
        <v>0</v>
      </c>
      <c r="Q556" s="650"/>
      <c r="R556" s="650">
        <f>' Plan Energi 2019'!Q$56/IF(' Plan Energi 2019'!$X$56&gt;0,' Plan Energi 2019'!$X$56,1)</f>
        <v>0</v>
      </c>
      <c r="S556" s="650"/>
      <c r="T556" s="726">
        <f>Fjernvarme!J186</f>
        <v>0</v>
      </c>
      <c r="U556" s="650"/>
      <c r="V556" s="726">
        <f>Fjernvarme!L186</f>
        <v>0</v>
      </c>
      <c r="W556" s="650"/>
      <c r="X556" s="604"/>
    </row>
    <row r="557" spans="1:24" x14ac:dyDescent="0.25">
      <c r="A557" s="604" t="s">
        <v>8</v>
      </c>
      <c r="B557" s="650">
        <f>' Plan Energi 2030-S'!E56/IF(' Plan Energi 2030-S'!X56&gt;0,' Plan Energi 2017'!X56,1)</f>
        <v>0</v>
      </c>
      <c r="C557" s="650"/>
      <c r="D557" s="650">
        <f>' Plan Energi 2006'!E56/IF(' Plan Energi 2006'!X56&gt;0,' Plan Energi 2006'!X56,1)</f>
        <v>0</v>
      </c>
      <c r="E557" s="650"/>
      <c r="F557" s="650">
        <f>' Plan Energi 2008'!E56/IF(' Plan Energi 2008'!X56&gt;0,' Plan Energi 2008'!X56,1)</f>
        <v>0</v>
      </c>
      <c r="G557" s="650"/>
      <c r="H557" s="650">
        <f>' Plan Energi 2009'!E56/IF(' Plan Energi 2009'!X56&gt;0,' Plan Energi 2009'!X56,1)</f>
        <v>0</v>
      </c>
      <c r="I557" s="650"/>
      <c r="J557" s="650">
        <f>' Plan Energi 2011'!E56/IF(' Plan Energi 2011'!X56&gt;0,' Plan Energi 2011'!X56,1)</f>
        <v>0</v>
      </c>
      <c r="K557" s="650"/>
      <c r="L557" s="650">
        <f>' Plan Energi 2013'!E56/IF(' Plan Energi 2013'!X56&gt;0,' Plan Energi 2013'!X56,1)</f>
        <v>0</v>
      </c>
      <c r="M557" s="650"/>
      <c r="N557" s="650">
        <f>' Plan Energi 2015'!E56/IF(' Plan Energi 2015'!X56&gt;0,' Plan Energi 2015'!X56,1)</f>
        <v>0</v>
      </c>
      <c r="O557" s="650"/>
      <c r="P557" s="650">
        <f>' Plan Energi 2017'!E56/IF(' Plan Energi 2017'!X56&gt;0,' Plan Energi 2017'!X56,1)</f>
        <v>0</v>
      </c>
      <c r="Q557" s="650"/>
      <c r="R557" s="650">
        <f>' Plan Energi 2019'!E56/IF(' Plan Energi 2019'!X56&gt;0,' Plan Energi 2019'!X56,1)</f>
        <v>0</v>
      </c>
      <c r="S557" s="650"/>
      <c r="T557" s="726">
        <f>Fjernvarme!J187</f>
        <v>0</v>
      </c>
      <c r="U557" s="650"/>
      <c r="V557" s="726">
        <f>Fjernvarme!L187</f>
        <v>0</v>
      </c>
      <c r="W557" s="650"/>
      <c r="X557" s="604"/>
    </row>
    <row r="558" spans="1:24" x14ac:dyDescent="0.25">
      <c r="A558" s="604" t="s">
        <v>375</v>
      </c>
      <c r="B558" s="650">
        <f>' Plan Energi 2030-S'!R$56/IF(' Plan Energi 2030-S'!$X$56&gt;0,' Plan Energi 2030-S'!$X$56,1)</f>
        <v>0</v>
      </c>
      <c r="C558" s="650"/>
      <c r="D558" s="650">
        <f>' Plan Energi 2006'!R$56/IF(' Plan Energi 2006'!$X$56&gt;0,' Plan Energi 2006'!$X$56,1)</f>
        <v>0</v>
      </c>
      <c r="E558" s="650"/>
      <c r="F558" s="650">
        <f>' Plan Energi 2008'!R$56/IF(' Plan Energi 2008'!$X$56&gt;0,' Plan Energi 2008'!$X$56,1)</f>
        <v>0</v>
      </c>
      <c r="G558" s="650"/>
      <c r="H558" s="650">
        <f>' Plan Energi 2009'!R$56/IF(' Plan Energi 2009'!$X$56&gt;0,' Plan Energi 2009'!$X$56,1)</f>
        <v>0</v>
      </c>
      <c r="I558" s="650"/>
      <c r="J558" s="650">
        <f>' Plan Energi 2011'!R$56/IF(' Plan Energi 2011'!$X$56&gt;0,' Plan Energi 2011'!$X$56,1)</f>
        <v>0</v>
      </c>
      <c r="K558" s="650"/>
      <c r="L558" s="650">
        <f>' Plan Energi 2013'!R$56/IF(' Plan Energi 2013'!$X$56&gt;0,' Plan Energi 2013'!$X$56,1)</f>
        <v>0</v>
      </c>
      <c r="M558" s="650"/>
      <c r="N558" s="650">
        <f>' Plan Energi 2015'!R$56/IF(' Plan Energi 2015'!$X$56&gt;0,' Plan Energi 2015'!$X$56,1)</f>
        <v>0</v>
      </c>
      <c r="O558" s="650"/>
      <c r="P558" s="650">
        <f>' Plan Energi 2017'!R$56/IF(' Plan Energi 2017'!$X$56&gt;0,' Plan Energi 2017'!$X$56,1)</f>
        <v>0</v>
      </c>
      <c r="Q558" s="650"/>
      <c r="R558" s="650">
        <f>' Plan Energi 2019'!R$56/IF(' Plan Energi 2019'!$X$56&gt;0,' Plan Energi 2019'!$X$56,1)</f>
        <v>0</v>
      </c>
      <c r="S558" s="650"/>
      <c r="T558" s="726">
        <f>Fjernvarme!J188</f>
        <v>0</v>
      </c>
      <c r="U558" s="650"/>
      <c r="V558" s="726">
        <f>Fjernvarme!L188</f>
        <v>0</v>
      </c>
      <c r="W558" s="650"/>
      <c r="X558" s="604"/>
    </row>
    <row r="559" spans="1:24" x14ac:dyDescent="0.25">
      <c r="A559" s="604" t="s">
        <v>23</v>
      </c>
      <c r="B559" s="650">
        <f>' Plan Energi 2030-S'!S$56/IF(' Plan Energi 2030-S'!$X$56&gt;0,' Plan Energi 2030-S'!$X$56,1)</f>
        <v>0</v>
      </c>
      <c r="C559" s="650"/>
      <c r="D559" s="650">
        <f>' Plan Energi 2006'!S$56/IF(' Plan Energi 2006'!$X$56&gt;0,' Plan Energi 2006'!$X$56,1)</f>
        <v>0</v>
      </c>
      <c r="E559" s="650"/>
      <c r="F559" s="650">
        <f>' Plan Energi 2008'!S$56/IF(' Plan Energi 2008'!$X$56&gt;0,' Plan Energi 2008'!$X$56,1)</f>
        <v>0</v>
      </c>
      <c r="G559" s="650"/>
      <c r="H559" s="650">
        <f>' Plan Energi 2009'!S$56/IF(' Plan Energi 2009'!$X$56&gt;0,' Plan Energi 2009'!$X$56,1)</f>
        <v>0</v>
      </c>
      <c r="I559" s="650"/>
      <c r="J559" s="650">
        <f>' Plan Energi 2011'!S$56/IF(' Plan Energi 2011'!$X$56&gt;0,' Plan Energi 2011'!$X$56,1)</f>
        <v>0</v>
      </c>
      <c r="K559" s="650"/>
      <c r="L559" s="650">
        <f>' Plan Energi 2013'!S$56/IF(' Plan Energi 2013'!$X$56&gt;0,' Plan Energi 2013'!$X$56,1)</f>
        <v>0</v>
      </c>
      <c r="M559" s="650"/>
      <c r="N559" s="650">
        <f>' Plan Energi 2015'!S$56/IF(' Plan Energi 2015'!$X$56&gt;0,' Plan Energi 2015'!$X$56,1)</f>
        <v>0</v>
      </c>
      <c r="O559" s="650"/>
      <c r="P559" s="650">
        <f>' Plan Energi 2017'!S$56/IF(' Plan Energi 2017'!$X$56&gt;0,' Plan Energi 2017'!$X$56,1)</f>
        <v>0</v>
      </c>
      <c r="Q559" s="650"/>
      <c r="R559" s="650">
        <f>' Plan Energi 2019'!S$56/IF(' Plan Energi 2019'!$X$56&gt;0,' Plan Energi 2019'!$X$56,1)</f>
        <v>0</v>
      </c>
      <c r="S559" s="650"/>
      <c r="T559" s="726">
        <f>Fjernvarme!J189</f>
        <v>0</v>
      </c>
      <c r="U559" s="650"/>
      <c r="V559" s="726">
        <f>Fjernvarme!L189</f>
        <v>0.85</v>
      </c>
      <c r="W559" s="650"/>
      <c r="X559" s="604"/>
    </row>
    <row r="560" spans="1:24" x14ac:dyDescent="0.25">
      <c r="A560" s="604" t="s">
        <v>26</v>
      </c>
      <c r="B560" s="650">
        <f>' Plan Energi 2030-S'!V$56/IF(' Plan Energi 2030-S'!$X$56&gt;0,' Plan Energi 2030-S'!$X$56,1)</f>
        <v>0</v>
      </c>
      <c r="C560" s="650"/>
      <c r="D560" s="650">
        <f>' Plan Energi 2006'!V$56/IF(' Plan Energi 2006'!$X$56&gt;0,' Plan Energi 2006'!$X$56,1)</f>
        <v>0</v>
      </c>
      <c r="E560" s="650"/>
      <c r="F560" s="650">
        <f>' Plan Energi 2008'!V$56/IF(' Plan Energi 2008'!$X$56&gt;0,' Plan Energi 2008'!$X$56,1)</f>
        <v>0</v>
      </c>
      <c r="G560" s="650"/>
      <c r="H560" s="650">
        <f>' Plan Energi 2009'!V$56/IF(' Plan Energi 2009'!$X$56&gt;0,' Plan Energi 2009'!$X$56,1)</f>
        <v>0</v>
      </c>
      <c r="I560" s="650"/>
      <c r="J560" s="650">
        <f>' Plan Energi 2011'!V$56/IF(' Plan Energi 2011'!$X$56&gt;0,' Plan Energi 2011'!$X$56,1)</f>
        <v>0</v>
      </c>
      <c r="K560" s="650"/>
      <c r="L560" s="650">
        <f>' Plan Energi 2013'!V$56/IF(' Plan Energi 2013'!$X$56&gt;0,' Plan Energi 2013'!$X$56,1)</f>
        <v>0</v>
      </c>
      <c r="M560" s="650"/>
      <c r="N560" s="650">
        <f>' Plan Energi 2015'!V$56/IF(' Plan Energi 2015'!$X$56&gt;0,' Plan Energi 2015'!$X$56,1)</f>
        <v>0</v>
      </c>
      <c r="O560" s="650"/>
      <c r="P560" s="650">
        <f>' Plan Energi 2017'!V$56/IF(' Plan Energi 2017'!$X$56&gt;0,' Plan Energi 2017'!$X$56,1)</f>
        <v>0</v>
      </c>
      <c r="Q560" s="650"/>
      <c r="R560" s="650">
        <f>' Plan Energi 2019'!V$56/IF(' Plan Energi 2019'!$X$56&gt;0,' Plan Energi 2019'!$X$56,1)</f>
        <v>0</v>
      </c>
      <c r="S560" s="650"/>
      <c r="T560" s="726">
        <f>Fjernvarme!J190</f>
        <v>0</v>
      </c>
      <c r="U560" s="650"/>
      <c r="V560" s="726">
        <f>Fjernvarme!L190</f>
        <v>0</v>
      </c>
      <c r="W560" s="650"/>
      <c r="X560" s="604"/>
    </row>
    <row r="561" spans="1:24" x14ac:dyDescent="0.25">
      <c r="A561" s="629" t="s">
        <v>418</v>
      </c>
      <c r="B561" s="650"/>
      <c r="C561" s="650"/>
      <c r="D561" s="650"/>
      <c r="E561" s="650"/>
      <c r="F561" s="650"/>
      <c r="G561" s="650"/>
      <c r="H561" s="650"/>
      <c r="I561" s="650"/>
      <c r="J561" s="650"/>
      <c r="K561" s="650"/>
      <c r="L561" s="650"/>
      <c r="M561" s="650"/>
      <c r="N561" s="650"/>
      <c r="O561" s="650"/>
      <c r="P561" s="650"/>
      <c r="Q561" s="650"/>
      <c r="R561" s="650"/>
      <c r="S561" s="650"/>
      <c r="T561" s="650"/>
      <c r="U561" s="650"/>
      <c r="V561" s="650"/>
      <c r="W561" s="650"/>
      <c r="X561" s="604"/>
    </row>
    <row r="562" spans="1:24" x14ac:dyDescent="0.25">
      <c r="A562" s="629" t="s">
        <v>419</v>
      </c>
      <c r="B562" s="650"/>
      <c r="C562" s="650"/>
      <c r="D562" s="650"/>
      <c r="E562" s="650"/>
      <c r="F562" s="650"/>
      <c r="G562" s="650"/>
      <c r="H562" s="650"/>
      <c r="I562" s="650"/>
      <c r="J562" s="650"/>
      <c r="K562" s="650"/>
      <c r="L562" s="650"/>
      <c r="M562" s="650"/>
      <c r="N562" s="650"/>
      <c r="O562" s="650"/>
      <c r="P562" s="650"/>
      <c r="Q562" s="650"/>
      <c r="R562" s="650"/>
      <c r="S562" s="650"/>
      <c r="T562" s="650"/>
      <c r="U562" s="650"/>
      <c r="V562" s="650"/>
      <c r="W562" s="650"/>
      <c r="X562" s="604"/>
    </row>
    <row r="563" spans="1:24" x14ac:dyDescent="0.25">
      <c r="A563" s="629" t="s">
        <v>420</v>
      </c>
      <c r="B563" s="650"/>
      <c r="C563" s="650"/>
      <c r="D563" s="650"/>
      <c r="E563" s="650"/>
      <c r="F563" s="650"/>
      <c r="G563" s="650"/>
      <c r="H563" s="650"/>
      <c r="I563" s="650"/>
      <c r="J563" s="650"/>
      <c r="K563" s="650"/>
      <c r="L563" s="650"/>
      <c r="M563" s="650"/>
      <c r="N563" s="650"/>
      <c r="O563" s="650"/>
      <c r="P563" s="650"/>
      <c r="Q563" s="650"/>
      <c r="R563" s="650"/>
      <c r="S563" s="650"/>
      <c r="T563" s="650"/>
      <c r="U563" s="650"/>
      <c r="V563" s="650"/>
      <c r="W563" s="650"/>
      <c r="X563" s="604"/>
    </row>
    <row r="564" spans="1:24" x14ac:dyDescent="0.25">
      <c r="A564" s="629" t="s">
        <v>422</v>
      </c>
      <c r="B564" s="650"/>
      <c r="C564" s="650"/>
      <c r="D564" s="650"/>
      <c r="E564" s="650"/>
      <c r="F564" s="650"/>
      <c r="G564" s="650"/>
      <c r="H564" s="650"/>
      <c r="I564" s="650"/>
      <c r="J564" s="650"/>
      <c r="K564" s="650"/>
      <c r="L564" s="650"/>
      <c r="M564" s="650"/>
      <c r="N564" s="650"/>
      <c r="O564" s="650"/>
      <c r="P564" s="650"/>
      <c r="Q564" s="650"/>
      <c r="R564" s="650"/>
      <c r="S564" s="650"/>
      <c r="T564" s="650"/>
      <c r="U564" s="650"/>
      <c r="V564" s="650"/>
      <c r="W564" s="650"/>
      <c r="X564" s="604"/>
    </row>
    <row r="565" spans="1:24" x14ac:dyDescent="0.25">
      <c r="A565" s="629" t="s">
        <v>423</v>
      </c>
      <c r="B565" s="650"/>
      <c r="C565" s="650"/>
      <c r="D565" s="650"/>
      <c r="E565" s="650"/>
      <c r="F565" s="650"/>
      <c r="G565" s="650"/>
      <c r="H565" s="650"/>
      <c r="I565" s="650"/>
      <c r="J565" s="650"/>
      <c r="K565" s="650"/>
      <c r="L565" s="650"/>
      <c r="M565" s="650"/>
      <c r="N565" s="650"/>
      <c r="O565" s="650"/>
      <c r="P565" s="650"/>
      <c r="Q565" s="650"/>
      <c r="R565" s="650"/>
      <c r="S565" s="650"/>
      <c r="T565" s="650"/>
      <c r="U565" s="650"/>
      <c r="V565" s="650"/>
      <c r="W565" s="650"/>
      <c r="X565" s="604"/>
    </row>
    <row r="566" spans="1:24" x14ac:dyDescent="0.25">
      <c r="A566" s="604" t="s">
        <v>424</v>
      </c>
      <c r="B566" s="650">
        <f>' Plan Energi 2030-S'!B$61/IF(' Plan Energi 2030-S'!$X$61&gt;0,' Plan Energi 2030-S'!$X$61,1)</f>
        <v>0</v>
      </c>
      <c r="C566" s="650"/>
      <c r="D566" s="650">
        <f>' Plan Energi 2006'!B$61/IF(' Plan Energi 2006'!$X$61&gt;0,' Plan Energi 2006'!$X$61,1)</f>
        <v>0</v>
      </c>
      <c r="E566" s="650"/>
      <c r="F566" s="650">
        <f>' Plan Energi 2008'!B$61/IF(' Plan Energi 2008'!$X$61&gt;0,' Plan Energi 2008'!$X$61,1)</f>
        <v>2.6839778409085345E-6</v>
      </c>
      <c r="G566" s="650"/>
      <c r="H566" s="650">
        <f>' Plan Energi 2009'!B$61/IF(' Plan Energi 2009'!$X$61&gt;0,' Plan Energi 2009'!$X$61,1)</f>
        <v>0</v>
      </c>
      <c r="I566" s="650"/>
      <c r="J566" s="650">
        <f>' Plan Energi 2011'!B$61/IF(' Plan Energi 2011'!$X$61&gt;0,' Plan Energi 2011'!$X$61,1)</f>
        <v>0</v>
      </c>
      <c r="K566" s="650"/>
      <c r="L566" s="650">
        <f>' Plan Energi 2013'!B$61/IF(' Plan Energi 2013'!$X$61&gt;0,' Plan Energi 2013'!$X$61,1)</f>
        <v>0</v>
      </c>
      <c r="M566" s="650"/>
      <c r="N566" s="650">
        <f>' Plan Energi 2015'!B$61/IF(' Plan Energi 2015'!$X$61&gt;0,' Plan Energi 2015'!$X$61,1)</f>
        <v>0</v>
      </c>
      <c r="O566" s="650"/>
      <c r="P566" s="650">
        <f>' Plan Energi 2017'!B$61/IF(' Plan Energi 2017'!$X$61&gt;0,' Plan Energi 2017'!$X$61,1)</f>
        <v>0</v>
      </c>
      <c r="Q566" s="650"/>
      <c r="R566" s="650">
        <f>' Plan Energi 2019'!B$61/IF(' Plan Energi 2019'!$X$61&gt;0,' Plan Energi 2019'!$X$61,1)</f>
        <v>0</v>
      </c>
      <c r="S566" s="650"/>
      <c r="T566" s="726">
        <f>Fjernvarme!J196</f>
        <v>0</v>
      </c>
      <c r="U566" s="650"/>
      <c r="V566" s="726">
        <f>Fjernvarme!L196</f>
        <v>0</v>
      </c>
      <c r="W566" s="650"/>
      <c r="X566" s="604"/>
    </row>
    <row r="567" spans="1:24" x14ac:dyDescent="0.25">
      <c r="A567" s="604" t="s">
        <v>1</v>
      </c>
      <c r="B567" s="650">
        <f>' Plan Energi 2030-S'!C$61/IF(' Plan Energi 2030-S'!$X$61&gt;0,' Plan Energi 2030-S'!$X$61,1)</f>
        <v>0</v>
      </c>
      <c r="C567" s="650"/>
      <c r="D567" s="650">
        <f>' Plan Energi 2006'!C$61/IF(' Plan Energi 2006'!$X$61&gt;0,' Plan Energi 2006'!$X$61,1)</f>
        <v>0</v>
      </c>
      <c r="E567" s="650"/>
      <c r="F567" s="650">
        <f>' Plan Energi 2008'!C$61/IF(' Plan Energi 2008'!$X$61&gt;0,' Plan Energi 2008'!$X$61,1)</f>
        <v>0</v>
      </c>
      <c r="G567" s="650"/>
      <c r="H567" s="650">
        <f>' Plan Energi 2009'!C$61/IF(' Plan Energi 2009'!$X$61&gt;0,' Plan Energi 2009'!$X$61,1)</f>
        <v>0</v>
      </c>
      <c r="I567" s="650"/>
      <c r="J567" s="650">
        <f>' Plan Energi 2011'!C$61/IF(' Plan Energi 2011'!$X$61&gt;0,' Plan Energi 2011'!$X$61,1)</f>
        <v>0</v>
      </c>
      <c r="K567" s="650"/>
      <c r="L567" s="650">
        <f>' Plan Energi 2013'!C$61/IF(' Plan Energi 2013'!$X$61&gt;0,' Plan Energi 2013'!$X$61,1)</f>
        <v>0</v>
      </c>
      <c r="M567" s="650"/>
      <c r="N567" s="650">
        <f>' Plan Energi 2015'!C$61/IF(' Plan Energi 2015'!$X$61&gt;0,' Plan Energi 2015'!$X$61,1)</f>
        <v>0</v>
      </c>
      <c r="O567" s="650"/>
      <c r="P567" s="650">
        <f>' Plan Energi 2017'!C$61/IF(' Plan Energi 2017'!$X$61&gt;0,' Plan Energi 2017'!$X$61,1)</f>
        <v>0</v>
      </c>
      <c r="Q567" s="650"/>
      <c r="R567" s="650">
        <f>' Plan Energi 2019'!C$61/IF(' Plan Energi 2019'!$X$61&gt;0,' Plan Energi 2019'!$X$61,1)</f>
        <v>0</v>
      </c>
      <c r="S567" s="650"/>
      <c r="T567" s="726">
        <f>Fjernvarme!J197</f>
        <v>0</v>
      </c>
      <c r="U567" s="650"/>
      <c r="V567" s="726">
        <f>Fjernvarme!L197</f>
        <v>0</v>
      </c>
      <c r="W567" s="650"/>
      <c r="X567" s="604"/>
    </row>
    <row r="568" spans="1:24" x14ac:dyDescent="0.25">
      <c r="A568" s="604" t="s">
        <v>7</v>
      </c>
      <c r="B568" s="650">
        <f>' Plan Energi 2030-S'!D$61/IF(' Plan Energi 2030-S'!$X$61&gt;0,' Plan Energi 2030-S'!$X$61,1)</f>
        <v>0</v>
      </c>
      <c r="C568" s="650"/>
      <c r="D568" s="650">
        <f>' Plan Energi 2006'!D$61/IF(' Plan Energi 2006'!$X$61&gt;0,' Plan Energi 2006'!$X$61,1)</f>
        <v>0</v>
      </c>
      <c r="E568" s="650"/>
      <c r="F568" s="650">
        <f>' Plan Energi 2008'!D$61/IF(' Plan Energi 2008'!$X$61&gt;0,' Plan Energi 2008'!$X$61,1)</f>
        <v>0</v>
      </c>
      <c r="G568" s="650"/>
      <c r="H568" s="650">
        <f>' Plan Energi 2009'!D$61/IF(' Plan Energi 2009'!$X$61&gt;0,' Plan Energi 2009'!$X$61,1)</f>
        <v>0</v>
      </c>
      <c r="I568" s="650"/>
      <c r="J568" s="650">
        <f>' Plan Energi 2011'!D$61/IF(' Plan Energi 2011'!$X$61&gt;0,' Plan Energi 2011'!$X$61,1)</f>
        <v>0</v>
      </c>
      <c r="K568" s="650"/>
      <c r="L568" s="650">
        <f>' Plan Energi 2013'!D$61/IF(' Plan Energi 2013'!$X$61&gt;0,' Plan Energi 2013'!$X$61,1)</f>
        <v>0</v>
      </c>
      <c r="M568" s="650"/>
      <c r="N568" s="650">
        <f>' Plan Energi 2015'!D$61/IF(' Plan Energi 2015'!$X$61&gt;0,' Plan Energi 2015'!$X$61,1)</f>
        <v>0</v>
      </c>
      <c r="O568" s="650"/>
      <c r="P568" s="650">
        <f>' Plan Energi 2017'!D$61/IF(' Plan Energi 2017'!$X$61&gt;0,' Plan Energi 2017'!$X$61,1)</f>
        <v>0</v>
      </c>
      <c r="Q568" s="650"/>
      <c r="R568" s="650">
        <f>' Plan Energi 2019'!D$61/IF(' Plan Energi 2019'!$X$61&gt;0,' Plan Energi 2019'!$X$61,1)</f>
        <v>0</v>
      </c>
      <c r="S568" s="650"/>
      <c r="T568" s="726">
        <f>Fjernvarme!J198</f>
        <v>0</v>
      </c>
      <c r="U568" s="650"/>
      <c r="V568" s="726">
        <f>Fjernvarme!L198</f>
        <v>0</v>
      </c>
      <c r="W568" s="650"/>
      <c r="X568" s="604"/>
    </row>
    <row r="569" spans="1:24" x14ac:dyDescent="0.25">
      <c r="A569" s="604" t="s">
        <v>8</v>
      </c>
      <c r="B569" s="650">
        <f>' Plan Energi 2030-S'!E$61/IF(' Plan Energi 2030-S'!$X$61&gt;0,' Plan Energi 2030-S'!$X$61,1)</f>
        <v>5.5201177625122664E-4</v>
      </c>
      <c r="C569" s="650"/>
      <c r="D569" s="650">
        <f>' Plan Energi 2006'!E$61/IF(' Plan Energi 2006'!$X$61&gt;0,' Plan Energi 2006'!$X$61,1)</f>
        <v>1.9917577725882988E-2</v>
      </c>
      <c r="E569" s="650"/>
      <c r="F569" s="650">
        <f>' Plan Energi 2008'!E$61/IF(' Plan Energi 2008'!$X$61&gt;0,' Plan Energi 2008'!$X$61,1)</f>
        <v>2.7143962564388308E-2</v>
      </c>
      <c r="G569" s="650"/>
      <c r="H569" s="650">
        <f>' Plan Energi 2009'!E$61/IF(' Plan Energi 2009'!$X$61&gt;0,' Plan Energi 2009'!$X$61,1)</f>
        <v>9.1376333712051477E-2</v>
      </c>
      <c r="I569" s="650"/>
      <c r="J569" s="650">
        <f>' Plan Energi 2011'!E$61/IF(' Plan Energi 2011'!$X$61&gt;0,' Plan Energi 2011'!$X$61,1)</f>
        <v>1.3387831814806116E-2</v>
      </c>
      <c r="K569" s="650"/>
      <c r="L569" s="650">
        <f>' Plan Energi 2013'!E$61/IF(' Plan Energi 2013'!$X$61&gt;0,' Plan Energi 2013'!$X$61,1)</f>
        <v>1.3586583306691841E-2</v>
      </c>
      <c r="M569" s="650"/>
      <c r="N569" s="650">
        <f>' Plan Energi 2015'!E$61/IF(' Plan Energi 2015'!$X$61&gt;0,' Plan Energi 2015'!$X$61,1)</f>
        <v>2.6983377449543737E-3</v>
      </c>
      <c r="O569" s="650"/>
      <c r="P569" s="650">
        <f>' Plan Energi 2017'!E$61/IF(' Plan Energi 2017'!$X$61&gt;0,' Plan Energi 2017'!$X$61,1)</f>
        <v>5.5216414130565918E-4</v>
      </c>
      <c r="Q569" s="650"/>
      <c r="R569" s="650">
        <f>' Plan Energi 2019'!E$61/IF(' Plan Energi 2019'!$X$61&gt;0,' Plan Energi 2019'!$X$61,1)</f>
        <v>5.5216414130565918E-4</v>
      </c>
      <c r="S569" s="650"/>
      <c r="T569" s="726">
        <f>Fjernvarme!J199</f>
        <v>5.5201177625122664E-4</v>
      </c>
      <c r="U569" s="650"/>
      <c r="V569" s="726">
        <f>Fjernvarme!L199</f>
        <v>5.5201177625122664E-4</v>
      </c>
      <c r="W569" s="650"/>
      <c r="X569" s="604"/>
    </row>
    <row r="570" spans="1:24" x14ac:dyDescent="0.25">
      <c r="A570" s="604" t="s">
        <v>9</v>
      </c>
      <c r="B570" s="650">
        <f>' Plan Energi 2030-S'!F$61/IF(' Plan Energi 2030-S'!$X$61&gt;0,' Plan Energi 2030-S'!$X$61,1)</f>
        <v>0</v>
      </c>
      <c r="C570" s="650"/>
      <c r="D570" s="650">
        <f>' Plan Energi 2006'!F$61/IF(' Plan Energi 2006'!$X$61&gt;0,' Plan Energi 2006'!$X$61,1)</f>
        <v>0</v>
      </c>
      <c r="E570" s="650"/>
      <c r="F570" s="650">
        <f>' Plan Energi 2008'!F$61/IF(' Plan Energi 2008'!$X$61&gt;0,' Plan Energi 2008'!$X$61,1)</f>
        <v>0</v>
      </c>
      <c r="G570" s="650"/>
      <c r="H570" s="650">
        <f>' Plan Energi 2009'!F$61/IF(' Plan Energi 2009'!$X$61&gt;0,' Plan Energi 2009'!$X$61,1)</f>
        <v>0</v>
      </c>
      <c r="I570" s="650"/>
      <c r="J570" s="650">
        <f>' Plan Energi 2011'!F$61/IF(' Plan Energi 2011'!$X$61&gt;0,' Plan Energi 2011'!$X$61,1)</f>
        <v>0</v>
      </c>
      <c r="K570" s="650"/>
      <c r="L570" s="650">
        <f>' Plan Energi 2013'!F$61/IF(' Plan Energi 2013'!$X$61&gt;0,' Plan Energi 2013'!$X$61,1)</f>
        <v>0</v>
      </c>
      <c r="M570" s="650"/>
      <c r="N570" s="650">
        <f>' Plan Energi 2015'!F$61/IF(' Plan Energi 2015'!$X$61&gt;0,' Plan Energi 2015'!$X$61,1)</f>
        <v>0</v>
      </c>
      <c r="O570" s="650"/>
      <c r="P570" s="650">
        <f>' Plan Energi 2017'!F$61/IF(' Plan Energi 2017'!$X$61&gt;0,' Plan Energi 2017'!$X$61,1)</f>
        <v>0</v>
      </c>
      <c r="Q570" s="650"/>
      <c r="R570" s="650">
        <f>' Plan Energi 2019'!F$61/IF(' Plan Energi 2019'!$X$61&gt;0,' Plan Energi 2019'!$X$61,1)</f>
        <v>0</v>
      </c>
      <c r="S570" s="650"/>
      <c r="T570" s="726">
        <f>Fjernvarme!J200</f>
        <v>0</v>
      </c>
      <c r="U570" s="650"/>
      <c r="V570" s="726">
        <f>Fjernvarme!L200</f>
        <v>0</v>
      </c>
      <c r="W570" s="650"/>
      <c r="X570" s="604"/>
    </row>
    <row r="571" spans="1:24" x14ac:dyDescent="0.25">
      <c r="A571" s="604" t="s">
        <v>11</v>
      </c>
      <c r="B571" s="650">
        <f>' Plan Energi 2030-S'!H$61/IF(' Plan Energi 2030-S'!$X$61&gt;0,' Plan Energi 2030-S'!$X$61,1)</f>
        <v>0</v>
      </c>
      <c r="C571" s="650"/>
      <c r="D571" s="650">
        <f>' Plan Energi 2006'!H$61/IF(' Plan Energi 2006'!$X$61&gt;0,' Plan Energi 2006'!$X$61,1)</f>
        <v>0</v>
      </c>
      <c r="E571" s="650"/>
      <c r="F571" s="650">
        <f>' Plan Energi 2008'!H$61/IF(' Plan Energi 2008'!$X$61&gt;0,' Plan Energi 2008'!$X$61,1)</f>
        <v>0</v>
      </c>
      <c r="G571" s="650"/>
      <c r="H571" s="650">
        <f>' Plan Energi 2009'!H$61/IF(' Plan Energi 2009'!$X$61&gt;0,' Plan Energi 2009'!$X$61,1)</f>
        <v>0</v>
      </c>
      <c r="I571" s="650"/>
      <c r="J571" s="650">
        <f>' Plan Energi 2011'!H$61/IF(' Plan Energi 2011'!$X$61&gt;0,' Plan Energi 2011'!$X$61,1)</f>
        <v>0</v>
      </c>
      <c r="K571" s="650"/>
      <c r="L571" s="650">
        <f>' Plan Energi 2013'!H$61/IF(' Plan Energi 2013'!$X$61&gt;0,' Plan Energi 2013'!$X$61,1)</f>
        <v>0</v>
      </c>
      <c r="M571" s="650"/>
      <c r="N571" s="650">
        <f>' Plan Energi 2015'!H$61/IF(' Plan Energi 2015'!$X$61&gt;0,' Plan Energi 2015'!$X$61,1)</f>
        <v>0</v>
      </c>
      <c r="O571" s="650"/>
      <c r="P571" s="650">
        <f>' Plan Energi 2017'!H$61/IF(' Plan Energi 2017'!$X$61&gt;0,' Plan Energi 2017'!$X$61,1)</f>
        <v>0</v>
      </c>
      <c r="Q571" s="650"/>
      <c r="R571" s="650">
        <f>' Plan Energi 2019'!H$61/IF(' Plan Energi 2019'!$X$61&gt;0,' Plan Energi 2019'!$X$61,1)</f>
        <v>0</v>
      </c>
      <c r="S571" s="650"/>
      <c r="T571" s="726">
        <f>Fjernvarme!J201</f>
        <v>0</v>
      </c>
      <c r="U571" s="650"/>
      <c r="V571" s="726">
        <f>Fjernvarme!L201</f>
        <v>0</v>
      </c>
      <c r="W571" s="650"/>
      <c r="X571" s="604"/>
    </row>
    <row r="572" spans="1:24" x14ac:dyDescent="0.25">
      <c r="A572" s="604" t="s">
        <v>3</v>
      </c>
      <c r="B572" s="650">
        <f>' Plan Energi 2030-S'!I$61/IF(' Plan Energi 2030-S'!$X$61&gt;0,' Plan Energi 2030-S'!$X$61,1)</f>
        <v>0.66145322211318291</v>
      </c>
      <c r="C572" s="650"/>
      <c r="D572" s="650">
        <f>' Plan Energi 2006'!I$61/IF(' Plan Energi 2006'!$X$61&gt;0,' Plan Energi 2006'!$X$61,1)</f>
        <v>0.92353957093539796</v>
      </c>
      <c r="E572" s="650"/>
      <c r="F572" s="650">
        <f>' Plan Energi 2008'!I$61/IF(' Plan Energi 2008'!$X$61&gt;0,' Plan Energi 2008'!$X$61,1)</f>
        <v>0.85205645743128078</v>
      </c>
      <c r="G572" s="650"/>
      <c r="H572" s="650">
        <f>' Plan Energi 2009'!I$61/IF(' Plan Energi 2009'!$X$61&gt;0,' Plan Energi 2009'!$X$61,1)</f>
        <v>0.79340395686421361</v>
      </c>
      <c r="I572" s="650"/>
      <c r="J572" s="650">
        <f>' Plan Energi 2011'!I$61/IF(' Plan Energi 2011'!$X$61&gt;0,' Plan Energi 2011'!$X$61,1)</f>
        <v>0.83506934972593028</v>
      </c>
      <c r="K572" s="650"/>
      <c r="L572" s="650">
        <f>' Plan Energi 2013'!I$61/IF(' Plan Energi 2013'!$X$61&gt;0,' Plan Energi 2013'!$X$61,1)</f>
        <v>0.80790080824705135</v>
      </c>
      <c r="M572" s="650"/>
      <c r="N572" s="650">
        <f>' Plan Energi 2015'!I$61/IF(' Plan Energi 2015'!$X$61&gt;0,' Plan Energi 2015'!$X$61,1)</f>
        <v>0.77264020460501603</v>
      </c>
      <c r="O572" s="650"/>
      <c r="P572" s="650">
        <f>' Plan Energi 2017'!I$61/IF(' Plan Energi 2017'!$X$61&gt;0,' Plan Energi 2017'!$X$61,1)</f>
        <v>0.57878840807721088</v>
      </c>
      <c r="Q572" s="650"/>
      <c r="R572" s="650">
        <f>' Plan Energi 2019'!I$61/IF(' Plan Energi 2019'!$X$61&gt;0,' Plan Energi 2019'!$X$61,1)</f>
        <v>0.57878840807721088</v>
      </c>
      <c r="S572" s="650"/>
      <c r="T572" s="726">
        <f>Fjernvarme!J202</f>
        <v>0.57999999999999996</v>
      </c>
      <c r="U572" s="650"/>
      <c r="V572" s="726">
        <f>Fjernvarme!L202</f>
        <v>0.66145322211318291</v>
      </c>
      <c r="W572" s="650"/>
      <c r="X572" s="604"/>
    </row>
    <row r="573" spans="1:24" x14ac:dyDescent="0.25">
      <c r="A573" s="604" t="s">
        <v>413</v>
      </c>
      <c r="B573" s="650">
        <f>' Plan Energi 2030-S'!L$61/IF(' Plan Energi 2030-S'!$X$61&gt;0,' Plan Energi 2030-S'!$X$61,1)</f>
        <v>0</v>
      </c>
      <c r="C573" s="650"/>
      <c r="D573" s="650">
        <f>' Plan Energi 2006'!L$61/IF(' Plan Energi 2006'!$X$61&gt;0,' Plan Energi 2006'!$X$61,1)</f>
        <v>0</v>
      </c>
      <c r="E573" s="650"/>
      <c r="F573" s="650">
        <f>' Plan Energi 2008'!L$61/IF(' Plan Energi 2008'!$X$61&gt;0,' Plan Energi 2008'!$X$61,1)</f>
        <v>0</v>
      </c>
      <c r="G573" s="650"/>
      <c r="H573" s="650">
        <f>' Plan Energi 2009'!L$61/IF(' Plan Energi 2009'!$X$61&gt;0,' Plan Energi 2009'!$X$61,1)</f>
        <v>0</v>
      </c>
      <c r="I573" s="650"/>
      <c r="J573" s="650">
        <f>' Plan Energi 2011'!L$61/IF(' Plan Energi 2011'!$X$61&gt;0,' Plan Energi 2011'!$X$61,1)</f>
        <v>0</v>
      </c>
      <c r="K573" s="650"/>
      <c r="L573" s="650">
        <f>' Plan Energi 2013'!L$61/IF(' Plan Energi 2013'!$X$61&gt;0,' Plan Energi 2013'!$X$61,1)</f>
        <v>0</v>
      </c>
      <c r="M573" s="650"/>
      <c r="N573" s="650">
        <f>' Plan Energi 2015'!L$61/IF(' Plan Energi 2015'!$X$61&gt;0,' Plan Energi 2015'!$X$61,1)</f>
        <v>0</v>
      </c>
      <c r="O573" s="650"/>
      <c r="P573" s="650">
        <f>' Plan Energi 2017'!L$61/IF(' Plan Energi 2017'!$X$61&gt;0,' Plan Energi 2017'!$X$61,1)</f>
        <v>0</v>
      </c>
      <c r="Q573" s="650"/>
      <c r="R573" s="650">
        <f>' Plan Energi 2019'!L$61/IF(' Plan Energi 2019'!$X$61&gt;0,' Plan Energi 2019'!$X$61,1)</f>
        <v>0</v>
      </c>
      <c r="S573" s="650"/>
      <c r="T573" s="726">
        <f>Fjernvarme!J203</f>
        <v>0</v>
      </c>
      <c r="U573" s="650"/>
      <c r="V573" s="726">
        <f>Fjernvarme!L203</f>
        <v>0</v>
      </c>
      <c r="W573" s="650"/>
      <c r="X573" s="604"/>
    </row>
    <row r="574" spans="1:24" x14ac:dyDescent="0.25">
      <c r="A574" s="604" t="s">
        <v>421</v>
      </c>
      <c r="B574" s="650">
        <f>' Plan Energi 2030-S'!M$61/IF(' Plan Energi 2030-S'!$X$61&gt;0,' Plan Energi 2030-S'!$X$61,1)</f>
        <v>0</v>
      </c>
      <c r="C574" s="650"/>
      <c r="D574" s="650">
        <f>' Plan Energi 2006'!M$61/IF(' Plan Energi 2006'!$X$61&gt;0,' Plan Energi 2006'!$X$61,1)</f>
        <v>0</v>
      </c>
      <c r="E574" s="650"/>
      <c r="F574" s="650">
        <f>' Plan Energi 2008'!M$61/IF(' Plan Energi 2008'!$X$61&gt;0,' Plan Energi 2008'!$X$61,1)</f>
        <v>0</v>
      </c>
      <c r="G574" s="650"/>
      <c r="H574" s="650">
        <f>' Plan Energi 2009'!M$61/IF(' Plan Energi 2009'!$X$61&gt;0,' Plan Energi 2009'!$X$61,1)</f>
        <v>0</v>
      </c>
      <c r="I574" s="650"/>
      <c r="J574" s="650">
        <f>' Plan Energi 2011'!M$61/IF(' Plan Energi 2011'!$X$61&gt;0,' Plan Energi 2011'!$X$61,1)</f>
        <v>0</v>
      </c>
      <c r="K574" s="650"/>
      <c r="L574" s="650">
        <f>' Plan Energi 2013'!M$61/IF(' Plan Energi 2013'!$X$61&gt;0,' Plan Energi 2013'!$X$61,1)</f>
        <v>0</v>
      </c>
      <c r="M574" s="650"/>
      <c r="N574" s="650">
        <f>' Plan Energi 2015'!M$61/IF(' Plan Energi 2015'!$X$61&gt;0,' Plan Energi 2015'!$X$61,1)</f>
        <v>0</v>
      </c>
      <c r="O574" s="650"/>
      <c r="P574" s="650">
        <f>' Plan Energi 2017'!M$61/IF(' Plan Energi 2017'!$X$61&gt;0,' Plan Energi 2017'!$X$61,1)</f>
        <v>0</v>
      </c>
      <c r="Q574" s="650"/>
      <c r="R574" s="650">
        <f>' Plan Energi 2019'!M$61/IF(' Plan Energi 2019'!$X$61&gt;0,' Plan Energi 2019'!$X$61,1)</f>
        <v>0</v>
      </c>
      <c r="S574" s="650"/>
      <c r="T574" s="726">
        <f>Fjernvarme!J204</f>
        <v>0</v>
      </c>
      <c r="U574" s="650"/>
      <c r="V574" s="726">
        <f>Fjernvarme!L204</f>
        <v>0</v>
      </c>
      <c r="W574" s="650"/>
      <c r="X574" s="604"/>
    </row>
    <row r="575" spans="1:24" x14ac:dyDescent="0.25">
      <c r="A575" s="604" t="s">
        <v>372</v>
      </c>
      <c r="B575" s="650">
        <f>' Plan Energi 2030-S'!N$61/IF(' Plan Energi 2030-S'!$X$61&gt;0,' Plan Energi 2030-S'!$X$61,1)</f>
        <v>0</v>
      </c>
      <c r="C575" s="650"/>
      <c r="D575" s="650">
        <f>' Plan Energi 2006'!N$61/IF(' Plan Energi 2006'!$X$61&gt;0,' Plan Energi 2006'!$X$61,1)</f>
        <v>0</v>
      </c>
      <c r="E575" s="650"/>
      <c r="F575" s="650">
        <f>' Plan Energi 2008'!N$61/IF(' Plan Energi 2008'!$X$61&gt;0,' Plan Energi 2008'!$X$61,1)</f>
        <v>0</v>
      </c>
      <c r="G575" s="650"/>
      <c r="H575" s="650">
        <f>' Plan Energi 2009'!N$61/IF(' Plan Energi 2009'!$X$61&gt;0,' Plan Energi 2009'!$X$61,1)</f>
        <v>0</v>
      </c>
      <c r="I575" s="650"/>
      <c r="J575" s="650">
        <f>' Plan Energi 2011'!N$61/IF(' Plan Energi 2011'!$X$61&gt;0,' Plan Energi 2011'!$X$61,1)</f>
        <v>0</v>
      </c>
      <c r="K575" s="650"/>
      <c r="L575" s="650">
        <f>' Plan Energi 2013'!N$61/IF(' Plan Energi 2013'!$X$61&gt;0,' Plan Energi 2013'!$X$61,1)</f>
        <v>0</v>
      </c>
      <c r="M575" s="650"/>
      <c r="N575" s="650">
        <f>' Plan Energi 2015'!N$61/IF(' Plan Energi 2015'!$X$61&gt;0,' Plan Energi 2015'!$X$61,1)</f>
        <v>0</v>
      </c>
      <c r="O575" s="650"/>
      <c r="P575" s="650">
        <f>' Plan Energi 2017'!N$61/IF(' Plan Energi 2017'!$X$61&gt;0,' Plan Energi 2017'!$X$61,1)</f>
        <v>0</v>
      </c>
      <c r="Q575" s="650"/>
      <c r="R575" s="650">
        <f>' Plan Energi 2019'!N$61/IF(' Plan Energi 2019'!$X$61&gt;0,' Plan Energi 2019'!$X$61,1)</f>
        <v>0</v>
      </c>
      <c r="S575" s="650"/>
      <c r="T575" s="726">
        <f>Fjernvarme!J205</f>
        <v>0</v>
      </c>
      <c r="U575" s="650"/>
      <c r="V575" s="726">
        <f>Fjernvarme!L205</f>
        <v>0</v>
      </c>
      <c r="W575" s="650"/>
      <c r="X575" s="604"/>
    </row>
    <row r="576" spans="1:24" x14ac:dyDescent="0.25">
      <c r="A576" s="604" t="s">
        <v>373</v>
      </c>
      <c r="B576" s="650">
        <f>' Plan Energi 2030-S'!O$61/IF(' Plan Energi 2030-S'!$X$61&gt;0,' Plan Energi 2030-S'!$X$61,1)</f>
        <v>0</v>
      </c>
      <c r="C576" s="650"/>
      <c r="D576" s="650">
        <f>' Plan Energi 2006'!O$61/IF(' Plan Energi 2006'!$X$61&gt;0,' Plan Energi 2006'!$X$61,1)</f>
        <v>0</v>
      </c>
      <c r="E576" s="650"/>
      <c r="F576" s="650">
        <f>' Plan Energi 2008'!O$61/IF(' Plan Energi 2008'!$X$61&gt;0,' Plan Energi 2008'!$X$61,1)</f>
        <v>0</v>
      </c>
      <c r="G576" s="650"/>
      <c r="H576" s="650">
        <f>' Plan Energi 2009'!O$61/IF(' Plan Energi 2009'!$X$61&gt;0,' Plan Energi 2009'!$X$61,1)</f>
        <v>0</v>
      </c>
      <c r="I576" s="650"/>
      <c r="J576" s="650">
        <f>' Plan Energi 2011'!O$61/IF(' Plan Energi 2011'!$X$61&gt;0,' Plan Energi 2011'!$X$61,1)</f>
        <v>0</v>
      </c>
      <c r="K576" s="650"/>
      <c r="L576" s="650">
        <f>' Plan Energi 2013'!O$61/IF(' Plan Energi 2013'!$X$61&gt;0,' Plan Energi 2013'!$X$61,1)</f>
        <v>0</v>
      </c>
      <c r="M576" s="650"/>
      <c r="N576" s="650">
        <f>' Plan Energi 2015'!O$61/IF(' Plan Energi 2015'!$X$61&gt;0,' Plan Energi 2015'!$X$61,1)</f>
        <v>0</v>
      </c>
      <c r="O576" s="650"/>
      <c r="P576" s="650">
        <f>' Plan Energi 2017'!O$61/IF(' Plan Energi 2017'!$X$61&gt;0,' Plan Energi 2017'!$X$61,1)</f>
        <v>0</v>
      </c>
      <c r="Q576" s="650"/>
      <c r="R576" s="650">
        <f>' Plan Energi 2019'!O$61/IF(' Plan Energi 2019'!$X$61&gt;0,' Plan Energi 2019'!$X$61,1)</f>
        <v>0</v>
      </c>
      <c r="S576" s="650"/>
      <c r="T576" s="726">
        <f>Fjernvarme!J206</f>
        <v>0</v>
      </c>
      <c r="U576" s="650"/>
      <c r="V576" s="726">
        <f>Fjernvarme!L206</f>
        <v>0</v>
      </c>
      <c r="W576" s="650"/>
      <c r="X576" s="604"/>
    </row>
    <row r="577" spans="1:24" x14ac:dyDescent="0.25">
      <c r="A577" s="604" t="s">
        <v>374</v>
      </c>
      <c r="B577" s="650">
        <f>' Plan Energi 2030-S'!P$61/IF(' Plan Energi 2030-S'!$X$61&gt;0,' Plan Energi 2030-S'!$X$61,1)</f>
        <v>0</v>
      </c>
      <c r="C577" s="650"/>
      <c r="D577" s="650">
        <f>' Plan Energi 2006'!P$61/IF(' Plan Energi 2006'!$X$61&gt;0,' Plan Energi 2006'!$X$61,1)</f>
        <v>0</v>
      </c>
      <c r="E577" s="650"/>
      <c r="F577" s="650">
        <f>' Plan Energi 2008'!P$61/IF(' Plan Energi 2008'!$X$61&gt;0,' Plan Energi 2008'!$X$61,1)</f>
        <v>0</v>
      </c>
      <c r="G577" s="650"/>
      <c r="H577" s="650">
        <f>' Plan Energi 2009'!P$61/IF(' Plan Energi 2009'!$X$61&gt;0,' Plan Energi 2009'!$X$61,1)</f>
        <v>0</v>
      </c>
      <c r="I577" s="650"/>
      <c r="J577" s="650">
        <f>' Plan Energi 2011'!P$61/IF(' Plan Energi 2011'!$X$61&gt;0,' Plan Energi 2011'!$X$61,1)</f>
        <v>0</v>
      </c>
      <c r="K577" s="650"/>
      <c r="L577" s="650">
        <f>' Plan Energi 2013'!P$61/IF(' Plan Energi 2013'!$X$61&gt;0,' Plan Energi 2013'!$X$61,1)</f>
        <v>0</v>
      </c>
      <c r="M577" s="650"/>
      <c r="N577" s="650">
        <f>' Plan Energi 2015'!P$61/IF(' Plan Energi 2015'!$X$61&gt;0,' Plan Energi 2015'!$X$61,1)</f>
        <v>0</v>
      </c>
      <c r="O577" s="650"/>
      <c r="P577" s="650">
        <f>' Plan Energi 2017'!P$61/IF(' Plan Energi 2017'!$X$61&gt;0,' Plan Energi 2017'!$X$61,1)</f>
        <v>0</v>
      </c>
      <c r="Q577" s="650"/>
      <c r="R577" s="650">
        <f>' Plan Energi 2019'!P$61/IF(' Plan Energi 2019'!$X$61&gt;0,' Plan Energi 2019'!$X$61,1)</f>
        <v>0</v>
      </c>
      <c r="S577" s="650"/>
      <c r="T577" s="726">
        <f>Fjernvarme!J207</f>
        <v>0</v>
      </c>
      <c r="U577" s="650"/>
      <c r="V577" s="726">
        <f>Fjernvarme!L207</f>
        <v>0</v>
      </c>
      <c r="W577" s="650"/>
      <c r="X577" s="604"/>
    </row>
    <row r="578" spans="1:24" x14ac:dyDescent="0.25">
      <c r="A578" s="604" t="s">
        <v>21</v>
      </c>
      <c r="B578" s="650">
        <f>' Plan Energi 2030-S'!Q$61/IF(' Plan Energi 2030-S'!$X$61&gt;0,' Plan Energi 2030-S'!$X$61,1)</f>
        <v>0</v>
      </c>
      <c r="C578" s="650"/>
      <c r="D578" s="650">
        <f>' Plan Energi 2006'!Q$61/IF(' Plan Energi 2006'!$X$61&gt;0,' Plan Energi 2006'!$X$61,1)</f>
        <v>0</v>
      </c>
      <c r="E578" s="650"/>
      <c r="F578" s="650">
        <f>' Plan Energi 2008'!Q$61/IF(' Plan Energi 2008'!$X$61&gt;0,' Plan Energi 2008'!$X$61,1)</f>
        <v>0</v>
      </c>
      <c r="G578" s="650"/>
      <c r="H578" s="650">
        <f>' Plan Energi 2009'!Q$61/IF(' Plan Energi 2009'!$X$61&gt;0,' Plan Energi 2009'!$X$61,1)</f>
        <v>0</v>
      </c>
      <c r="I578" s="650"/>
      <c r="J578" s="650">
        <f>' Plan Energi 2011'!Q$61/IF(' Plan Energi 2011'!$X$61&gt;0,' Plan Energi 2011'!$X$61,1)</f>
        <v>7.4376843415589527E-4</v>
      </c>
      <c r="K578" s="650"/>
      <c r="L578" s="650">
        <f>' Plan Energi 2013'!Q$61/IF(' Plan Energi 2013'!$X$61&gt;0,' Plan Energi 2013'!$X$61,1)</f>
        <v>8.4916145666824009E-4</v>
      </c>
      <c r="M578" s="650"/>
      <c r="N578" s="650">
        <f>' Plan Energi 2015'!Q$61/IF(' Plan Energi 2015'!$X$61&gt;0,' Plan Energi 2015'!$X$61,1)</f>
        <v>0</v>
      </c>
      <c r="O578" s="650"/>
      <c r="P578" s="650">
        <f>' Plan Energi 2017'!Q$61/IF(' Plan Energi 2017'!$X$61&gt;0,' Plan Energi 2017'!$X$61,1)</f>
        <v>0</v>
      </c>
      <c r="Q578" s="650"/>
      <c r="R578" s="650">
        <f>' Plan Energi 2019'!Q$61/IF(' Plan Energi 2019'!$X$61&gt;0,' Plan Energi 2019'!$X$61,1)</f>
        <v>0</v>
      </c>
      <c r="S578" s="650"/>
      <c r="T578" s="726">
        <f>Fjernvarme!J208</f>
        <v>0</v>
      </c>
      <c r="U578" s="650"/>
      <c r="V578" s="726">
        <f>Fjernvarme!L208</f>
        <v>0</v>
      </c>
      <c r="W578" s="650"/>
      <c r="X578" s="604"/>
    </row>
    <row r="579" spans="1:24" x14ac:dyDescent="0.25">
      <c r="A579" s="604" t="s">
        <v>375</v>
      </c>
      <c r="B579" s="650">
        <f>' Plan Energi 2030-S'!R$61/IF(' Plan Energi 2030-S'!$X$61&gt;0,' Plan Energi 2030-S'!$X$61,1)</f>
        <v>0.17461972522080471</v>
      </c>
      <c r="C579" s="650"/>
      <c r="D579" s="650">
        <f>' Plan Energi 2006'!R$61/IF(' Plan Energi 2006'!$X$61&gt;0,' Plan Energi 2006'!$X$61,1)</f>
        <v>0</v>
      </c>
      <c r="E579" s="650"/>
      <c r="F579" s="650">
        <f>' Plan Energi 2008'!R$61/IF(' Plan Energi 2008'!$X$61&gt;0,' Plan Energi 2008'!$X$61,1)</f>
        <v>4.2048986174233707E-4</v>
      </c>
      <c r="G579" s="650"/>
      <c r="H579" s="650">
        <f>' Plan Energi 2009'!R$61/IF(' Plan Energi 2009'!$X$61&gt;0,' Plan Energi 2009'!$X$61,1)</f>
        <v>1.3003890853004463E-3</v>
      </c>
      <c r="I579" s="650"/>
      <c r="J579" s="650">
        <f>' Plan Energi 2011'!R$61/IF(' Plan Energi 2011'!$X$61&gt;0,' Plan Energi 2011'!$X$61,1)</f>
        <v>7.3447132872894666E-3</v>
      </c>
      <c r="K579" s="650"/>
      <c r="L579" s="650">
        <f>' Plan Energi 2013'!R$61/IF(' Plan Energi 2013'!$X$61&gt;0,' Plan Energi 2013'!$X$61,1)</f>
        <v>6.132832742603957E-3</v>
      </c>
      <c r="M579" s="650"/>
      <c r="N579" s="650">
        <f>' Plan Energi 2015'!R$61/IF(' Plan Energi 2015'!$X$61&gt;0,' Plan Energi 2015'!$X$61,1)</f>
        <v>4.0424535504934438E-4</v>
      </c>
      <c r="O579" s="650"/>
      <c r="P579" s="650">
        <f>' Plan Energi 2017'!R$61/IF(' Plan Energi 2017'!$X$61&gt;0,' Plan Energi 2017'!$X$61,1)</f>
        <v>0.25723929247876037</v>
      </c>
      <c r="Q579" s="650"/>
      <c r="R579" s="650">
        <f>' Plan Energi 2019'!R$61/IF(' Plan Energi 2019'!$X$61&gt;0,' Plan Energi 2019'!$X$61,1)</f>
        <v>0.25723929247876037</v>
      </c>
      <c r="S579" s="650"/>
      <c r="T579" s="726">
        <f>Fjernvarme!J209</f>
        <v>0.26</v>
      </c>
      <c r="U579" s="650"/>
      <c r="V579" s="726">
        <f>Fjernvarme!L209</f>
        <v>0.17461972522080471</v>
      </c>
      <c r="W579" s="650"/>
      <c r="X579" s="604"/>
    </row>
    <row r="580" spans="1:24" x14ac:dyDescent="0.25">
      <c r="A580" s="604" t="s">
        <v>23</v>
      </c>
      <c r="B580" s="650">
        <f>' Plan Energi 2030-S'!S$61/IF(' Plan Energi 2030-S'!$X$61&gt;0,' Plan Energi 2030-S'!$X$61,1)</f>
        <v>4.3854268891069673E-3</v>
      </c>
      <c r="C580" s="650"/>
      <c r="D580" s="650">
        <f>' Plan Energi 2006'!S$61/IF(' Plan Energi 2006'!$X$61&gt;0,' Plan Energi 2006'!$X$61,1)</f>
        <v>9.7392173299516056E-3</v>
      </c>
      <c r="E580" s="650"/>
      <c r="F580" s="650">
        <f>' Plan Energi 2008'!S$61/IF(' Plan Energi 2008'!$X$61&gt;0,' Plan Energi 2008'!$X$61,1)</f>
        <v>7.8730016666650352E-4</v>
      </c>
      <c r="G580" s="650"/>
      <c r="H580" s="650">
        <f>' Plan Energi 2009'!S$61/IF(' Plan Energi 2009'!$X$61&gt;0,' Plan Energi 2009'!$X$61,1)</f>
        <v>8.5528946549962232E-4</v>
      </c>
      <c r="I580" s="650"/>
      <c r="J580" s="650">
        <f>' Plan Energi 2011'!S$61/IF(' Plan Energi 2011'!$X$61&gt;0,' Plan Energi 2011'!$X$61,1)</f>
        <v>1.5526166063004316E-2</v>
      </c>
      <c r="K580" s="650"/>
      <c r="L580" s="650">
        <f>' Plan Energi 2013'!S$61/IF(' Plan Energi 2013'!$X$61&gt;0,' Plan Energi 2013'!$X$61,1)</f>
        <v>5.0100525943426163E-2</v>
      </c>
      <c r="M580" s="650"/>
      <c r="N580" s="650">
        <f>' Plan Energi 2015'!S$61/IF(' Plan Energi 2015'!$X$61&gt;0,' Plan Energi 2015'!$X$61,1)</f>
        <v>6.1811216368401277E-2</v>
      </c>
      <c r="O580" s="650"/>
      <c r="P580" s="650">
        <f>' Plan Energi 2017'!S$61/IF(' Plan Energi 2017'!$X$61&gt;0,' Plan Energi 2017'!$X$61,1)</f>
        <v>4.3866373448171805E-3</v>
      </c>
      <c r="Q580" s="650"/>
      <c r="R580" s="650">
        <f>' Plan Energi 2019'!S$61/IF(' Plan Energi 2019'!$X$61&gt;0,' Plan Energi 2019'!$X$61,1)</f>
        <v>4.3866373448171805E-3</v>
      </c>
      <c r="S580" s="650"/>
      <c r="T580" s="726">
        <f>Fjernvarme!J210</f>
        <v>4.5837422309463749E-4</v>
      </c>
      <c r="U580" s="650"/>
      <c r="V580" s="726">
        <f>Fjernvarme!L210</f>
        <v>4.3854268891069803E-3</v>
      </c>
      <c r="W580" s="650"/>
      <c r="X580" s="604"/>
    </row>
    <row r="581" spans="1:24" x14ac:dyDescent="0.25">
      <c r="A581" s="604" t="s">
        <v>388</v>
      </c>
      <c r="B581" s="650">
        <f>' Plan Energi 2030-S'!T$61/IF(' Plan Energi 2030-S'!$X$61&gt;0,' Plan Energi 2030-S'!$X$61,1)</f>
        <v>0</v>
      </c>
      <c r="C581" s="650"/>
      <c r="D581" s="650">
        <f>' Plan Energi 2006'!T$61/IF(' Plan Energi 2006'!$X$61&gt;0,' Plan Energi 2006'!$X$61,1)</f>
        <v>0</v>
      </c>
      <c r="E581" s="650"/>
      <c r="F581" s="650">
        <f>' Plan Energi 2008'!T$61/IF(' Plan Energi 2008'!$X$61&gt;0,' Plan Energi 2008'!$X$61,1)</f>
        <v>0</v>
      </c>
      <c r="G581" s="650"/>
      <c r="H581" s="650">
        <f>' Plan Energi 2009'!T$61/IF(' Plan Energi 2009'!$X$61&gt;0,' Plan Energi 2009'!$X$61,1)</f>
        <v>0</v>
      </c>
      <c r="I581" s="650"/>
      <c r="J581" s="650">
        <f>' Plan Energi 2011'!T$61/IF(' Plan Energi 2011'!$X$61&gt;0,' Plan Energi 2011'!$X$61,1)</f>
        <v>0</v>
      </c>
      <c r="K581" s="650"/>
      <c r="L581" s="650">
        <f>' Plan Energi 2013'!T$61/IF(' Plan Energi 2013'!$X$61&gt;0,' Plan Energi 2013'!$X$61,1)</f>
        <v>0</v>
      </c>
      <c r="M581" s="650"/>
      <c r="N581" s="650">
        <f>' Plan Energi 2015'!T$61/IF(' Plan Energi 2015'!$X$61&gt;0,' Plan Energi 2015'!$X$61,1)</f>
        <v>0</v>
      </c>
      <c r="O581" s="650"/>
      <c r="P581" s="650">
        <f>' Plan Energi 2017'!T$61/IF(' Plan Energi 2017'!$X$61&gt;0,' Plan Energi 2017'!$X$61,1)</f>
        <v>0</v>
      </c>
      <c r="Q581" s="650"/>
      <c r="R581" s="650">
        <f>' Plan Energi 2019'!T$61/IF(' Plan Energi 2019'!$X$61&gt;0,' Plan Energi 2019'!$X$61,1)</f>
        <v>0</v>
      </c>
      <c r="S581" s="650"/>
      <c r="T581" s="726">
        <f>Fjernvarme!J211</f>
        <v>0</v>
      </c>
      <c r="U581" s="650"/>
      <c r="V581" s="726">
        <f>Fjernvarme!L211</f>
        <v>0</v>
      </c>
      <c r="W581" s="650"/>
      <c r="X581" s="604"/>
    </row>
    <row r="582" spans="1:24" x14ac:dyDescent="0.25">
      <c r="A582" s="604" t="s">
        <v>389</v>
      </c>
      <c r="B582" s="650">
        <f>' Plan Energi 2030-S'!U$61/IF(' Plan Energi 2030-S'!$X$61&gt;0,' Plan Energi 2030-S'!$X$61,1)</f>
        <v>8.5026680569185456E-2</v>
      </c>
      <c r="C582" s="650"/>
      <c r="D582" s="650">
        <f>' Plan Energi 2006'!U$61/IF(' Plan Energi 2006'!$X$61&gt;0,' Plan Energi 2006'!$X$61,1)</f>
        <v>4.5965592652843737E-2</v>
      </c>
      <c r="E582" s="650"/>
      <c r="F582" s="650">
        <f>' Plan Energi 2008'!U$61/IF(' Plan Energi 2008'!$X$61&gt;0,' Plan Energi 2008'!$X$61,1)</f>
        <v>6.4302741112486669E-2</v>
      </c>
      <c r="G582" s="650"/>
      <c r="H582" s="650">
        <f>' Plan Energi 2009'!U$61/IF(' Plan Energi 2009'!$X$61&gt;0,' Plan Energi 2009'!$X$61,1)</f>
        <v>6.0740388704466554E-2</v>
      </c>
      <c r="I582" s="650"/>
      <c r="J582" s="650">
        <f>' Plan Energi 2011'!U$61/IF(' Plan Energi 2011'!$X$61&gt;0,' Plan Energi 2011'!$X$61,1)</f>
        <v>6.9900287152513743E-2</v>
      </c>
      <c r="K582" s="650"/>
      <c r="L582" s="650">
        <f>' Plan Energi 2013'!U$61/IF(' Plan Energi 2013'!$X$61&gt;0,' Plan Energi 2013'!$X$61,1)</f>
        <v>6.5644898164103113E-2</v>
      </c>
      <c r="M582" s="650"/>
      <c r="N582" s="650">
        <f>' Plan Energi 2015'!U$61/IF(' Plan Energi 2015'!$X$61&gt;0,' Plan Energi 2015'!$X$61,1)</f>
        <v>8.6877379867042234E-2</v>
      </c>
      <c r="O582" s="650"/>
      <c r="P582" s="650">
        <f>' Plan Energi 2017'!U$61/IF(' Plan Energi 2017'!$X$61&gt;0,' Plan Energi 2017'!$X$61,1)</f>
        <v>8.5050149443166953E-2</v>
      </c>
      <c r="Q582" s="650"/>
      <c r="R582" s="650">
        <f>' Plan Energi 2019'!U$61/IF(' Plan Energi 2019'!$X$61&gt;0,' Plan Energi 2019'!$X$61,1)</f>
        <v>8.5050149443166953E-2</v>
      </c>
      <c r="S582" s="650"/>
      <c r="T582" s="726">
        <f>Fjernvarme!J212</f>
        <v>8.5026680569185456E-2</v>
      </c>
      <c r="U582" s="650"/>
      <c r="V582" s="726">
        <f>Fjernvarme!L212</f>
        <v>8.5026680569185456E-2</v>
      </c>
      <c r="W582" s="650"/>
      <c r="X582" s="604"/>
    </row>
    <row r="583" spans="1:24" x14ac:dyDescent="0.25">
      <c r="A583" s="604" t="s">
        <v>26</v>
      </c>
      <c r="B583" s="650">
        <f>' Plan Energi 2030-S'!V$61/IF(' Plan Energi 2030-S'!$X$61&gt;0,' Plan Energi 2030-S'!$X$61,1)</f>
        <v>4.3956493294079156E-3</v>
      </c>
      <c r="C583" s="650"/>
      <c r="D583" s="650">
        <f>' Plan Energi 2006'!V$61/IF(' Plan Energi 2006'!$X$61&gt;0,' Plan Energi 2006'!$X$61,1)</f>
        <v>3.0154490530611678E-3</v>
      </c>
      <c r="E583" s="650"/>
      <c r="F583" s="650">
        <f>' Plan Energi 2008'!V$61/IF(' Plan Energi 2008'!$X$61&gt;0,' Plan Energi 2008'!$X$61,1)</f>
        <v>2.6750312481055058E-3</v>
      </c>
      <c r="G583" s="650"/>
      <c r="H583" s="650">
        <f>' Plan Energi 2009'!V$61/IF(' Plan Energi 2009'!$X$61&gt;0,' Plan Energi 2009'!$X$61,1)</f>
        <v>2.6269605011774114E-3</v>
      </c>
      <c r="I583" s="650"/>
      <c r="J583" s="650">
        <f>' Plan Energi 2011'!V$61/IF(' Plan Energi 2011'!$X$61&gt;0,' Plan Energi 2011'!$X$61,1)</f>
        <v>8.3673948842538225E-4</v>
      </c>
      <c r="K583" s="650"/>
      <c r="L583" s="650">
        <f>' Plan Energi 2013'!V$61/IF(' Plan Energi 2013'!$X$61&gt;0,' Plan Energi 2013'!$X$61,1)</f>
        <v>2.0757280051890313E-3</v>
      </c>
      <c r="M583" s="650"/>
      <c r="N583" s="650">
        <f>' Plan Energi 2015'!V$61/IF(' Plan Energi 2015'!$X$61&gt;0,' Plan Energi 2015'!$X$61,1)</f>
        <v>4.4871234410477226E-3</v>
      </c>
      <c r="O583" s="650"/>
      <c r="P583" s="650">
        <f>' Plan Energi 2017'!V$61/IF(' Plan Energi 2017'!$X$61&gt;0,' Plan Energi 2017'!$X$61,1)</f>
        <v>4.3968626066932118E-3</v>
      </c>
      <c r="Q583" s="650"/>
      <c r="R583" s="650">
        <f>' Plan Energi 2019'!V$61/IF(' Plan Energi 2019'!$X$61&gt;0,' Plan Energi 2019'!$X$61,1)</f>
        <v>4.3968626066932118E-3</v>
      </c>
      <c r="S583" s="650"/>
      <c r="T583" s="726">
        <f>Fjernvarme!J213</f>
        <v>4.3956493294079156E-3</v>
      </c>
      <c r="U583" s="650"/>
      <c r="V583" s="726">
        <f>Fjernvarme!L213</f>
        <v>4.3956493294079156E-3</v>
      </c>
      <c r="W583" s="650"/>
      <c r="X583" s="604"/>
    </row>
    <row r="584" spans="1:24" x14ac:dyDescent="0.25">
      <c r="A584" s="604" t="s">
        <v>425</v>
      </c>
      <c r="B584" s="650">
        <f>' Plan Energi 2030-S'!W$61/IF(' Plan Energi 2030-S'!$X$61&gt;0,' Plan Energi 2030-S'!$X$61,1)</f>
        <v>6.9567284102060825E-2</v>
      </c>
      <c r="C584" s="650"/>
      <c r="D584" s="650">
        <f>' Plan Energi 2006'!W$61/IF(' Plan Energi 2006'!$X$61&gt;0,' Plan Energi 2006'!$X$61,1)</f>
        <v>3.7608212170508505E-2</v>
      </c>
      <c r="E584" s="650"/>
      <c r="F584" s="650">
        <f>' Plan Energi 2008'!W$61/IF(' Plan Energi 2008'!$X$61&gt;0,' Plan Energi 2008'!$X$61,1)</f>
        <v>5.2611333637489086E-2</v>
      </c>
      <c r="G584" s="650"/>
      <c r="H584" s="650">
        <f>' Plan Energi 2009'!W$61/IF(' Plan Energi 2009'!$X$61&gt;0,' Plan Energi 2009'!$X$61,1)</f>
        <v>4.9696681667290812E-2</v>
      </c>
      <c r="I584" s="650"/>
      <c r="J584" s="650">
        <f>' Plan Energi 2011'!W$61/IF(' Plan Energi 2011'!$X$61&gt;0,' Plan Energi 2011'!$X$61,1)</f>
        <v>5.7191144033874874E-2</v>
      </c>
      <c r="K584" s="650"/>
      <c r="L584" s="650">
        <f>' Plan Energi 2013'!W$61/IF(' Plan Energi 2013'!$X$61&gt;0,' Plan Energi 2013'!$X$61,1)</f>
        <v>5.3709462134266188E-2</v>
      </c>
      <c r="M584" s="650"/>
      <c r="N584" s="650">
        <f>' Plan Energi 2015'!W$61/IF(' Plan Energi 2015'!$X$61&gt;0,' Plan Energi 2015'!$X$61,1)</f>
        <v>7.1081492618489089E-2</v>
      </c>
      <c r="O584" s="650"/>
      <c r="P584" s="650">
        <f>' Plan Energi 2017'!W$61/IF(' Plan Energi 2017'!$X$61&gt;0,' Plan Energi 2017'!$X$61,1)</f>
        <v>6.9586485908045684E-2</v>
      </c>
      <c r="Q584" s="650"/>
      <c r="R584" s="650">
        <f>' Plan Energi 2019'!W$61/IF(' Plan Energi 2019'!$X$61&gt;0,' Plan Energi 2019'!$X$61,1)</f>
        <v>6.9586485908045684E-2</v>
      </c>
      <c r="S584" s="650"/>
      <c r="T584" s="726">
        <f>Fjernvarme!J214</f>
        <v>6.9567284102060825E-2</v>
      </c>
      <c r="U584" s="650"/>
      <c r="V584" s="726">
        <f>Fjernvarme!L214</f>
        <v>6.9567284102060825E-2</v>
      </c>
      <c r="W584" s="650"/>
      <c r="X584" s="604"/>
    </row>
    <row r="585" spans="1:24" x14ac:dyDescent="0.25">
      <c r="A585" s="629" t="s">
        <v>426</v>
      </c>
      <c r="B585" s="650"/>
      <c r="C585" s="650"/>
      <c r="D585" s="650"/>
      <c r="E585" s="650"/>
      <c r="F585" s="650"/>
      <c r="G585" s="650"/>
      <c r="H585" s="650"/>
      <c r="I585" s="650"/>
      <c r="J585" s="650"/>
      <c r="K585" s="650"/>
      <c r="L585" s="650"/>
      <c r="M585" s="650"/>
      <c r="N585" s="650"/>
      <c r="O585" s="650"/>
      <c r="P585" s="650"/>
      <c r="Q585" s="650"/>
      <c r="R585" s="650"/>
      <c r="S585" s="650"/>
      <c r="T585" s="650"/>
      <c r="U585" s="650"/>
      <c r="V585" s="650"/>
      <c r="W585" s="650"/>
      <c r="X585" s="604"/>
    </row>
    <row r="586" spans="1:24" x14ac:dyDescent="0.25">
      <c r="A586" s="604" t="s">
        <v>1</v>
      </c>
      <c r="B586" s="650">
        <f>' Plan Energi 2030-S'!C$63/IF(' Plan Energi 2030-S'!$X$63&gt;0,' Plan Energi 2030-S'!$X$63,1)</f>
        <v>0</v>
      </c>
      <c r="C586" s="650"/>
      <c r="D586" s="650">
        <f>' Plan Energi 2006'!C$63/IF(' Plan Energi 2006'!$X$63&gt;0,' Plan Energi 2006'!$X$63,1)</f>
        <v>0</v>
      </c>
      <c r="E586" s="650"/>
      <c r="F586" s="650">
        <f>' Plan Energi 2008'!C$63/IF(' Plan Energi 2008'!$X$63&gt;0,' Plan Energi 2008'!$X$63,1)</f>
        <v>0</v>
      </c>
      <c r="G586" s="650"/>
      <c r="H586" s="650">
        <f>' Plan Energi 2009'!C$63/IF(' Plan Energi 2009'!$X$63&gt;0,' Plan Energi 2009'!$X$63,1)</f>
        <v>0</v>
      </c>
      <c r="I586" s="650"/>
      <c r="J586" s="650">
        <f>' Plan Energi 2011'!C$63/IF(' Plan Energi 2011'!$X$63&gt;0,' Plan Energi 2011'!$X$63,1)</f>
        <v>0</v>
      </c>
      <c r="K586" s="650"/>
      <c r="L586" s="650">
        <f>' Plan Energi 2013'!C$63/IF(' Plan Energi 2013'!$X$63&gt;0,' Plan Energi 2013'!$X$63,1)</f>
        <v>0</v>
      </c>
      <c r="M586" s="650"/>
      <c r="N586" s="650">
        <f>' Plan Energi 2015'!C$63/IF(' Plan Energi 2015'!$X$63&gt;0,' Plan Energi 2015'!$X$63,1)</f>
        <v>0</v>
      </c>
      <c r="O586" s="650"/>
      <c r="P586" s="650">
        <f>' Plan Energi 2017'!C$63/IF(' Plan Energi 2017'!$X$63&gt;0,' Plan Energi 2017'!$X$63,1)</f>
        <v>0</v>
      </c>
      <c r="Q586" s="650"/>
      <c r="R586" s="650">
        <f>' Plan Energi 2019'!C$63/IF(' Plan Energi 2019'!$X$63&gt;0,' Plan Energi 2019'!$X$63,1)</f>
        <v>0</v>
      </c>
      <c r="S586" s="650"/>
      <c r="T586" s="726">
        <f>Fjernvarme!J216</f>
        <v>0</v>
      </c>
      <c r="U586" s="650"/>
      <c r="V586" s="726">
        <f>Fjernvarme!L216</f>
        <v>0</v>
      </c>
      <c r="W586" s="650"/>
      <c r="X586" s="604"/>
    </row>
    <row r="587" spans="1:24" x14ac:dyDescent="0.25">
      <c r="A587" s="604" t="s">
        <v>7</v>
      </c>
      <c r="B587" s="650">
        <f>' Plan Energi 2030-S'!D$63/IF(' Plan Energi 2030-S'!$X$63&gt;0,' Plan Energi 2030-S'!$X$63,1)</f>
        <v>0</v>
      </c>
      <c r="C587" s="650"/>
      <c r="D587" s="650">
        <f>' Plan Energi 2006'!D$63/IF(' Plan Energi 2006'!$X$63&gt;0,' Plan Energi 2006'!$X$63,1)</f>
        <v>0</v>
      </c>
      <c r="E587" s="650"/>
      <c r="F587" s="650">
        <f>' Plan Energi 2008'!D$63/IF(' Plan Energi 2008'!$X$63&gt;0,' Plan Energi 2008'!$X$63,1)</f>
        <v>0</v>
      </c>
      <c r="G587" s="650"/>
      <c r="H587" s="650">
        <f>' Plan Energi 2009'!D$63/IF(' Plan Energi 2009'!$X$63&gt;0,' Plan Energi 2009'!$X$63,1)</f>
        <v>0</v>
      </c>
      <c r="I587" s="650"/>
      <c r="J587" s="650">
        <f>' Plan Energi 2011'!D$63/IF(' Plan Energi 2011'!$X$63&gt;0,' Plan Energi 2011'!$X$63,1)</f>
        <v>0</v>
      </c>
      <c r="K587" s="650"/>
      <c r="L587" s="650">
        <f>' Plan Energi 2013'!D$63/IF(' Plan Energi 2013'!$X$63&gt;0,' Plan Energi 2013'!$X$63,1)</f>
        <v>0</v>
      </c>
      <c r="M587" s="650"/>
      <c r="N587" s="650">
        <f>' Plan Energi 2015'!D$63/IF(' Plan Energi 2015'!$X$63&gt;0,' Plan Energi 2015'!$X$63,1)</f>
        <v>0</v>
      </c>
      <c r="O587" s="650"/>
      <c r="P587" s="650">
        <f>' Plan Energi 2017'!D$63/IF(' Plan Energi 2017'!$X$63&gt;0,' Plan Energi 2017'!$X$63,1)</f>
        <v>0</v>
      </c>
      <c r="Q587" s="650"/>
      <c r="R587" s="650">
        <f>' Plan Energi 2019'!D$63/IF(' Plan Energi 2019'!$X$63&gt;0,' Plan Energi 2019'!$X$63,1)</f>
        <v>0</v>
      </c>
      <c r="S587" s="650"/>
      <c r="T587" s="726">
        <f>Fjernvarme!J217</f>
        <v>0</v>
      </c>
      <c r="U587" s="650"/>
      <c r="V587" s="726">
        <f>Fjernvarme!L217</f>
        <v>0</v>
      </c>
      <c r="W587" s="650"/>
      <c r="X587" s="604"/>
    </row>
    <row r="588" spans="1:24" x14ac:dyDescent="0.25">
      <c r="A588" s="604" t="s">
        <v>3</v>
      </c>
      <c r="B588" s="650">
        <f>' Plan Energi 2030-S'!I$63/IF(' Plan Energi 2030-S'!$X$63&gt;0,' Plan Energi 2030-S'!$X$63,1)</f>
        <v>0</v>
      </c>
      <c r="C588" s="650"/>
      <c r="D588" s="650">
        <f>' Plan Energi 2006'!I$63/IF(' Plan Energi 2006'!$X$63&gt;0,' Plan Energi 2006'!$X$63,1)</f>
        <v>0</v>
      </c>
      <c r="E588" s="650"/>
      <c r="F588" s="650">
        <f>' Plan Energi 2008'!I$63/IF(' Plan Energi 2008'!$X$63&gt;0,' Plan Energi 2008'!$X$63,1)</f>
        <v>0</v>
      </c>
      <c r="G588" s="650"/>
      <c r="H588" s="650">
        <f>' Plan Energi 2009'!I$63/IF(' Plan Energi 2009'!$X$63&gt;0,' Plan Energi 2009'!$X$63,1)</f>
        <v>0</v>
      </c>
      <c r="I588" s="650"/>
      <c r="J588" s="650">
        <f>' Plan Energi 2011'!I$63/IF(' Plan Energi 2011'!$X$63&gt;0,' Plan Energi 2011'!$X$63,1)</f>
        <v>0</v>
      </c>
      <c r="K588" s="650"/>
      <c r="L588" s="650">
        <f>' Plan Energi 2013'!I$63/IF(' Plan Energi 2013'!$X$63&gt;0,' Plan Energi 2013'!$X$63,1)</f>
        <v>0</v>
      </c>
      <c r="M588" s="650"/>
      <c r="N588" s="650">
        <f>' Plan Energi 2015'!I$63/IF(' Plan Energi 2015'!$X$63&gt;0,' Plan Energi 2015'!$X$63,1)</f>
        <v>0</v>
      </c>
      <c r="O588" s="650"/>
      <c r="P588" s="650">
        <f>' Plan Energi 2017'!I$63/IF(' Plan Energi 2017'!$X$63&gt;0,' Plan Energi 2017'!$X$63,1)</f>
        <v>0</v>
      </c>
      <c r="Q588" s="650"/>
      <c r="R588" s="650">
        <f>' Plan Energi 2019'!I$63/IF(' Plan Energi 2019'!$X$63&gt;0,' Plan Energi 2019'!$X$63,1)</f>
        <v>0</v>
      </c>
      <c r="S588" s="650"/>
      <c r="T588" s="726">
        <f>Fjernvarme!J218</f>
        <v>0</v>
      </c>
      <c r="U588" s="650"/>
      <c r="V588" s="726">
        <f>Fjernvarme!L218</f>
        <v>0</v>
      </c>
      <c r="W588" s="650"/>
      <c r="X588" s="604"/>
    </row>
    <row r="589" spans="1:24" x14ac:dyDescent="0.25">
      <c r="A589" s="604" t="s">
        <v>373</v>
      </c>
      <c r="B589" s="650">
        <f>' Plan Energi 2030-S'!O$63/IF(' Plan Energi 2030-S'!$X$63&gt;0,' Plan Energi 2030-S'!$X$63,1)</f>
        <v>0</v>
      </c>
      <c r="C589" s="650"/>
      <c r="D589" s="650">
        <f>' Plan Energi 2006'!O$63/IF(' Plan Energi 2006'!$X$63&gt;0,' Plan Energi 2006'!$X$63,1)</f>
        <v>0</v>
      </c>
      <c r="E589" s="650"/>
      <c r="F589" s="650">
        <f>' Plan Energi 2008'!O$63/IF(' Plan Energi 2008'!$X$63&gt;0,' Plan Energi 2008'!$X$63,1)</f>
        <v>0</v>
      </c>
      <c r="G589" s="650"/>
      <c r="H589" s="650">
        <f>' Plan Energi 2009'!O$63/IF(' Plan Energi 2009'!$X$63&gt;0,' Plan Energi 2009'!$X$63,1)</f>
        <v>0</v>
      </c>
      <c r="I589" s="650"/>
      <c r="J589" s="650">
        <f>' Plan Energi 2011'!O$63/IF(' Plan Energi 2011'!$X$63&gt;0,' Plan Energi 2011'!$X$63,1)</f>
        <v>0</v>
      </c>
      <c r="K589" s="650"/>
      <c r="L589" s="650">
        <f>' Plan Energi 2013'!O$63/IF(' Plan Energi 2013'!$X$63&gt;0,' Plan Energi 2013'!$X$63,1)</f>
        <v>0</v>
      </c>
      <c r="M589" s="650"/>
      <c r="N589" s="650">
        <f>' Plan Energi 2015'!O$63/IF(' Plan Energi 2015'!$X$63&gt;0,' Plan Energi 2015'!$X$63,1)</f>
        <v>0</v>
      </c>
      <c r="O589" s="650"/>
      <c r="P589" s="650">
        <f>' Plan Energi 2017'!O$63/IF(' Plan Energi 2017'!$X$63&gt;0,' Plan Energi 2017'!$X$63,1)</f>
        <v>0</v>
      </c>
      <c r="Q589" s="650"/>
      <c r="R589" s="650">
        <f>' Plan Energi 2019'!O$63/IF(' Plan Energi 2019'!$X$63&gt;0,' Plan Energi 2019'!$X$63,1)</f>
        <v>0</v>
      </c>
      <c r="S589" s="650"/>
      <c r="T589" s="726">
        <f>Fjernvarme!J219</f>
        <v>0</v>
      </c>
      <c r="U589" s="650"/>
      <c r="V589" s="726">
        <f>Fjernvarme!L219</f>
        <v>0</v>
      </c>
      <c r="W589" s="650"/>
      <c r="X589" s="604"/>
    </row>
    <row r="590" spans="1:24" x14ac:dyDescent="0.25">
      <c r="A590" s="604" t="s">
        <v>374</v>
      </c>
      <c r="B590" s="650">
        <f>' Plan Energi 2030-S'!P$63/IF(' Plan Energi 2030-S'!$X$63&gt;0,' Plan Energi 2030-S'!$X$63,1)</f>
        <v>0</v>
      </c>
      <c r="C590" s="650"/>
      <c r="D590" s="650">
        <f>' Plan Energi 2006'!P$63/IF(' Plan Energi 2006'!$X$63&gt;0,' Plan Energi 2006'!$X$63,1)</f>
        <v>0</v>
      </c>
      <c r="E590" s="650"/>
      <c r="F590" s="650">
        <f>' Plan Energi 2008'!P$63/IF(' Plan Energi 2008'!$X$63&gt;0,' Plan Energi 2008'!$X$63,1)</f>
        <v>0</v>
      </c>
      <c r="G590" s="650"/>
      <c r="H590" s="650">
        <f>' Plan Energi 2009'!P$63/IF(' Plan Energi 2009'!$X$63&gt;0,' Plan Energi 2009'!$X$63,1)</f>
        <v>0</v>
      </c>
      <c r="I590" s="650"/>
      <c r="J590" s="650">
        <f>' Plan Energi 2011'!P$63/IF(' Plan Energi 2011'!$X$63&gt;0,' Plan Energi 2011'!$X$63,1)</f>
        <v>0</v>
      </c>
      <c r="K590" s="650"/>
      <c r="L590" s="650">
        <f>' Plan Energi 2013'!P$63/IF(' Plan Energi 2013'!$X$63&gt;0,' Plan Energi 2013'!$X$63,1)</f>
        <v>0</v>
      </c>
      <c r="M590" s="650"/>
      <c r="N590" s="650">
        <f>' Plan Energi 2015'!P$63/IF(' Plan Energi 2015'!$X$63&gt;0,' Plan Energi 2015'!$X$63,1)</f>
        <v>0</v>
      </c>
      <c r="O590" s="650"/>
      <c r="P590" s="650">
        <f>' Plan Energi 2017'!P$63/IF(' Plan Energi 2017'!$X$63&gt;0,' Plan Energi 2017'!$X$63,1)</f>
        <v>0</v>
      </c>
      <c r="Q590" s="650"/>
      <c r="R590" s="650">
        <f>' Plan Energi 2019'!P$63/IF(' Plan Energi 2019'!$X$63&gt;0,' Plan Energi 2019'!$X$63,1)</f>
        <v>0</v>
      </c>
      <c r="S590" s="650"/>
      <c r="T590" s="726">
        <f>Fjernvarme!J220</f>
        <v>0</v>
      </c>
      <c r="U590" s="650"/>
      <c r="V590" s="726">
        <f>Fjernvarme!L220</f>
        <v>0</v>
      </c>
      <c r="W590" s="650"/>
      <c r="X590" s="604"/>
    </row>
    <row r="591" spans="1:24" x14ac:dyDescent="0.25">
      <c r="A591" s="604" t="s">
        <v>21</v>
      </c>
      <c r="B591" s="650">
        <f>' Plan Energi 2030-S'!Q$63/IF(' Plan Energi 2030-S'!$X$63&gt;0,' Plan Energi 2030-S'!$X$63,1)</f>
        <v>0</v>
      </c>
      <c r="C591" s="650"/>
      <c r="D591" s="650">
        <f>' Plan Energi 2006'!Q$63/IF(' Plan Energi 2006'!$X$63&gt;0,' Plan Energi 2006'!$X$63,1)</f>
        <v>0</v>
      </c>
      <c r="E591" s="650"/>
      <c r="F591" s="650">
        <f>' Plan Energi 2008'!Q$63/IF(' Plan Energi 2008'!$X$63&gt;0,' Plan Energi 2008'!$X$63,1)</f>
        <v>0</v>
      </c>
      <c r="G591" s="650"/>
      <c r="H591" s="650">
        <f>' Plan Energi 2009'!Q$63/IF(' Plan Energi 2009'!$X$63&gt;0,' Plan Energi 2009'!$X$63,1)</f>
        <v>0</v>
      </c>
      <c r="I591" s="650"/>
      <c r="J591" s="650">
        <f>' Plan Energi 2011'!Q$63/IF(' Plan Energi 2011'!$X$63&gt;0,' Plan Energi 2011'!$X$63,1)</f>
        <v>0</v>
      </c>
      <c r="K591" s="650"/>
      <c r="L591" s="650">
        <f>' Plan Energi 2013'!Q$63/IF(' Plan Energi 2013'!$X$63&gt;0,' Plan Energi 2013'!$X$63,1)</f>
        <v>0</v>
      </c>
      <c r="M591" s="650"/>
      <c r="N591" s="650">
        <f>' Plan Energi 2015'!Q$63/IF(' Plan Energi 2015'!$X$63&gt;0,' Plan Energi 2015'!$X$63,1)</f>
        <v>0</v>
      </c>
      <c r="O591" s="650"/>
      <c r="P591" s="650">
        <f>' Plan Energi 2017'!Q$63/IF(' Plan Energi 2017'!$X$63&gt;0,' Plan Energi 2017'!$X$63,1)</f>
        <v>0</v>
      </c>
      <c r="Q591" s="650"/>
      <c r="R591" s="650">
        <f>' Plan Energi 2019'!Q$63/IF(' Plan Energi 2019'!$X$63&gt;0,' Plan Energi 2019'!$X$63,1)</f>
        <v>0</v>
      </c>
      <c r="S591" s="650"/>
      <c r="T591" s="726">
        <f>Fjernvarme!J221</f>
        <v>0</v>
      </c>
      <c r="U591" s="650"/>
      <c r="V591" s="726">
        <f>Fjernvarme!L221</f>
        <v>0</v>
      </c>
      <c r="W591" s="650"/>
      <c r="X591" s="604"/>
    </row>
    <row r="592" spans="1:24" x14ac:dyDescent="0.25">
      <c r="A592" s="604" t="s">
        <v>375</v>
      </c>
      <c r="B592" s="650">
        <f>' Plan Energi 2030-S'!R$63/IF(' Plan Energi 2030-S'!$X$63&gt;0,' Plan Energi 2030-S'!$X$63,1)</f>
        <v>0</v>
      </c>
      <c r="C592" s="650"/>
      <c r="D592" s="650">
        <f>' Plan Energi 2006'!R$63/IF(' Plan Energi 2006'!$X$63&gt;0,' Plan Energi 2006'!$X$63,1)</f>
        <v>0</v>
      </c>
      <c r="E592" s="650"/>
      <c r="F592" s="650">
        <f>' Plan Energi 2008'!R$63/IF(' Plan Energi 2008'!$X$63&gt;0,' Plan Energi 2008'!$X$63,1)</f>
        <v>0</v>
      </c>
      <c r="G592" s="650"/>
      <c r="H592" s="650">
        <f>' Plan Energi 2009'!R$63/IF(' Plan Energi 2009'!$X$63&gt;0,' Plan Energi 2009'!$X$63,1)</f>
        <v>0</v>
      </c>
      <c r="I592" s="650"/>
      <c r="J592" s="650">
        <f>' Plan Energi 2011'!R$63/IF(' Plan Energi 2011'!$X$63&gt;0,' Plan Energi 2011'!$X$63,1)</f>
        <v>0</v>
      </c>
      <c r="K592" s="650"/>
      <c r="L592" s="650">
        <f>' Plan Energi 2013'!R$63/IF(' Plan Energi 2013'!$X$63&gt;0,' Plan Energi 2013'!$X$63,1)</f>
        <v>0</v>
      </c>
      <c r="M592" s="650"/>
      <c r="N592" s="650">
        <f>' Plan Energi 2015'!R$63/IF(' Plan Energi 2015'!$X$63&gt;0,' Plan Energi 2015'!$X$63,1)</f>
        <v>0</v>
      </c>
      <c r="O592" s="650"/>
      <c r="P592" s="650">
        <f>' Plan Energi 2017'!R$63/IF(' Plan Energi 2017'!$X$63&gt;0,' Plan Energi 2017'!$X$63,1)</f>
        <v>0</v>
      </c>
      <c r="Q592" s="650"/>
      <c r="R592" s="650">
        <f>' Plan Energi 2019'!R$63/IF(' Plan Energi 2019'!$X$63&gt;0,' Plan Energi 2019'!$X$63,1)</f>
        <v>0</v>
      </c>
      <c r="S592" s="650"/>
      <c r="T592" s="726">
        <f>Fjernvarme!J222</f>
        <v>0</v>
      </c>
      <c r="U592" s="650"/>
      <c r="V592" s="726">
        <f>Fjernvarme!L222</f>
        <v>0</v>
      </c>
      <c r="W592" s="650"/>
      <c r="X592" s="604"/>
    </row>
    <row r="593" spans="1:24" x14ac:dyDescent="0.25">
      <c r="A593" s="604" t="s">
        <v>23</v>
      </c>
      <c r="B593" s="650">
        <f>' Plan Energi 2030-S'!S$63/IF(' Plan Energi 2030-S'!$X$63&gt;0,' Plan Energi 2030-S'!$X$63,1)</f>
        <v>0</v>
      </c>
      <c r="C593" s="650"/>
      <c r="D593" s="650">
        <f>' Plan Energi 2006'!S$63/IF(' Plan Energi 2006'!$X$63&gt;0,' Plan Energi 2006'!$X$63,1)</f>
        <v>0</v>
      </c>
      <c r="E593" s="650"/>
      <c r="F593" s="650">
        <f>' Plan Energi 2008'!S$63/IF(' Plan Energi 2008'!$X$63&gt;0,' Plan Energi 2008'!$X$63,1)</f>
        <v>0</v>
      </c>
      <c r="G593" s="650"/>
      <c r="H593" s="650">
        <f>' Plan Energi 2009'!S$63/IF(' Plan Energi 2009'!$X$63&gt;0,' Plan Energi 2009'!$X$63,1)</f>
        <v>0</v>
      </c>
      <c r="I593" s="650"/>
      <c r="J593" s="650">
        <f>' Plan Energi 2011'!S$63/IF(' Plan Energi 2011'!$X$63&gt;0,' Plan Energi 2011'!$X$63,1)</f>
        <v>0</v>
      </c>
      <c r="K593" s="650"/>
      <c r="L593" s="650">
        <f>' Plan Energi 2013'!S$63/IF(' Plan Energi 2013'!$X$63&gt;0,' Plan Energi 2013'!$X$63,1)</f>
        <v>0</v>
      </c>
      <c r="M593" s="650"/>
      <c r="N593" s="650">
        <f>' Plan Energi 2015'!S$63/IF(' Plan Energi 2015'!$X$63&gt;0,' Plan Energi 2015'!$X$63,1)</f>
        <v>0</v>
      </c>
      <c r="O593" s="650"/>
      <c r="P593" s="650">
        <f>' Plan Energi 2017'!S$63/IF(' Plan Energi 2017'!$X$63&gt;0,' Plan Energi 2017'!$X$63,1)</f>
        <v>0</v>
      </c>
      <c r="Q593" s="650"/>
      <c r="R593" s="650">
        <f>' Plan Energi 2019'!S$63/IF(' Plan Energi 2019'!$X$63&gt;0,' Plan Energi 2019'!$X$63,1)</f>
        <v>0</v>
      </c>
      <c r="S593" s="650"/>
      <c r="T593" s="726">
        <f>Fjernvarme!J223</f>
        <v>0</v>
      </c>
      <c r="U593" s="650"/>
      <c r="V593" s="726">
        <f>Fjernvarme!L223</f>
        <v>0</v>
      </c>
      <c r="W593" s="650"/>
      <c r="X593" s="604"/>
    </row>
    <row r="594" spans="1:24" x14ac:dyDescent="0.25">
      <c r="A594" s="604" t="s">
        <v>26</v>
      </c>
      <c r="B594" s="650">
        <f>' Plan Energi 2030-S'!V$63/IF(' Plan Energi 2030-S'!$X$63&gt;0,' Plan Energi 2030-S'!$X$63,1)</f>
        <v>0</v>
      </c>
      <c r="C594" s="650"/>
      <c r="D594" s="650">
        <f>' Plan Energi 2006'!V$63/IF(' Plan Energi 2006'!$X$63&gt;0,' Plan Energi 2006'!$X$63,1)</f>
        <v>0</v>
      </c>
      <c r="E594" s="650"/>
      <c r="F594" s="650">
        <f>' Plan Energi 2008'!V$63/IF(' Plan Energi 2008'!$X$63&gt;0,' Plan Energi 2008'!$X$63,1)</f>
        <v>0</v>
      </c>
      <c r="G594" s="650"/>
      <c r="H594" s="650">
        <f>' Plan Energi 2009'!V$63/IF(' Plan Energi 2009'!$X$63&gt;0,' Plan Energi 2009'!$X$63,1)</f>
        <v>0</v>
      </c>
      <c r="I594" s="650"/>
      <c r="J594" s="650">
        <f>' Plan Energi 2011'!V$63/IF(' Plan Energi 2011'!$X$63&gt;0,' Plan Energi 2011'!$X$63,1)</f>
        <v>0</v>
      </c>
      <c r="K594" s="650"/>
      <c r="L594" s="650">
        <f>' Plan Energi 2013'!V$63/IF(' Plan Energi 2013'!$X$63&gt;0,' Plan Energi 2013'!$X$63,1)</f>
        <v>0</v>
      </c>
      <c r="M594" s="650"/>
      <c r="N594" s="650">
        <f>' Plan Energi 2015'!V$63/IF(' Plan Energi 2015'!$X$63&gt;0,' Plan Energi 2015'!$X$63,1)</f>
        <v>0</v>
      </c>
      <c r="O594" s="650"/>
      <c r="P594" s="650">
        <f>' Plan Energi 2017'!V$63/IF(' Plan Energi 2017'!$X$63&gt;0,' Plan Energi 2017'!$X$63,1)</f>
        <v>0</v>
      </c>
      <c r="Q594" s="650"/>
      <c r="R594" s="650">
        <f>' Plan Energi 2019'!V$63/IF(' Plan Energi 2019'!$X$63&gt;0,' Plan Energi 2019'!$X$63,1)</f>
        <v>0</v>
      </c>
      <c r="S594" s="650"/>
      <c r="T594" s="726">
        <f>Fjernvarme!J224</f>
        <v>0</v>
      </c>
      <c r="U594" s="650"/>
      <c r="V594" s="726">
        <f>Fjernvarme!L224</f>
        <v>0</v>
      </c>
      <c r="W594" s="650"/>
      <c r="X594" s="604"/>
    </row>
    <row r="595" spans="1:24" x14ac:dyDescent="0.25">
      <c r="A595" s="629" t="s">
        <v>427</v>
      </c>
      <c r="B595" s="650"/>
      <c r="C595" s="650"/>
      <c r="D595" s="650"/>
      <c r="E595" s="650"/>
      <c r="F595" s="650"/>
      <c r="G595" s="650"/>
      <c r="H595" s="650"/>
      <c r="I595" s="650"/>
      <c r="J595" s="650"/>
      <c r="K595" s="650"/>
      <c r="L595" s="650"/>
      <c r="M595" s="650"/>
      <c r="N595" s="650"/>
      <c r="O595" s="650"/>
      <c r="P595" s="650"/>
      <c r="Q595" s="650"/>
      <c r="R595" s="650"/>
      <c r="S595" s="650"/>
      <c r="T595" s="650"/>
      <c r="U595" s="650"/>
      <c r="V595" s="650"/>
      <c r="W595" s="650"/>
      <c r="X595" s="604"/>
    </row>
    <row r="596" spans="1:24" x14ac:dyDescent="0.25">
      <c r="A596" s="604" t="s">
        <v>7</v>
      </c>
      <c r="B596" s="650">
        <f>' Plan Energi 2030-S'!D$64/IF(' Plan Energi 2030-S'!$X$64&gt;0,' Plan Energi 2030-S'!$X$64,1)</f>
        <v>0</v>
      </c>
      <c r="C596" s="650"/>
      <c r="D596" s="650">
        <f>' Plan Energi 2006'!D$64/IF(' Plan Energi 2006'!$X$64&gt;0,' Plan Energi 2006'!$X$64,1)</f>
        <v>0</v>
      </c>
      <c r="E596" s="650"/>
      <c r="F596" s="650">
        <f>' Plan Energi 2008'!D$64/IF(' Plan Energi 2008'!$X$64&gt;0,' Plan Energi 2008'!$X$64,1)</f>
        <v>0</v>
      </c>
      <c r="G596" s="650"/>
      <c r="H596" s="650">
        <f>' Plan Energi 2009'!D$64/IF(' Plan Energi 2009'!$X$64&gt;0,' Plan Energi 2009'!$X$64,1)</f>
        <v>0</v>
      </c>
      <c r="I596" s="650"/>
      <c r="J596" s="650">
        <f>' Plan Energi 2011'!D$64/IF(' Plan Energi 2011'!$X$64&gt;0,' Plan Energi 2011'!$X$64,1)</f>
        <v>0</v>
      </c>
      <c r="K596" s="650"/>
      <c r="L596" s="650">
        <f>' Plan Energi 2013'!D$64/IF(' Plan Energi 2013'!$X$64&gt;0,' Plan Energi 2013'!$X$64,1)</f>
        <v>0</v>
      </c>
      <c r="M596" s="650"/>
      <c r="N596" s="650">
        <f>' Plan Energi 2015'!D$64/IF(' Plan Energi 2015'!$X$64&gt;0,' Plan Energi 2015'!$X$64,1)</f>
        <v>0</v>
      </c>
      <c r="O596" s="650"/>
      <c r="P596" s="650">
        <f>' Plan Energi 2017'!D$64/IF(' Plan Energi 2017'!$X$64&gt;0,' Plan Energi 2017'!$X$64,1)</f>
        <v>0</v>
      </c>
      <c r="Q596" s="650"/>
      <c r="R596" s="650">
        <f>' Plan Energi 2019'!D$64/IF(' Plan Energi 2019'!$X$64&gt;0,' Plan Energi 2019'!$X$64,1)</f>
        <v>0</v>
      </c>
      <c r="S596" s="650"/>
      <c r="T596" s="726">
        <f>Fjernvarme!J226</f>
        <v>0</v>
      </c>
      <c r="U596" s="650"/>
      <c r="V596" s="726">
        <f>Fjernvarme!L226</f>
        <v>0</v>
      </c>
      <c r="W596" s="650"/>
      <c r="X596" s="604"/>
    </row>
    <row r="597" spans="1:24" x14ac:dyDescent="0.25">
      <c r="A597" s="604" t="s">
        <v>8</v>
      </c>
      <c r="B597" s="650">
        <f>' Plan Energi 2030-S'!E$64/IF(' Plan Energi 2030-S'!$X$64&gt;0,' Plan Energi 2030-S'!$X$64,1)</f>
        <v>0</v>
      </c>
      <c r="C597" s="650"/>
      <c r="D597" s="650">
        <f>' Plan Energi 2006'!E$64/IF(' Plan Energi 2006'!$X$64&gt;0,' Plan Energi 2006'!$X$64,1)</f>
        <v>0</v>
      </c>
      <c r="E597" s="650"/>
      <c r="F597" s="650">
        <f>' Plan Energi 2008'!E$64/IF(' Plan Energi 2008'!$X$64&gt;0,' Plan Energi 2008'!$X$64,1)</f>
        <v>0</v>
      </c>
      <c r="G597" s="650"/>
      <c r="H597" s="650">
        <f>' Plan Energi 2009'!E$64/IF(' Plan Energi 2009'!$X$64&gt;0,' Plan Energi 2009'!$X$64,1)</f>
        <v>0</v>
      </c>
      <c r="I597" s="650"/>
      <c r="J597" s="650">
        <f>' Plan Energi 2011'!E$64/IF(' Plan Energi 2011'!$X$64&gt;0,' Plan Energi 2011'!$X$64,1)</f>
        <v>0</v>
      </c>
      <c r="K597" s="650"/>
      <c r="L597" s="650">
        <f>' Plan Energi 2013'!E$64/IF(' Plan Energi 2013'!$X$64&gt;0,' Plan Energi 2013'!$X$64,1)</f>
        <v>0</v>
      </c>
      <c r="M597" s="650"/>
      <c r="N597" s="650">
        <f>' Plan Energi 2015'!E$64/IF(' Plan Energi 2015'!$X$64&gt;0,' Plan Energi 2015'!$X$64,1)</f>
        <v>0</v>
      </c>
      <c r="O597" s="650"/>
      <c r="P597" s="650">
        <f>' Plan Energi 2017'!E$64/IF(' Plan Energi 2017'!$X$64&gt;0,' Plan Energi 2017'!$X$64,1)</f>
        <v>0</v>
      </c>
      <c r="Q597" s="650"/>
      <c r="R597" s="650">
        <f>' Plan Energi 2019'!E$64/IF(' Plan Energi 2019'!$X$64&gt;0,' Plan Energi 2019'!$X$64,1)</f>
        <v>0</v>
      </c>
      <c r="S597" s="650"/>
      <c r="T597" s="726">
        <f>Fjernvarme!J227</f>
        <v>0</v>
      </c>
      <c r="U597" s="650"/>
      <c r="V597" s="726">
        <f>Fjernvarme!L227</f>
        <v>0</v>
      </c>
      <c r="W597" s="650"/>
      <c r="X597" s="604"/>
    </row>
    <row r="598" spans="1:24" x14ac:dyDescent="0.25">
      <c r="A598" s="604" t="s">
        <v>9</v>
      </c>
      <c r="B598" s="650">
        <f>' Plan Energi 2030-S'!F$64/IF(' Plan Energi 2030-S'!$X$64&gt;0,' Plan Energi 2030-S'!$X$64,1)</f>
        <v>0</v>
      </c>
      <c r="C598" s="650"/>
      <c r="D598" s="650">
        <f>' Plan Energi 2006'!F$64/IF(' Plan Energi 2006'!$X$64&gt;0,' Plan Energi 2006'!$X$64,1)</f>
        <v>0</v>
      </c>
      <c r="E598" s="650"/>
      <c r="F598" s="650">
        <f>' Plan Energi 2008'!F$64/IF(' Plan Energi 2008'!$X$64&gt;0,' Plan Energi 2008'!$X$64,1)</f>
        <v>0</v>
      </c>
      <c r="G598" s="650"/>
      <c r="H598" s="650">
        <f>' Plan Energi 2009'!F$64/IF(' Plan Energi 2009'!$X$64&gt;0,' Plan Energi 2009'!$X$64,1)</f>
        <v>0</v>
      </c>
      <c r="I598" s="650"/>
      <c r="J598" s="650">
        <f>' Plan Energi 2011'!F$64/IF(' Plan Energi 2011'!$X$64&gt;0,' Plan Energi 2011'!$X$64,1)</f>
        <v>0</v>
      </c>
      <c r="K598" s="650"/>
      <c r="L598" s="650">
        <f>' Plan Energi 2013'!F$64/IF(' Plan Energi 2013'!$X$64&gt;0,' Plan Energi 2013'!$X$64,1)</f>
        <v>0</v>
      </c>
      <c r="M598" s="650"/>
      <c r="N598" s="650">
        <f>' Plan Energi 2015'!F$64/IF(' Plan Energi 2015'!$X$64&gt;0,' Plan Energi 2015'!$X$64,1)</f>
        <v>0</v>
      </c>
      <c r="O598" s="650"/>
      <c r="P598" s="650">
        <f>' Plan Energi 2017'!F$64/IF(' Plan Energi 2017'!$X$64&gt;0,' Plan Energi 2017'!$X$64,1)</f>
        <v>0</v>
      </c>
      <c r="Q598" s="650"/>
      <c r="R598" s="650">
        <f>' Plan Energi 2019'!F$64/IF(' Plan Energi 2019'!$X$64&gt;0,' Plan Energi 2019'!$X$64,1)</f>
        <v>0</v>
      </c>
      <c r="S598" s="650"/>
      <c r="T598" s="726">
        <f>Fjernvarme!J228</f>
        <v>0</v>
      </c>
      <c r="U598" s="650"/>
      <c r="V598" s="726">
        <f>Fjernvarme!L228</f>
        <v>0</v>
      </c>
      <c r="W598" s="650"/>
      <c r="X598" s="604"/>
    </row>
    <row r="599" spans="1:24" x14ac:dyDescent="0.25">
      <c r="A599" s="604" t="s">
        <v>11</v>
      </c>
      <c r="B599" s="650">
        <f>' Plan Energi 2030-S'!H$64/IF(' Plan Energi 2030-S'!$X$64&gt;0,' Plan Energi 2030-S'!$X$64,1)</f>
        <v>0</v>
      </c>
      <c r="C599" s="650"/>
      <c r="D599" s="650">
        <f>' Plan Energi 2006'!H$64/IF(' Plan Energi 2006'!$X$64&gt;0,' Plan Energi 2006'!$X$64,1)</f>
        <v>0</v>
      </c>
      <c r="E599" s="650"/>
      <c r="F599" s="650">
        <f>' Plan Energi 2008'!H$64/IF(' Plan Energi 2008'!$X$64&gt;0,' Plan Energi 2008'!$X$64,1)</f>
        <v>0</v>
      </c>
      <c r="G599" s="650"/>
      <c r="H599" s="650">
        <f>' Plan Energi 2009'!H$64/IF(' Plan Energi 2009'!$X$64&gt;0,' Plan Energi 2009'!$X$64,1)</f>
        <v>0</v>
      </c>
      <c r="I599" s="650"/>
      <c r="J599" s="650">
        <f>' Plan Energi 2011'!H$64/IF(' Plan Energi 2011'!$X$64&gt;0,' Plan Energi 2011'!$X$64,1)</f>
        <v>0</v>
      </c>
      <c r="K599" s="650"/>
      <c r="L599" s="650">
        <f>' Plan Energi 2013'!H$64/IF(' Plan Energi 2013'!$X$64&gt;0,' Plan Energi 2013'!$X$64,1)</f>
        <v>0</v>
      </c>
      <c r="M599" s="650"/>
      <c r="N599" s="650">
        <f>' Plan Energi 2015'!H$64/IF(' Plan Energi 2015'!$X$64&gt;0,' Plan Energi 2015'!$X$64,1)</f>
        <v>0</v>
      </c>
      <c r="O599" s="650"/>
      <c r="P599" s="650">
        <f>' Plan Energi 2017'!H$64/IF(' Plan Energi 2017'!$X$64&gt;0,' Plan Energi 2017'!$X$64,1)</f>
        <v>0</v>
      </c>
      <c r="Q599" s="650"/>
      <c r="R599" s="650">
        <f>' Plan Energi 2019'!H$64/IF(' Plan Energi 2019'!$X$64&gt;0,' Plan Energi 2019'!$X$64,1)</f>
        <v>0</v>
      </c>
      <c r="S599" s="650"/>
      <c r="T599" s="726">
        <f>Fjernvarme!J229</f>
        <v>0</v>
      </c>
      <c r="U599" s="650"/>
      <c r="V599" s="726">
        <f>Fjernvarme!L229</f>
        <v>0</v>
      </c>
      <c r="W599" s="650"/>
      <c r="X599" s="604"/>
    </row>
    <row r="600" spans="1:24" x14ac:dyDescent="0.25">
      <c r="A600" s="604" t="s">
        <v>3</v>
      </c>
      <c r="B600" s="650">
        <f>' Plan Energi 2030-S'!I$64/IF(' Plan Energi 2030-S'!$X$64&gt;0,' Plan Energi 2030-S'!$X$64,1)</f>
        <v>0</v>
      </c>
      <c r="C600" s="650"/>
      <c r="D600" s="650">
        <f>' Plan Energi 2006'!I$64/IF(' Plan Energi 2006'!$X$64&gt;0,' Plan Energi 2006'!$X$64,1)</f>
        <v>1</v>
      </c>
      <c r="E600" s="650"/>
      <c r="F600" s="650">
        <f>' Plan Energi 2008'!I$64/IF(' Plan Energi 2008'!$X$64&gt;0,' Plan Energi 2008'!$X$64,1)</f>
        <v>1</v>
      </c>
      <c r="G600" s="650"/>
      <c r="H600" s="650">
        <f>' Plan Energi 2009'!I$64/IF(' Plan Energi 2009'!$X$64&gt;0,' Plan Energi 2009'!$X$64,1)</f>
        <v>1</v>
      </c>
      <c r="I600" s="650"/>
      <c r="J600" s="650">
        <f>' Plan Energi 2011'!I$64/IF(' Plan Energi 2011'!$X$64&gt;0,' Plan Energi 2011'!$X$64,1)</f>
        <v>0</v>
      </c>
      <c r="K600" s="650"/>
      <c r="L600" s="650">
        <f>' Plan Energi 2013'!I$64/IF(' Plan Energi 2013'!$X$64&gt;0,' Plan Energi 2013'!$X$64,1)</f>
        <v>0</v>
      </c>
      <c r="M600" s="650"/>
      <c r="N600" s="650">
        <f>' Plan Energi 2015'!I$64/IF(' Plan Energi 2015'!$X$64&gt;0,' Plan Energi 2015'!$X$64,1)</f>
        <v>0</v>
      </c>
      <c r="O600" s="650"/>
      <c r="P600" s="650">
        <f>' Plan Energi 2017'!I$64/IF(' Plan Energi 2017'!$X$64&gt;0,' Plan Energi 2017'!$X$64,1)</f>
        <v>0</v>
      </c>
      <c r="Q600" s="650"/>
      <c r="R600" s="650">
        <f>' Plan Energi 2019'!I$64/IF(' Plan Energi 2019'!$X$64&gt;0,' Plan Energi 2019'!$X$64,1)</f>
        <v>0</v>
      </c>
      <c r="S600" s="650"/>
      <c r="T600" s="726">
        <f>Fjernvarme!J230</f>
        <v>0</v>
      </c>
      <c r="U600" s="650"/>
      <c r="V600" s="726">
        <f>Fjernvarme!L230</f>
        <v>0</v>
      </c>
      <c r="W600" s="650"/>
      <c r="X600" s="604"/>
    </row>
    <row r="601" spans="1:24" x14ac:dyDescent="0.25">
      <c r="A601" s="604" t="s">
        <v>373</v>
      </c>
      <c r="B601" s="650">
        <f>' Plan Energi 2030-S'!O$64/IF(' Plan Energi 2030-S'!$X$64&gt;0,' Plan Energi 2030-S'!$X$64,1)</f>
        <v>0</v>
      </c>
      <c r="C601" s="650"/>
      <c r="D601" s="650">
        <f>' Plan Energi 2006'!O$64/IF(' Plan Energi 2006'!$X$64&gt;0,' Plan Energi 2006'!$X$64,1)</f>
        <v>0</v>
      </c>
      <c r="E601" s="650"/>
      <c r="F601" s="650">
        <f>' Plan Energi 2008'!O$64/IF(' Plan Energi 2008'!$X$64&gt;0,' Plan Energi 2008'!$X$64,1)</f>
        <v>0</v>
      </c>
      <c r="G601" s="650"/>
      <c r="H601" s="650">
        <f>' Plan Energi 2009'!O$64/IF(' Plan Energi 2009'!$X$64&gt;0,' Plan Energi 2009'!$X$64,1)</f>
        <v>0</v>
      </c>
      <c r="I601" s="650"/>
      <c r="J601" s="650">
        <f>' Plan Energi 2011'!O$64/IF(' Plan Energi 2011'!$X$64&gt;0,' Plan Energi 2011'!$X$64,1)</f>
        <v>0</v>
      </c>
      <c r="K601" s="650"/>
      <c r="L601" s="650">
        <f>' Plan Energi 2013'!O$64/IF(' Plan Energi 2013'!$X$64&gt;0,' Plan Energi 2013'!$X$64,1)</f>
        <v>0</v>
      </c>
      <c r="M601" s="650"/>
      <c r="N601" s="650">
        <f>' Plan Energi 2015'!O$64/IF(' Plan Energi 2015'!$X$64&gt;0,' Plan Energi 2015'!$X$64,1)</f>
        <v>0</v>
      </c>
      <c r="O601" s="650"/>
      <c r="P601" s="650">
        <f>' Plan Energi 2017'!O$64/IF(' Plan Energi 2017'!$X$64&gt;0,' Plan Energi 2017'!$X$64,1)</f>
        <v>0</v>
      </c>
      <c r="Q601" s="650"/>
      <c r="R601" s="650">
        <f>' Plan Energi 2019'!O$64/IF(' Plan Energi 2019'!$X$64&gt;0,' Plan Energi 2019'!$X$64,1)</f>
        <v>0</v>
      </c>
      <c r="S601" s="650"/>
      <c r="T601" s="726">
        <f>Fjernvarme!J231</f>
        <v>0</v>
      </c>
      <c r="U601" s="650"/>
      <c r="V601" s="726">
        <f>Fjernvarme!L231</f>
        <v>0</v>
      </c>
      <c r="W601" s="650"/>
      <c r="X601" s="604"/>
    </row>
    <row r="602" spans="1:24" x14ac:dyDescent="0.25">
      <c r="A602" s="604" t="s">
        <v>374</v>
      </c>
      <c r="B602" s="650">
        <f>' Plan Energi 2030-S'!P$64/IF(' Plan Energi 2030-S'!$X$64&gt;0,' Plan Energi 2030-S'!$X$64,1)</f>
        <v>0</v>
      </c>
      <c r="C602" s="650"/>
      <c r="D602" s="650">
        <f>' Plan Energi 2006'!P$64/IF(' Plan Energi 2006'!$X$64&gt;0,' Plan Energi 2006'!$X$64,1)</f>
        <v>0</v>
      </c>
      <c r="E602" s="650"/>
      <c r="F602" s="650">
        <f>' Plan Energi 2008'!P$64/IF(' Plan Energi 2008'!$X$64&gt;0,' Plan Energi 2008'!$X$64,1)</f>
        <v>0</v>
      </c>
      <c r="G602" s="650"/>
      <c r="H602" s="650">
        <f>' Plan Energi 2009'!P$64/IF(' Plan Energi 2009'!$X$64&gt;0,' Plan Energi 2009'!$X$64,1)</f>
        <v>0</v>
      </c>
      <c r="I602" s="650"/>
      <c r="J602" s="650">
        <f>' Plan Energi 2011'!P$64/IF(' Plan Energi 2011'!$X$64&gt;0,' Plan Energi 2011'!$X$64,1)</f>
        <v>0</v>
      </c>
      <c r="K602" s="650"/>
      <c r="L602" s="650">
        <f>' Plan Energi 2013'!P$64/IF(' Plan Energi 2013'!$X$64&gt;0,' Plan Energi 2013'!$X$64,1)</f>
        <v>0</v>
      </c>
      <c r="M602" s="650"/>
      <c r="N602" s="650">
        <f>' Plan Energi 2015'!P$64/IF(' Plan Energi 2015'!$X$64&gt;0,' Plan Energi 2015'!$X$64,1)</f>
        <v>0</v>
      </c>
      <c r="O602" s="650"/>
      <c r="P602" s="650">
        <f>' Plan Energi 2017'!P$64/IF(' Plan Energi 2017'!$X$64&gt;0,' Plan Energi 2017'!$X$64,1)</f>
        <v>0</v>
      </c>
      <c r="Q602" s="650"/>
      <c r="R602" s="650">
        <f>' Plan Energi 2019'!P$64/IF(' Plan Energi 2019'!$X$64&gt;0,' Plan Energi 2019'!$X$64,1)</f>
        <v>0</v>
      </c>
      <c r="S602" s="650"/>
      <c r="T602" s="726">
        <f>Fjernvarme!J232</f>
        <v>0</v>
      </c>
      <c r="U602" s="650"/>
      <c r="V602" s="726">
        <f>Fjernvarme!L232</f>
        <v>0</v>
      </c>
      <c r="W602" s="650"/>
      <c r="X602" s="604"/>
    </row>
    <row r="603" spans="1:24" x14ac:dyDescent="0.25">
      <c r="A603" s="604" t="s">
        <v>21</v>
      </c>
      <c r="B603" s="650">
        <f>' Plan Energi 2030-S'!Q$64/IF(' Plan Energi 2030-S'!$X$64&gt;0,' Plan Energi 2030-S'!$X$64,1)</f>
        <v>0</v>
      </c>
      <c r="C603" s="650"/>
      <c r="D603" s="650">
        <f>' Plan Energi 2006'!Q$64/IF(' Plan Energi 2006'!$X$64&gt;0,' Plan Energi 2006'!$X$64,1)</f>
        <v>0</v>
      </c>
      <c r="E603" s="650"/>
      <c r="F603" s="650">
        <f>' Plan Energi 2008'!Q$64/IF(' Plan Energi 2008'!$X$64&gt;0,' Plan Energi 2008'!$X$64,1)</f>
        <v>0</v>
      </c>
      <c r="G603" s="650"/>
      <c r="H603" s="650">
        <f>' Plan Energi 2009'!Q$64/IF(' Plan Energi 2009'!$X$64&gt;0,' Plan Energi 2009'!$X$64,1)</f>
        <v>0</v>
      </c>
      <c r="I603" s="650"/>
      <c r="J603" s="650">
        <f>' Plan Energi 2011'!Q$64/IF(' Plan Energi 2011'!$X$64&gt;0,' Plan Energi 2011'!$X$64,1)</f>
        <v>0</v>
      </c>
      <c r="K603" s="650"/>
      <c r="L603" s="650">
        <f>' Plan Energi 2013'!Q$64/IF(' Plan Energi 2013'!$X$64&gt;0,' Plan Energi 2013'!$X$64,1)</f>
        <v>0</v>
      </c>
      <c r="M603" s="650"/>
      <c r="N603" s="650">
        <f>' Plan Energi 2015'!Q$64/IF(' Plan Energi 2015'!$X$64&gt;0,' Plan Energi 2015'!$X$64,1)</f>
        <v>0</v>
      </c>
      <c r="O603" s="650"/>
      <c r="P603" s="650">
        <f>' Plan Energi 2017'!Q$64/IF(' Plan Energi 2017'!$X$64&gt;0,' Plan Energi 2017'!$X$64,1)</f>
        <v>0</v>
      </c>
      <c r="Q603" s="650"/>
      <c r="R603" s="650">
        <f>' Plan Energi 2019'!Q$64/IF(' Plan Energi 2019'!$X$64&gt;0,' Plan Energi 2019'!$X$64,1)</f>
        <v>0</v>
      </c>
      <c r="S603" s="650"/>
      <c r="T603" s="726">
        <f>Fjernvarme!J233</f>
        <v>0</v>
      </c>
      <c r="U603" s="650"/>
      <c r="V603" s="726">
        <f>Fjernvarme!L233</f>
        <v>0</v>
      </c>
      <c r="W603" s="650"/>
      <c r="X603" s="604"/>
    </row>
    <row r="604" spans="1:24" x14ac:dyDescent="0.25">
      <c r="A604" s="604" t="s">
        <v>375</v>
      </c>
      <c r="B604" s="650">
        <f>' Plan Energi 2030-S'!R$64/IF(' Plan Energi 2030-S'!$X$64&gt;0,' Plan Energi 2030-S'!$X$64,1)</f>
        <v>0</v>
      </c>
      <c r="C604" s="650"/>
      <c r="D604" s="650">
        <f>' Plan Energi 2006'!R$64/IF(' Plan Energi 2006'!$X$64&gt;0,' Plan Energi 2006'!$X$64,1)</f>
        <v>0</v>
      </c>
      <c r="E604" s="650"/>
      <c r="F604" s="650">
        <f>' Plan Energi 2008'!R$64/IF(' Plan Energi 2008'!$X$64&gt;0,' Plan Energi 2008'!$X$64,1)</f>
        <v>0</v>
      </c>
      <c r="G604" s="650"/>
      <c r="H604" s="650">
        <f>' Plan Energi 2009'!R$64/IF(' Plan Energi 2009'!$X$64&gt;0,' Plan Energi 2009'!$X$64,1)</f>
        <v>0</v>
      </c>
      <c r="I604" s="650"/>
      <c r="J604" s="650">
        <f>' Plan Energi 2011'!R$64/IF(' Plan Energi 2011'!$X$64&gt;0,' Plan Energi 2011'!$X$64,1)</f>
        <v>0</v>
      </c>
      <c r="K604" s="650"/>
      <c r="L604" s="650">
        <f>' Plan Energi 2013'!R$64/IF(' Plan Energi 2013'!$X$64&gt;0,' Plan Energi 2013'!$X$64,1)</f>
        <v>0</v>
      </c>
      <c r="M604" s="650"/>
      <c r="N604" s="650">
        <f>' Plan Energi 2015'!R$64/IF(' Plan Energi 2015'!$X$64&gt;0,' Plan Energi 2015'!$X$64,1)</f>
        <v>0</v>
      </c>
      <c r="O604" s="650"/>
      <c r="P604" s="650">
        <f>' Plan Energi 2017'!R$64/IF(' Plan Energi 2017'!$X$64&gt;0,' Plan Energi 2017'!$X$64,1)</f>
        <v>0</v>
      </c>
      <c r="Q604" s="650"/>
      <c r="R604" s="650">
        <f>' Plan Energi 2019'!R$64/IF(' Plan Energi 2019'!$X$64&gt;0,' Plan Energi 2019'!$X$64,1)</f>
        <v>0</v>
      </c>
      <c r="S604" s="650"/>
      <c r="T604" s="726">
        <f>Fjernvarme!J234</f>
        <v>0</v>
      </c>
      <c r="U604" s="650"/>
      <c r="V604" s="726">
        <f>Fjernvarme!L234</f>
        <v>0</v>
      </c>
      <c r="W604" s="650"/>
      <c r="X604" s="604"/>
    </row>
    <row r="605" spans="1:24" x14ac:dyDescent="0.25">
      <c r="A605" s="604" t="s">
        <v>23</v>
      </c>
      <c r="B605" s="650">
        <f>' Plan Energi 2030-S'!S$64/IF(' Plan Energi 2030-S'!$X$64&gt;0,' Plan Energi 2030-S'!$X$64,1)</f>
        <v>0</v>
      </c>
      <c r="C605" s="650"/>
      <c r="D605" s="650">
        <f>' Plan Energi 2006'!S$64/IF(' Plan Energi 2006'!$X$64&gt;0,' Plan Energi 2006'!$X$64,1)</f>
        <v>0</v>
      </c>
      <c r="E605" s="650"/>
      <c r="F605" s="650">
        <f>' Plan Energi 2008'!S$64/IF(' Plan Energi 2008'!$X$64&gt;0,' Plan Energi 2008'!$X$64,1)</f>
        <v>0</v>
      </c>
      <c r="G605" s="650"/>
      <c r="H605" s="650">
        <f>' Plan Energi 2009'!S$64/IF(' Plan Energi 2009'!$X$64&gt;0,' Plan Energi 2009'!$X$64,1)</f>
        <v>0</v>
      </c>
      <c r="I605" s="650"/>
      <c r="J605" s="650">
        <f>' Plan Energi 2011'!S$64/IF(' Plan Energi 2011'!$X$64&gt;0,' Plan Energi 2011'!$X$64,1)</f>
        <v>0</v>
      </c>
      <c r="K605" s="650"/>
      <c r="L605" s="650">
        <f>' Plan Energi 2013'!S$64/IF(' Plan Energi 2013'!$X$64&gt;0,' Plan Energi 2013'!$X$64,1)</f>
        <v>0</v>
      </c>
      <c r="M605" s="650"/>
      <c r="N605" s="650">
        <f>' Plan Energi 2015'!S$64/IF(' Plan Energi 2015'!$X$64&gt;0,' Plan Energi 2015'!$X$64,1)</f>
        <v>0</v>
      </c>
      <c r="O605" s="650"/>
      <c r="P605" s="650">
        <f>' Plan Energi 2017'!S$64/IF(' Plan Energi 2017'!$X$64&gt;0,' Plan Energi 2017'!$X$64,1)</f>
        <v>0</v>
      </c>
      <c r="Q605" s="650"/>
      <c r="R605" s="650">
        <f>' Plan Energi 2019'!S$64/IF(' Plan Energi 2019'!$X$64&gt;0,' Plan Energi 2019'!$X$64,1)</f>
        <v>0</v>
      </c>
      <c r="S605" s="650"/>
      <c r="T605" s="726">
        <f>Fjernvarme!J235</f>
        <v>0</v>
      </c>
      <c r="U605" s="650"/>
      <c r="V605" s="726">
        <f>Fjernvarme!L235</f>
        <v>0</v>
      </c>
      <c r="W605" s="650"/>
      <c r="X605" s="604"/>
    </row>
    <row r="606" spans="1:24" x14ac:dyDescent="0.25">
      <c r="A606" s="604" t="s">
        <v>26</v>
      </c>
      <c r="B606" s="650">
        <f>' Plan Energi 2030-S'!V$64/IF(' Plan Energi 2030-S'!$X$64&gt;0,' Plan Energi 2030-S'!$X$64,1)</f>
        <v>0</v>
      </c>
      <c r="C606" s="650"/>
      <c r="D606" s="650">
        <f>' Plan Energi 2006'!V$64/IF(' Plan Energi 2006'!$X$64&gt;0,' Plan Energi 2006'!$X$64,1)</f>
        <v>0</v>
      </c>
      <c r="E606" s="650"/>
      <c r="F606" s="650">
        <f>' Plan Energi 2008'!V$64/IF(' Plan Energi 2008'!$X$64&gt;0,' Plan Energi 2008'!$X$64,1)</f>
        <v>0</v>
      </c>
      <c r="G606" s="650"/>
      <c r="H606" s="650">
        <f>' Plan Energi 2009'!V$64/IF(' Plan Energi 2009'!$X$64&gt;0,' Plan Energi 2009'!$X$64,1)</f>
        <v>0</v>
      </c>
      <c r="I606" s="650"/>
      <c r="J606" s="650">
        <f>' Plan Energi 2011'!V$64/IF(' Plan Energi 2011'!$X$64&gt;0,' Plan Energi 2011'!$X$64,1)</f>
        <v>0</v>
      </c>
      <c r="K606" s="650"/>
      <c r="L606" s="650">
        <f>' Plan Energi 2013'!V$64/IF(' Plan Energi 2013'!$X$64&gt;0,' Plan Energi 2013'!$X$64,1)</f>
        <v>0</v>
      </c>
      <c r="M606" s="650"/>
      <c r="N606" s="650">
        <f>' Plan Energi 2015'!V$64/IF(' Plan Energi 2015'!$X$64&gt;0,' Plan Energi 2015'!$X$64,1)</f>
        <v>0</v>
      </c>
      <c r="O606" s="650"/>
      <c r="P606" s="650">
        <f>' Plan Energi 2017'!V$64/IF(' Plan Energi 2017'!$X$64&gt;0,' Plan Energi 2017'!$X$64,1)</f>
        <v>0</v>
      </c>
      <c r="Q606" s="650"/>
      <c r="R606" s="650">
        <f>' Plan Energi 2019'!V$64/IF(' Plan Energi 2019'!$X$64&gt;0,' Plan Energi 2019'!$X$64,1)</f>
        <v>0</v>
      </c>
      <c r="S606" s="650"/>
      <c r="T606" s="726">
        <f>Fjernvarme!J236</f>
        <v>0</v>
      </c>
      <c r="U606" s="650"/>
      <c r="V606" s="726">
        <f>Fjernvarme!L236</f>
        <v>0</v>
      </c>
      <c r="W606" s="650"/>
      <c r="X606" s="604"/>
    </row>
    <row r="607" spans="1:24" x14ac:dyDescent="0.25">
      <c r="A607" s="629" t="s">
        <v>428</v>
      </c>
      <c r="B607" s="650"/>
      <c r="C607" s="650"/>
      <c r="D607" s="650"/>
      <c r="E607" s="650"/>
      <c r="F607" s="650"/>
      <c r="G607" s="650"/>
      <c r="H607" s="650"/>
      <c r="I607" s="650"/>
      <c r="J607" s="650"/>
      <c r="K607" s="650"/>
      <c r="L607" s="650"/>
      <c r="M607" s="650"/>
      <c r="N607" s="650"/>
      <c r="O607" s="650"/>
      <c r="P607" s="650"/>
      <c r="Q607" s="650"/>
      <c r="R607" s="650"/>
      <c r="S607" s="650"/>
      <c r="T607" s="650"/>
      <c r="U607" s="650"/>
      <c r="V607" s="650"/>
      <c r="W607" s="650"/>
      <c r="X607" s="604"/>
    </row>
    <row r="608" spans="1:24" x14ac:dyDescent="0.25">
      <c r="A608" s="604" t="s">
        <v>3</v>
      </c>
      <c r="B608" s="650">
        <f>' Plan Energi 2030-S'!I$65/IF(' Plan Energi 2030-S'!$X$65&gt;0,' Plan Energi 2030-S'!$X$65,1)</f>
        <v>0</v>
      </c>
      <c r="C608" s="650"/>
      <c r="D608" s="650">
        <f>' Plan Energi 2006'!I$65/IF(' Plan Energi 2006'!$X$65&gt;0,' Plan Energi 2006'!$X$65,1)</f>
        <v>0</v>
      </c>
      <c r="E608" s="650"/>
      <c r="F608" s="650">
        <f>' Plan Energi 2008'!I$65/IF(' Plan Energi 2008'!$X$65&gt;0,' Plan Energi 2008'!$X$65,1)</f>
        <v>0</v>
      </c>
      <c r="G608" s="650"/>
      <c r="H608" s="650">
        <f>' Plan Energi 2009'!I$65/IF(' Plan Energi 2009'!$X$65&gt;0,' Plan Energi 2009'!$X$65,1)</f>
        <v>0</v>
      </c>
      <c r="I608" s="650"/>
      <c r="J608" s="650">
        <f>' Plan Energi 2011'!I$65/IF(' Plan Energi 2011'!$X$65&gt;0,' Plan Energi 2011'!$X$65,1)</f>
        <v>0</v>
      </c>
      <c r="K608" s="650"/>
      <c r="L608" s="650">
        <f>' Plan Energi 2013'!I$65/IF(' Plan Energi 2013'!$X$65&gt;0,' Plan Energi 2013'!$X$65,1)</f>
        <v>0</v>
      </c>
      <c r="M608" s="650"/>
      <c r="N608" s="650">
        <f>' Plan Energi 2015'!I$65/IF(' Plan Energi 2015'!$X$65&gt;0,' Plan Energi 2015'!$X$65,1)</f>
        <v>0</v>
      </c>
      <c r="O608" s="650"/>
      <c r="P608" s="650">
        <f>' Plan Energi 2017'!I$65/IF(' Plan Energi 2017'!$X$65&gt;0,' Plan Energi 2017'!$X$65,1)</f>
        <v>0</v>
      </c>
      <c r="Q608" s="650"/>
      <c r="R608" s="650">
        <f>' Plan Energi 2019'!I$65/IF(' Plan Energi 2019'!$X$65&gt;0,' Plan Energi 2019'!$X$65,1)</f>
        <v>0</v>
      </c>
      <c r="S608" s="650"/>
      <c r="T608" s="726">
        <f>Fjernvarme!J238</f>
        <v>0</v>
      </c>
      <c r="U608" s="650"/>
      <c r="V608" s="726">
        <f>Fjernvarme!L238</f>
        <v>0</v>
      </c>
      <c r="W608" s="650"/>
      <c r="X608" s="604"/>
    </row>
    <row r="609" spans="1:24" x14ac:dyDescent="0.25">
      <c r="A609" s="604" t="s">
        <v>373</v>
      </c>
      <c r="B609" s="650">
        <f>' Plan Energi 2030-S'!O$65/IF(' Plan Energi 2030-S'!$X$65&gt;0,' Plan Energi 2030-S'!$X$65,1)</f>
        <v>0</v>
      </c>
      <c r="C609" s="650"/>
      <c r="D609" s="650">
        <f>' Plan Energi 2006'!O$65/IF(' Plan Energi 2006'!$X$65&gt;0,' Plan Energi 2006'!$X$65,1)</f>
        <v>0</v>
      </c>
      <c r="E609" s="650"/>
      <c r="F609" s="650">
        <f>' Plan Energi 2008'!O$65/IF(' Plan Energi 2008'!$X$65&gt;0,' Plan Energi 2008'!$X$65,1)</f>
        <v>0</v>
      </c>
      <c r="G609" s="650"/>
      <c r="H609" s="650">
        <f>' Plan Energi 2009'!O$65/IF(' Plan Energi 2009'!$X$65&gt;0,' Plan Energi 2009'!$X$65,1)</f>
        <v>0</v>
      </c>
      <c r="I609" s="650"/>
      <c r="J609" s="650">
        <f>' Plan Energi 2011'!O$65/IF(' Plan Energi 2011'!$X$65&gt;0,' Plan Energi 2011'!$X$65,1)</f>
        <v>0</v>
      </c>
      <c r="K609" s="650"/>
      <c r="L609" s="650">
        <f>' Plan Energi 2013'!O$65/IF(' Plan Energi 2013'!$X$65&gt;0,' Plan Energi 2013'!$X$65,1)</f>
        <v>0</v>
      </c>
      <c r="M609" s="650"/>
      <c r="N609" s="650">
        <f>' Plan Energi 2015'!O$65/IF(' Plan Energi 2015'!$X$65&gt;0,' Plan Energi 2015'!$X$65,1)</f>
        <v>0</v>
      </c>
      <c r="O609" s="650"/>
      <c r="P609" s="650">
        <f>' Plan Energi 2017'!O$65/IF(' Plan Energi 2017'!$X$65&gt;0,' Plan Energi 2017'!$X$65,1)</f>
        <v>0</v>
      </c>
      <c r="Q609" s="650"/>
      <c r="R609" s="650">
        <f>' Plan Energi 2019'!O$65/IF(' Plan Energi 2019'!$X$65&gt;0,' Plan Energi 2019'!$X$65,1)</f>
        <v>0</v>
      </c>
      <c r="S609" s="650"/>
      <c r="T609" s="726">
        <f>Fjernvarme!J239</f>
        <v>0</v>
      </c>
      <c r="U609" s="650"/>
      <c r="V609" s="726">
        <f>Fjernvarme!L239</f>
        <v>0</v>
      </c>
      <c r="W609" s="650"/>
      <c r="X609" s="604"/>
    </row>
    <row r="610" spans="1:24" x14ac:dyDescent="0.25">
      <c r="A610" s="604" t="s">
        <v>26</v>
      </c>
      <c r="B610" s="650">
        <f>' Plan Energi 2030-S'!V$65/IF(' Plan Energi 2030-S'!$X$65&gt;0,' Plan Energi 2030-S'!$X$65,1)</f>
        <v>0</v>
      </c>
      <c r="C610" s="650"/>
      <c r="D610" s="650">
        <f>' Plan Energi 2006'!V$65/IF(' Plan Energi 2006'!$X$65&gt;0,' Plan Energi 2006'!$X$65,1)</f>
        <v>0</v>
      </c>
      <c r="E610" s="650"/>
      <c r="F610" s="650">
        <f>' Plan Energi 2008'!V$65/IF(' Plan Energi 2008'!$X$65&gt;0,' Plan Energi 2008'!$X$65,1)</f>
        <v>0</v>
      </c>
      <c r="G610" s="650"/>
      <c r="H610" s="650">
        <f>' Plan Energi 2009'!V$65/IF(' Plan Energi 2009'!$X$65&gt;0,' Plan Energi 2009'!$X$65,1)</f>
        <v>0</v>
      </c>
      <c r="I610" s="650"/>
      <c r="J610" s="650">
        <f>' Plan Energi 2011'!V$65/IF(' Plan Energi 2011'!$X$65&gt;0,' Plan Energi 2011'!$X$65,1)</f>
        <v>0</v>
      </c>
      <c r="K610" s="650"/>
      <c r="L610" s="650">
        <f>' Plan Energi 2013'!V$65/IF(' Plan Energi 2013'!$X$65&gt;0,' Plan Energi 2013'!$X$65,1)</f>
        <v>0</v>
      </c>
      <c r="M610" s="650"/>
      <c r="N610" s="650">
        <f>' Plan Energi 2015'!V$65/IF(' Plan Energi 2015'!$X$65&gt;0,' Plan Energi 2015'!$X$65,1)</f>
        <v>0</v>
      </c>
      <c r="O610" s="650"/>
      <c r="P610" s="650">
        <f>' Plan Energi 2017'!V$65/IF(' Plan Energi 2017'!$X$65&gt;0,' Plan Energi 2017'!$X$65,1)</f>
        <v>0</v>
      </c>
      <c r="Q610" s="650"/>
      <c r="R610" s="650">
        <f>' Plan Energi 2019'!V$65/IF(' Plan Energi 2019'!$X$65&gt;0,' Plan Energi 2019'!$X$65,1)</f>
        <v>0</v>
      </c>
      <c r="S610" s="650"/>
      <c r="T610" s="726">
        <f>Fjernvarme!J240</f>
        <v>0</v>
      </c>
      <c r="U610" s="650"/>
      <c r="V610" s="726">
        <f>Fjernvarme!L240</f>
        <v>0</v>
      </c>
      <c r="W610" s="650"/>
      <c r="X610" s="604"/>
    </row>
    <row r="611" spans="1:24" x14ac:dyDescent="0.25">
      <c r="A611" s="629" t="s">
        <v>429</v>
      </c>
      <c r="B611" s="650"/>
      <c r="C611" s="650"/>
      <c r="D611" s="650"/>
      <c r="E611" s="650"/>
      <c r="F611" s="650"/>
      <c r="G611" s="650"/>
      <c r="H611" s="650"/>
      <c r="I611" s="650"/>
      <c r="J611" s="650"/>
      <c r="K611" s="650"/>
      <c r="L611" s="650"/>
      <c r="M611" s="650"/>
      <c r="N611" s="650"/>
      <c r="O611" s="650"/>
      <c r="P611" s="650"/>
      <c r="Q611" s="650"/>
      <c r="R611" s="650"/>
      <c r="S611" s="650"/>
      <c r="T611" s="650"/>
      <c r="U611" s="650"/>
      <c r="V611" s="650"/>
      <c r="W611" s="650"/>
      <c r="X611" s="604"/>
    </row>
    <row r="612" spans="1:24" x14ac:dyDescent="0.25">
      <c r="A612" s="604" t="s">
        <v>1</v>
      </c>
      <c r="B612" s="650">
        <f>' Plan Energi 2030-S'!C$66/IF(' Plan Energi 2030-S'!$X$66&gt;0,' Plan Energi 2030-S'!$X$66,1)</f>
        <v>0</v>
      </c>
      <c r="C612" s="650"/>
      <c r="D612" s="650">
        <f>' Plan Energi 2006'!C$66/IF(' Plan Energi 2006'!$X$66&gt;0,' Plan Energi 2006'!$X$66,1)</f>
        <v>0</v>
      </c>
      <c r="E612" s="650"/>
      <c r="F612" s="650">
        <f>' Plan Energi 2008'!C$66/IF(' Plan Energi 2008'!$X$66&gt;0,' Plan Energi 2008'!$X$66,1)</f>
        <v>0</v>
      </c>
      <c r="G612" s="650"/>
      <c r="H612" s="650">
        <f>' Plan Energi 2009'!C$66/IF(' Plan Energi 2009'!$X$66&gt;0,' Plan Energi 2009'!$X$66,1)</f>
        <v>0</v>
      </c>
      <c r="I612" s="650"/>
      <c r="J612" s="650">
        <f>' Plan Energi 2011'!C$66/IF(' Plan Energi 2011'!$X$66&gt;0,' Plan Energi 2011'!$X$66,1)</f>
        <v>0</v>
      </c>
      <c r="K612" s="650"/>
      <c r="L612" s="650">
        <f>' Plan Energi 2013'!C$66/IF(' Plan Energi 2013'!$X$66&gt;0,' Plan Energi 2013'!$X$66,1)</f>
        <v>0</v>
      </c>
      <c r="M612" s="650"/>
      <c r="N612" s="650">
        <f>' Plan Energi 2015'!C$66/IF(' Plan Energi 2015'!$X$66&gt;0,' Plan Energi 2015'!$X$66,1)</f>
        <v>0</v>
      </c>
      <c r="O612" s="650"/>
      <c r="P612" s="650">
        <f>' Plan Energi 2017'!C$66/IF(' Plan Energi 2017'!$X$66&gt;0,' Plan Energi 2017'!$X$66,1)</f>
        <v>0</v>
      </c>
      <c r="Q612" s="650"/>
      <c r="R612" s="650">
        <f>' Plan Energi 2019'!C$66/IF(' Plan Energi 2019'!$X$66&gt;0,' Plan Energi 2019'!$X$66,1)</f>
        <v>0</v>
      </c>
      <c r="S612" s="650"/>
      <c r="T612" s="726">
        <f>Fjernvarme!J242</f>
        <v>0</v>
      </c>
      <c r="U612" s="650"/>
      <c r="V612" s="726">
        <f>Fjernvarme!L242</f>
        <v>0</v>
      </c>
      <c r="W612" s="650"/>
      <c r="X612" s="604"/>
    </row>
    <row r="613" spans="1:24" x14ac:dyDescent="0.25">
      <c r="A613" s="604" t="s">
        <v>7</v>
      </c>
      <c r="B613" s="650">
        <f>' Plan Energi 2030-S'!D$66/IF(' Plan Energi 2030-S'!$X$66&gt;0,' Plan Energi 2030-S'!$X$66,1)</f>
        <v>0</v>
      </c>
      <c r="C613" s="650"/>
      <c r="D613" s="650">
        <f>' Plan Energi 2006'!D$66/IF(' Plan Energi 2006'!$X$66&gt;0,' Plan Energi 2006'!$X$66,1)</f>
        <v>0</v>
      </c>
      <c r="E613" s="650"/>
      <c r="F613" s="650">
        <f>' Plan Energi 2008'!D$66/IF(' Plan Energi 2008'!$X$66&gt;0,' Plan Energi 2008'!$X$66,1)</f>
        <v>0</v>
      </c>
      <c r="G613" s="650"/>
      <c r="H613" s="650">
        <f>' Plan Energi 2009'!D$66/IF(' Plan Energi 2009'!$X$66&gt;0,' Plan Energi 2009'!$X$66,1)</f>
        <v>0</v>
      </c>
      <c r="I613" s="650"/>
      <c r="J613" s="650">
        <f>' Plan Energi 2011'!D$66/IF(' Plan Energi 2011'!$X$66&gt;0,' Plan Energi 2011'!$X$66,1)</f>
        <v>0</v>
      </c>
      <c r="K613" s="650"/>
      <c r="L613" s="650">
        <f>' Plan Energi 2013'!D$66/IF(' Plan Energi 2013'!$X$66&gt;0,' Plan Energi 2013'!$X$66,1)</f>
        <v>0</v>
      </c>
      <c r="M613" s="650"/>
      <c r="N613" s="650">
        <f>' Plan Energi 2015'!D$66/IF(' Plan Energi 2015'!$X$66&gt;0,' Plan Energi 2015'!$X$66,1)</f>
        <v>0</v>
      </c>
      <c r="O613" s="650"/>
      <c r="P613" s="650">
        <f>' Plan Energi 2017'!D$66/IF(' Plan Energi 2017'!$X$66&gt;0,' Plan Energi 2017'!$X$66,1)</f>
        <v>0</v>
      </c>
      <c r="Q613" s="650"/>
      <c r="R613" s="650">
        <f>' Plan Energi 2019'!D$66/IF(' Plan Energi 2019'!$X$66&gt;0,' Plan Energi 2019'!$X$66,1)</f>
        <v>0</v>
      </c>
      <c r="S613" s="650"/>
      <c r="T613" s="726">
        <f>Fjernvarme!J243</f>
        <v>0</v>
      </c>
      <c r="U613" s="650"/>
      <c r="V613" s="726">
        <f>Fjernvarme!L243</f>
        <v>0</v>
      </c>
      <c r="W613" s="650"/>
      <c r="X613" s="604"/>
    </row>
    <row r="614" spans="1:24" x14ac:dyDescent="0.25">
      <c r="A614" s="604" t="s">
        <v>3</v>
      </c>
      <c r="B614" s="650">
        <f>' Plan Energi 2030-S'!I$66/IF(' Plan Energi 2030-S'!$X$66&gt;0,' Plan Energi 2030-S'!$X$66,1)</f>
        <v>0</v>
      </c>
      <c r="C614" s="650"/>
      <c r="D614" s="650">
        <f>' Plan Energi 2006'!I$66/IF(' Plan Energi 2006'!$X$66&gt;0,' Plan Energi 2006'!$X$66,1)</f>
        <v>0</v>
      </c>
      <c r="E614" s="650"/>
      <c r="F614" s="650">
        <f>' Plan Energi 2008'!I$66/IF(' Plan Energi 2008'!$X$66&gt;0,' Plan Energi 2008'!$X$66,1)</f>
        <v>0</v>
      </c>
      <c r="G614" s="650"/>
      <c r="H614" s="650">
        <f>' Plan Energi 2009'!I$66/IF(' Plan Energi 2009'!$X$66&gt;0,' Plan Energi 2009'!$X$66,1)</f>
        <v>0</v>
      </c>
      <c r="I614" s="650"/>
      <c r="J614" s="650">
        <f>' Plan Energi 2011'!I$66/IF(' Plan Energi 2011'!$X$66&gt;0,' Plan Energi 2011'!$X$66,1)</f>
        <v>0</v>
      </c>
      <c r="K614" s="650"/>
      <c r="L614" s="650">
        <f>' Plan Energi 2013'!I$66/IF(' Plan Energi 2013'!$X$66&gt;0,' Plan Energi 2013'!$X$66,1)</f>
        <v>0</v>
      </c>
      <c r="M614" s="650"/>
      <c r="N614" s="650">
        <f>' Plan Energi 2015'!I$66/IF(' Plan Energi 2015'!$X$66&gt;0,' Plan Energi 2015'!$X$66,1)</f>
        <v>0</v>
      </c>
      <c r="O614" s="650"/>
      <c r="P614" s="650">
        <f>' Plan Energi 2017'!I$66/IF(' Plan Energi 2017'!$X$66&gt;0,' Plan Energi 2017'!$X$66,1)</f>
        <v>0</v>
      </c>
      <c r="Q614" s="650"/>
      <c r="R614" s="650">
        <f>' Plan Energi 2019'!I$66/IF(' Plan Energi 2019'!$X$66&gt;0,' Plan Energi 2019'!$X$66,1)</f>
        <v>0</v>
      </c>
      <c r="S614" s="650"/>
      <c r="T614" s="726">
        <f>Fjernvarme!J244</f>
        <v>0</v>
      </c>
      <c r="U614" s="650"/>
      <c r="V614" s="726">
        <f>Fjernvarme!L244</f>
        <v>0</v>
      </c>
      <c r="W614" s="650"/>
      <c r="X614" s="604"/>
    </row>
    <row r="615" spans="1:24" x14ac:dyDescent="0.25">
      <c r="A615" s="604" t="s">
        <v>373</v>
      </c>
      <c r="B615" s="650">
        <f>' Plan Energi 2030-S'!O$66/IF(' Plan Energi 2030-S'!$X$66&gt;0,' Plan Energi 2030-S'!$X$66,1)</f>
        <v>0</v>
      </c>
      <c r="C615" s="650"/>
      <c r="D615" s="650">
        <f>' Plan Energi 2006'!O$66/IF(' Plan Energi 2006'!$X$66&gt;0,' Plan Energi 2006'!$X$66,1)</f>
        <v>0</v>
      </c>
      <c r="E615" s="650"/>
      <c r="F615" s="650">
        <f>' Plan Energi 2008'!O$66/IF(' Plan Energi 2008'!$X$66&gt;0,' Plan Energi 2008'!$X$66,1)</f>
        <v>0</v>
      </c>
      <c r="G615" s="650"/>
      <c r="H615" s="650">
        <f>' Plan Energi 2009'!O$66/IF(' Plan Energi 2009'!$X$66&gt;0,' Plan Energi 2009'!$X$66,1)</f>
        <v>0</v>
      </c>
      <c r="I615" s="650"/>
      <c r="J615" s="650">
        <f>' Plan Energi 2011'!O$66/IF(' Plan Energi 2011'!$X$66&gt;0,' Plan Energi 2011'!$X$66,1)</f>
        <v>0</v>
      </c>
      <c r="K615" s="650"/>
      <c r="L615" s="650">
        <f>' Plan Energi 2013'!O$66/IF(' Plan Energi 2013'!$X$66&gt;0,' Plan Energi 2013'!$X$66,1)</f>
        <v>0</v>
      </c>
      <c r="M615" s="650"/>
      <c r="N615" s="650">
        <f>' Plan Energi 2015'!O$66/IF(' Plan Energi 2015'!$X$66&gt;0,' Plan Energi 2015'!$X$66,1)</f>
        <v>0</v>
      </c>
      <c r="O615" s="650"/>
      <c r="P615" s="650">
        <f>' Plan Energi 2017'!O$66/IF(' Plan Energi 2017'!$X$66&gt;0,' Plan Energi 2017'!$X$66,1)</f>
        <v>0</v>
      </c>
      <c r="Q615" s="650"/>
      <c r="R615" s="650">
        <f>' Plan Energi 2019'!O$66/IF(' Plan Energi 2019'!$X$66&gt;0,' Plan Energi 2019'!$X$66,1)</f>
        <v>0</v>
      </c>
      <c r="S615" s="650"/>
      <c r="T615" s="726">
        <f>Fjernvarme!J245</f>
        <v>0</v>
      </c>
      <c r="U615" s="650"/>
      <c r="V615" s="726">
        <f>Fjernvarme!L245</f>
        <v>0</v>
      </c>
      <c r="W615" s="650"/>
      <c r="X615" s="604"/>
    </row>
    <row r="616" spans="1:24" x14ac:dyDescent="0.25">
      <c r="A616" s="604" t="s">
        <v>374</v>
      </c>
      <c r="B616" s="650">
        <f>' Plan Energi 2030-S'!P$66/IF(' Plan Energi 2030-S'!$X$66&gt;0,' Plan Energi 2030-S'!$X$66,1)</f>
        <v>0</v>
      </c>
      <c r="C616" s="650"/>
      <c r="D616" s="650">
        <f>' Plan Energi 2006'!P$66/IF(' Plan Energi 2006'!$X$66&gt;0,' Plan Energi 2006'!$X$66,1)</f>
        <v>0</v>
      </c>
      <c r="E616" s="650"/>
      <c r="F616" s="650">
        <f>' Plan Energi 2008'!P$66/IF(' Plan Energi 2008'!$X$66&gt;0,' Plan Energi 2008'!$X$66,1)</f>
        <v>0</v>
      </c>
      <c r="G616" s="650"/>
      <c r="H616" s="650">
        <f>' Plan Energi 2009'!P$66/IF(' Plan Energi 2009'!$X$66&gt;0,' Plan Energi 2009'!$X$66,1)</f>
        <v>0</v>
      </c>
      <c r="I616" s="650"/>
      <c r="J616" s="650">
        <f>' Plan Energi 2011'!P$66/IF(' Plan Energi 2011'!$X$66&gt;0,' Plan Energi 2011'!$X$66,1)</f>
        <v>0</v>
      </c>
      <c r="K616" s="650"/>
      <c r="L616" s="650">
        <f>' Plan Energi 2013'!P$66/IF(' Plan Energi 2013'!$X$66&gt;0,' Plan Energi 2013'!$X$66,1)</f>
        <v>0</v>
      </c>
      <c r="M616" s="650"/>
      <c r="N616" s="650">
        <f>' Plan Energi 2015'!P$66/IF(' Plan Energi 2015'!$X$66&gt;0,' Plan Energi 2015'!$X$66,1)</f>
        <v>0</v>
      </c>
      <c r="O616" s="650"/>
      <c r="P616" s="650">
        <f>' Plan Energi 2017'!P$66/IF(' Plan Energi 2017'!$X$66&gt;0,' Plan Energi 2017'!$X$66,1)</f>
        <v>0</v>
      </c>
      <c r="Q616" s="650"/>
      <c r="R616" s="650">
        <f>' Plan Energi 2019'!P$66/IF(' Plan Energi 2019'!$X$66&gt;0,' Plan Energi 2019'!$X$66,1)</f>
        <v>0</v>
      </c>
      <c r="S616" s="650"/>
      <c r="T616" s="726">
        <f>Fjernvarme!J246</f>
        <v>0</v>
      </c>
      <c r="U616" s="650"/>
      <c r="V616" s="726">
        <f>Fjernvarme!L246</f>
        <v>0</v>
      </c>
      <c r="W616" s="650"/>
      <c r="X616" s="604"/>
    </row>
    <row r="617" spans="1:24" x14ac:dyDescent="0.25">
      <c r="A617" s="604" t="s">
        <v>21</v>
      </c>
      <c r="B617" s="650">
        <f>' Plan Energi 2030-S'!Q$66/IF(' Plan Energi 2030-S'!$X$66&gt;0,' Plan Energi 2030-S'!$X$66,1)</f>
        <v>0</v>
      </c>
      <c r="C617" s="650"/>
      <c r="D617" s="650">
        <f>' Plan Energi 2006'!Q$66/IF(' Plan Energi 2006'!$X$66&gt;0,' Plan Energi 2006'!$X$66,1)</f>
        <v>0</v>
      </c>
      <c r="E617" s="650"/>
      <c r="F617" s="650">
        <f>' Plan Energi 2008'!Q$66/IF(' Plan Energi 2008'!$X$66&gt;0,' Plan Energi 2008'!$X$66,1)</f>
        <v>0</v>
      </c>
      <c r="G617" s="650"/>
      <c r="H617" s="650">
        <f>' Plan Energi 2009'!Q$66/IF(' Plan Energi 2009'!$X$66&gt;0,' Plan Energi 2009'!$X$66,1)</f>
        <v>0</v>
      </c>
      <c r="I617" s="650"/>
      <c r="J617" s="650">
        <f>' Plan Energi 2011'!Q$66/IF(' Plan Energi 2011'!$X$66&gt;0,' Plan Energi 2011'!$X$66,1)</f>
        <v>0</v>
      </c>
      <c r="K617" s="650"/>
      <c r="L617" s="650">
        <f>' Plan Energi 2013'!Q$66/IF(' Plan Energi 2013'!$X$66&gt;0,' Plan Energi 2013'!$X$66,1)</f>
        <v>0</v>
      </c>
      <c r="M617" s="650"/>
      <c r="N617" s="650">
        <f>' Plan Energi 2015'!Q$66/IF(' Plan Energi 2015'!$X$66&gt;0,' Plan Energi 2015'!$X$66,1)</f>
        <v>0</v>
      </c>
      <c r="O617" s="650"/>
      <c r="P617" s="650">
        <f>' Plan Energi 2017'!Q$66/IF(' Plan Energi 2017'!$X$66&gt;0,' Plan Energi 2017'!$X$66,1)</f>
        <v>0</v>
      </c>
      <c r="Q617" s="650"/>
      <c r="R617" s="650">
        <f>' Plan Energi 2019'!Q$66/IF(' Plan Energi 2019'!$X$66&gt;0,' Plan Energi 2019'!$X$66,1)</f>
        <v>0</v>
      </c>
      <c r="S617" s="650"/>
      <c r="T617" s="726">
        <f>Fjernvarme!J247</f>
        <v>0</v>
      </c>
      <c r="U617" s="650"/>
      <c r="V617" s="726">
        <f>Fjernvarme!L247</f>
        <v>0</v>
      </c>
      <c r="W617" s="650"/>
      <c r="X617" s="604"/>
    </row>
    <row r="618" spans="1:24" x14ac:dyDescent="0.25">
      <c r="A618" s="604" t="s">
        <v>375</v>
      </c>
      <c r="B618" s="650">
        <f>' Plan Energi 2030-S'!R$66/IF(' Plan Energi 2030-S'!$X$66&gt;0,' Plan Energi 2030-S'!$X$66,1)</f>
        <v>0</v>
      </c>
      <c r="C618" s="650"/>
      <c r="D618" s="650">
        <f>' Plan Energi 2006'!R$66/IF(' Plan Energi 2006'!$X$66&gt;0,' Plan Energi 2006'!$X$66,1)</f>
        <v>0</v>
      </c>
      <c r="E618" s="650"/>
      <c r="F618" s="650">
        <f>' Plan Energi 2008'!R$66/IF(' Plan Energi 2008'!$X$66&gt;0,' Plan Energi 2008'!$X$66,1)</f>
        <v>0</v>
      </c>
      <c r="G618" s="650"/>
      <c r="H618" s="650">
        <f>' Plan Energi 2009'!R$66/IF(' Plan Energi 2009'!$X$66&gt;0,' Plan Energi 2009'!$X$66,1)</f>
        <v>0</v>
      </c>
      <c r="I618" s="650"/>
      <c r="J618" s="650">
        <f>' Plan Energi 2011'!R$66/IF(' Plan Energi 2011'!$X$66&gt;0,' Plan Energi 2011'!$X$66,1)</f>
        <v>0</v>
      </c>
      <c r="K618" s="650"/>
      <c r="L618" s="650">
        <f>' Plan Energi 2013'!R$66/IF(' Plan Energi 2013'!$X$66&gt;0,' Plan Energi 2013'!$X$66,1)</f>
        <v>0</v>
      </c>
      <c r="M618" s="650"/>
      <c r="N618" s="650">
        <f>' Plan Energi 2015'!R$66/IF(' Plan Energi 2015'!$X$66&gt;0,' Plan Energi 2015'!$X$66,1)</f>
        <v>0</v>
      </c>
      <c r="O618" s="650"/>
      <c r="P618" s="650">
        <f>' Plan Energi 2017'!R$66/IF(' Plan Energi 2017'!$X$66&gt;0,' Plan Energi 2017'!$X$66,1)</f>
        <v>0</v>
      </c>
      <c r="Q618" s="650"/>
      <c r="R618" s="650">
        <f>' Plan Energi 2019'!R$66/IF(' Plan Energi 2019'!$X$66&gt;0,' Plan Energi 2019'!$X$66,1)</f>
        <v>0</v>
      </c>
      <c r="S618" s="650"/>
      <c r="T618" s="726">
        <f>Fjernvarme!J248</f>
        <v>0</v>
      </c>
      <c r="U618" s="650"/>
      <c r="V618" s="726">
        <f>Fjernvarme!L248</f>
        <v>0</v>
      </c>
      <c r="W618" s="650"/>
      <c r="X618" s="604"/>
    </row>
    <row r="619" spans="1:24" x14ac:dyDescent="0.25">
      <c r="A619" s="604" t="s">
        <v>23</v>
      </c>
      <c r="B619" s="650">
        <f>' Plan Energi 2030-S'!S$66/IF(' Plan Energi 2030-S'!$X$66&gt;0,' Plan Energi 2030-S'!$X$66,1)</f>
        <v>0</v>
      </c>
      <c r="C619" s="650"/>
      <c r="D619" s="650">
        <f>' Plan Energi 2006'!S$66/IF(' Plan Energi 2006'!$X$66&gt;0,' Plan Energi 2006'!$X$66,1)</f>
        <v>0</v>
      </c>
      <c r="E619" s="650"/>
      <c r="F619" s="650">
        <f>' Plan Energi 2008'!S$66/IF(' Plan Energi 2008'!$X$66&gt;0,' Plan Energi 2008'!$X$66,1)</f>
        <v>0</v>
      </c>
      <c r="G619" s="650"/>
      <c r="H619" s="650">
        <f>' Plan Energi 2009'!S$66/IF(' Plan Energi 2009'!$X$66&gt;0,' Plan Energi 2009'!$X$66,1)</f>
        <v>0</v>
      </c>
      <c r="I619" s="650"/>
      <c r="J619" s="650">
        <f>' Plan Energi 2011'!S$66/IF(' Plan Energi 2011'!$X$66&gt;0,' Plan Energi 2011'!$X$66,1)</f>
        <v>0</v>
      </c>
      <c r="K619" s="650"/>
      <c r="L619" s="650">
        <f>' Plan Energi 2013'!S$66/IF(' Plan Energi 2013'!$X$66&gt;0,' Plan Energi 2013'!$X$66,1)</f>
        <v>0</v>
      </c>
      <c r="M619" s="650"/>
      <c r="N619" s="650">
        <f>' Plan Energi 2015'!S$66/IF(' Plan Energi 2015'!$X$66&gt;0,' Plan Energi 2015'!$X$66,1)</f>
        <v>0</v>
      </c>
      <c r="O619" s="650"/>
      <c r="P619" s="650">
        <f>' Plan Energi 2017'!S$66/IF(' Plan Energi 2017'!$X$66&gt;0,' Plan Energi 2017'!$X$66,1)</f>
        <v>0</v>
      </c>
      <c r="Q619" s="650"/>
      <c r="R619" s="650">
        <f>' Plan Energi 2019'!S$66/IF(' Plan Energi 2019'!$X$66&gt;0,' Plan Energi 2019'!$X$66,1)</f>
        <v>0</v>
      </c>
      <c r="S619" s="650"/>
      <c r="T619" s="726">
        <f>Fjernvarme!J249</f>
        <v>0</v>
      </c>
      <c r="U619" s="650"/>
      <c r="V619" s="726">
        <f>Fjernvarme!L249</f>
        <v>0</v>
      </c>
      <c r="W619" s="650"/>
      <c r="X619" s="604"/>
    </row>
    <row r="620" spans="1:24" x14ac:dyDescent="0.25">
      <c r="A620" s="604" t="s">
        <v>26</v>
      </c>
      <c r="B620" s="650">
        <f>' Plan Energi 2030-S'!V$66/IF(' Plan Energi 2030-S'!$X$66&gt;0,' Plan Energi 2030-S'!$X$66,1)</f>
        <v>0</v>
      </c>
      <c r="C620" s="650"/>
      <c r="D620" s="650">
        <f>' Plan Energi 2006'!V$66/IF(' Plan Energi 2006'!$X$66&gt;0,' Plan Energi 2006'!$X$66,1)</f>
        <v>0</v>
      </c>
      <c r="E620" s="650"/>
      <c r="F620" s="650">
        <f>' Plan Energi 2008'!V$66/IF(' Plan Energi 2008'!$X$66&gt;0,' Plan Energi 2008'!$X$66,1)</f>
        <v>0</v>
      </c>
      <c r="G620" s="650"/>
      <c r="H620" s="650">
        <f>' Plan Energi 2009'!V$66/IF(' Plan Energi 2009'!$X$66&gt;0,' Plan Energi 2009'!$X$66,1)</f>
        <v>0</v>
      </c>
      <c r="I620" s="650"/>
      <c r="J620" s="650">
        <f>' Plan Energi 2011'!V$66/IF(' Plan Energi 2011'!$X$66&gt;0,' Plan Energi 2011'!$X$66,1)</f>
        <v>0</v>
      </c>
      <c r="K620" s="650"/>
      <c r="L620" s="650">
        <f>' Plan Energi 2013'!V$66/IF(' Plan Energi 2013'!$X$66&gt;0,' Plan Energi 2013'!$X$66,1)</f>
        <v>0</v>
      </c>
      <c r="M620" s="650"/>
      <c r="N620" s="650">
        <f>' Plan Energi 2015'!V$66/IF(' Plan Energi 2015'!$X$66&gt;0,' Plan Energi 2015'!$X$66,1)</f>
        <v>0</v>
      </c>
      <c r="O620" s="650"/>
      <c r="P620" s="650">
        <f>' Plan Energi 2017'!V$66/IF(' Plan Energi 2017'!$X$66&gt;0,' Plan Energi 2017'!$X$66,1)</f>
        <v>0</v>
      </c>
      <c r="Q620" s="650"/>
      <c r="R620" s="650">
        <f>' Plan Energi 2019'!V$66/IF(' Plan Energi 2019'!$X$66&gt;0,' Plan Energi 2019'!$X$66,1)</f>
        <v>0</v>
      </c>
      <c r="S620" s="650"/>
      <c r="T620" s="726">
        <f>Fjernvarme!J250</f>
        <v>0</v>
      </c>
      <c r="U620" s="650"/>
      <c r="V620" s="726">
        <f>Fjernvarme!L250</f>
        <v>0</v>
      </c>
      <c r="W620" s="650"/>
      <c r="X620" s="604"/>
    </row>
    <row r="621" spans="1:24" x14ac:dyDescent="0.25">
      <c r="A621" s="629" t="s">
        <v>430</v>
      </c>
      <c r="B621" s="650"/>
      <c r="C621" s="650"/>
      <c r="D621" s="650"/>
      <c r="E621" s="650"/>
      <c r="F621" s="650"/>
      <c r="G621" s="650"/>
      <c r="H621" s="650"/>
      <c r="I621" s="650"/>
      <c r="J621" s="650"/>
      <c r="K621" s="650"/>
      <c r="L621" s="650"/>
      <c r="M621" s="650"/>
      <c r="N621" s="650"/>
      <c r="O621" s="650"/>
      <c r="P621" s="650"/>
      <c r="Q621" s="650"/>
      <c r="R621" s="650"/>
      <c r="S621" s="650"/>
      <c r="T621" s="650"/>
      <c r="U621" s="650"/>
      <c r="V621" s="650"/>
      <c r="W621" s="650"/>
      <c r="X621" s="604"/>
    </row>
    <row r="622" spans="1:24" x14ac:dyDescent="0.25">
      <c r="A622" s="604" t="s">
        <v>1</v>
      </c>
      <c r="B622" s="650">
        <f>' Plan Energi 2030-S'!C$67/IF(' Plan Energi 2030-S'!$X$67&gt;0,' Plan Energi 2030-S'!$X$67,1)</f>
        <v>0</v>
      </c>
      <c r="C622" s="650"/>
      <c r="D622" s="650">
        <f>' Plan Energi 2006'!C$67/IF(' Plan Energi 2006'!$X$67&gt;0,' Plan Energi 2006'!$X$67,1)</f>
        <v>0</v>
      </c>
      <c r="E622" s="650"/>
      <c r="F622" s="650">
        <f>' Plan Energi 2008'!C$67/IF(' Plan Energi 2008'!$X$67&gt;0,' Plan Energi 2008'!$X$67,1)</f>
        <v>0</v>
      </c>
      <c r="G622" s="650"/>
      <c r="H622" s="650">
        <f>' Plan Energi 2009'!C$67/IF(' Plan Energi 2009'!$X$67&gt;0,' Plan Energi 2009'!$X$67,1)</f>
        <v>0</v>
      </c>
      <c r="I622" s="650"/>
      <c r="J622" s="650">
        <f>' Plan Energi 2011'!C$67/IF(' Plan Energi 2011'!$X$67&gt;0,' Plan Energi 2011'!$X$67,1)</f>
        <v>0</v>
      </c>
      <c r="K622" s="650"/>
      <c r="L622" s="650">
        <f>' Plan Energi 2013'!C$67/IF(' Plan Energi 2013'!$X$67&gt;0,' Plan Energi 2013'!$X$67,1)</f>
        <v>0</v>
      </c>
      <c r="M622" s="650"/>
      <c r="N622" s="650">
        <f>' Plan Energi 2015'!C$67/IF(' Plan Energi 2015'!$X$67&gt;0,' Plan Energi 2015'!$X$67,1)</f>
        <v>0</v>
      </c>
      <c r="O622" s="650"/>
      <c r="P622" s="650">
        <f>' Plan Energi 2017'!C$67/IF(' Plan Energi 2017'!$X$67&gt;0,' Plan Energi 2017'!$X$67,1)</f>
        <v>0</v>
      </c>
      <c r="Q622" s="650"/>
      <c r="R622" s="650">
        <f>' Plan Energi 2019'!C$67/IF(' Plan Energi 2019'!$X$67&gt;0,' Plan Energi 2019'!$X$67,1)</f>
        <v>0</v>
      </c>
      <c r="S622" s="650"/>
      <c r="T622" s="726">
        <f>Fjernvarme!J252</f>
        <v>0</v>
      </c>
      <c r="U622" s="650"/>
      <c r="V622" s="726">
        <f>Fjernvarme!L252</f>
        <v>0</v>
      </c>
      <c r="W622" s="650"/>
      <c r="X622" s="604"/>
    </row>
    <row r="623" spans="1:24" x14ac:dyDescent="0.25">
      <c r="A623" s="604" t="s">
        <v>7</v>
      </c>
      <c r="B623" s="650">
        <f>' Plan Energi 2030-S'!D$67/IF(' Plan Energi 2030-S'!$X$67&gt;0,' Plan Energi 2030-S'!$X$67,1)</f>
        <v>0</v>
      </c>
      <c r="C623" s="650"/>
      <c r="D623" s="650">
        <f>' Plan Energi 2006'!D$67/IF(' Plan Energi 2006'!$X$67&gt;0,' Plan Energi 2006'!$X$67,1)</f>
        <v>0</v>
      </c>
      <c r="E623" s="650"/>
      <c r="F623" s="650">
        <f>' Plan Energi 2008'!D$67/IF(' Plan Energi 2008'!$X$67&gt;0,' Plan Energi 2008'!$X$67,1)</f>
        <v>0</v>
      </c>
      <c r="G623" s="650"/>
      <c r="H623" s="650">
        <f>' Plan Energi 2009'!D$67/IF(' Plan Energi 2009'!$X$67&gt;0,' Plan Energi 2009'!$X$67,1)</f>
        <v>0</v>
      </c>
      <c r="I623" s="650"/>
      <c r="J623" s="650">
        <f>' Plan Energi 2011'!D$67/IF(' Plan Energi 2011'!$X$67&gt;0,' Plan Energi 2011'!$X$67,1)</f>
        <v>0</v>
      </c>
      <c r="K623" s="650"/>
      <c r="L623" s="650">
        <f>' Plan Energi 2013'!D$67/IF(' Plan Energi 2013'!$X$67&gt;0,' Plan Energi 2013'!$X$67,1)</f>
        <v>0</v>
      </c>
      <c r="M623" s="650"/>
      <c r="N623" s="650">
        <f>' Plan Energi 2015'!D$67/IF(' Plan Energi 2015'!$X$67&gt;0,' Plan Energi 2015'!$X$67,1)</f>
        <v>0</v>
      </c>
      <c r="O623" s="650"/>
      <c r="P623" s="650">
        <f>' Plan Energi 2017'!D$67/IF(' Plan Energi 2017'!$X$67&gt;0,' Plan Energi 2017'!$X$67,1)</f>
        <v>0</v>
      </c>
      <c r="Q623" s="650"/>
      <c r="R623" s="650">
        <f>' Plan Energi 2019'!D$67/IF(' Plan Energi 2019'!$X$67&gt;0,' Plan Energi 2019'!$X$67,1)</f>
        <v>0</v>
      </c>
      <c r="S623" s="650"/>
      <c r="T623" s="726">
        <f>Fjernvarme!J253</f>
        <v>0</v>
      </c>
      <c r="U623" s="650"/>
      <c r="V623" s="726">
        <f>Fjernvarme!L253</f>
        <v>0</v>
      </c>
      <c r="W623" s="650"/>
      <c r="X623" s="604"/>
    </row>
    <row r="624" spans="1:24" x14ac:dyDescent="0.25">
      <c r="A624" s="604" t="s">
        <v>3</v>
      </c>
      <c r="B624" s="650">
        <f>' Plan Energi 2030-S'!I$67/IF(' Plan Energi 2030-S'!$X$67&gt;0,' Plan Energi 2030-S'!$X$67,1)</f>
        <v>0</v>
      </c>
      <c r="C624" s="650"/>
      <c r="D624" s="650">
        <f>' Plan Energi 2006'!I$67/IF(' Plan Energi 2006'!$X$67&gt;0,' Plan Energi 2006'!$X$67,1)</f>
        <v>0</v>
      </c>
      <c r="E624" s="650"/>
      <c r="F624" s="650">
        <f>' Plan Energi 2008'!I$67/IF(' Plan Energi 2008'!$X$67&gt;0,' Plan Energi 2008'!$X$67,1)</f>
        <v>0</v>
      </c>
      <c r="G624" s="650"/>
      <c r="H624" s="650">
        <f>' Plan Energi 2009'!I$67/IF(' Plan Energi 2009'!$X$67&gt;0,' Plan Energi 2009'!$X$67,1)</f>
        <v>0</v>
      </c>
      <c r="I624" s="650"/>
      <c r="J624" s="650">
        <f>' Plan Energi 2011'!I$67/IF(' Plan Energi 2011'!$X$67&gt;0,' Plan Energi 2011'!$X$67,1)</f>
        <v>0</v>
      </c>
      <c r="K624" s="650"/>
      <c r="L624" s="650">
        <f>' Plan Energi 2013'!I$67/IF(' Plan Energi 2013'!$X$67&gt;0,' Plan Energi 2013'!$X$67,1)</f>
        <v>0</v>
      </c>
      <c r="M624" s="650"/>
      <c r="N624" s="650">
        <f>' Plan Energi 2015'!I$67/IF(' Plan Energi 2015'!$X$67&gt;0,' Plan Energi 2015'!$X$67,1)</f>
        <v>0</v>
      </c>
      <c r="O624" s="650"/>
      <c r="P624" s="650">
        <f>' Plan Energi 2017'!I$67/IF(' Plan Energi 2017'!$X$67&gt;0,' Plan Energi 2017'!$X$67,1)</f>
        <v>0</v>
      </c>
      <c r="Q624" s="650"/>
      <c r="R624" s="650">
        <f>' Plan Energi 2019'!I$67/IF(' Plan Energi 2019'!$X$67&gt;0,' Plan Energi 2019'!$X$67,1)</f>
        <v>0</v>
      </c>
      <c r="S624" s="650"/>
      <c r="T624" s="726">
        <f>Fjernvarme!J254</f>
        <v>0</v>
      </c>
      <c r="U624" s="650"/>
      <c r="V624" s="726">
        <f>Fjernvarme!L254</f>
        <v>0</v>
      </c>
      <c r="W624" s="650"/>
      <c r="X624" s="604"/>
    </row>
    <row r="625" spans="1:24" x14ac:dyDescent="0.25">
      <c r="A625" s="604" t="s">
        <v>373</v>
      </c>
      <c r="B625" s="650">
        <f>' Plan Energi 2030-S'!O$67/IF(' Plan Energi 2030-S'!$X$67&gt;0,' Plan Energi 2030-S'!$X$67,1)</f>
        <v>0</v>
      </c>
      <c r="C625" s="650"/>
      <c r="D625" s="650">
        <f>' Plan Energi 2006'!O$67/IF(' Plan Energi 2006'!$X$67&gt;0,' Plan Energi 2006'!$X$67,1)</f>
        <v>0</v>
      </c>
      <c r="E625" s="650"/>
      <c r="F625" s="650">
        <f>' Plan Energi 2008'!O$67/IF(' Plan Energi 2008'!$X$67&gt;0,' Plan Energi 2008'!$X$67,1)</f>
        <v>0</v>
      </c>
      <c r="G625" s="650"/>
      <c r="H625" s="650">
        <f>' Plan Energi 2009'!O$67/IF(' Plan Energi 2009'!$X$67&gt;0,' Plan Energi 2009'!$X$67,1)</f>
        <v>0</v>
      </c>
      <c r="I625" s="650"/>
      <c r="J625" s="650">
        <f>' Plan Energi 2011'!O$67/IF(' Plan Energi 2011'!$X$67&gt;0,' Plan Energi 2011'!$X$67,1)</f>
        <v>0</v>
      </c>
      <c r="K625" s="650"/>
      <c r="L625" s="650">
        <f>' Plan Energi 2013'!O$67/IF(' Plan Energi 2013'!$X$67&gt;0,' Plan Energi 2013'!$X$67,1)</f>
        <v>0</v>
      </c>
      <c r="M625" s="650"/>
      <c r="N625" s="650">
        <f>' Plan Energi 2015'!O$67/IF(' Plan Energi 2015'!$X$67&gt;0,' Plan Energi 2015'!$X$67,1)</f>
        <v>0</v>
      </c>
      <c r="O625" s="650"/>
      <c r="P625" s="650">
        <f>' Plan Energi 2017'!O$67/IF(' Plan Energi 2017'!$X$67&gt;0,' Plan Energi 2017'!$X$67,1)</f>
        <v>0</v>
      </c>
      <c r="Q625" s="650"/>
      <c r="R625" s="650">
        <f>' Plan Energi 2019'!O$67/IF(' Plan Energi 2019'!$X$67&gt;0,' Plan Energi 2019'!$X$67,1)</f>
        <v>0</v>
      </c>
      <c r="S625" s="650"/>
      <c r="T625" s="726">
        <f>Fjernvarme!J255</f>
        <v>0</v>
      </c>
      <c r="U625" s="650"/>
      <c r="V625" s="726">
        <f>Fjernvarme!L255</f>
        <v>0</v>
      </c>
      <c r="W625" s="650"/>
      <c r="X625" s="604"/>
    </row>
    <row r="626" spans="1:24" x14ac:dyDescent="0.25">
      <c r="A626" s="604" t="s">
        <v>374</v>
      </c>
      <c r="B626" s="650">
        <f>' Plan Energi 2030-S'!P$67/IF(' Plan Energi 2030-S'!$X$67&gt;0,' Plan Energi 2030-S'!$X$67,1)</f>
        <v>0</v>
      </c>
      <c r="C626" s="650"/>
      <c r="D626" s="650">
        <f>' Plan Energi 2006'!P$67/IF(' Plan Energi 2006'!$X$67&gt;0,' Plan Energi 2006'!$X$67,1)</f>
        <v>0</v>
      </c>
      <c r="E626" s="650"/>
      <c r="F626" s="650">
        <f>' Plan Energi 2008'!P$67/IF(' Plan Energi 2008'!$X$67&gt;0,' Plan Energi 2008'!$X$67,1)</f>
        <v>0</v>
      </c>
      <c r="G626" s="650"/>
      <c r="H626" s="650">
        <f>' Plan Energi 2009'!P$67/IF(' Plan Energi 2009'!$X$67&gt;0,' Plan Energi 2009'!$X$67,1)</f>
        <v>0</v>
      </c>
      <c r="I626" s="650"/>
      <c r="J626" s="650">
        <f>' Plan Energi 2011'!P$67/IF(' Plan Energi 2011'!$X$67&gt;0,' Plan Energi 2011'!$X$67,1)</f>
        <v>0</v>
      </c>
      <c r="K626" s="650"/>
      <c r="L626" s="650">
        <f>' Plan Energi 2013'!P$67/IF(' Plan Energi 2013'!$X$67&gt;0,' Plan Energi 2013'!$X$67,1)</f>
        <v>0</v>
      </c>
      <c r="M626" s="650"/>
      <c r="N626" s="650">
        <f>' Plan Energi 2015'!P$67/IF(' Plan Energi 2015'!$X$67&gt;0,' Plan Energi 2015'!$X$67,1)</f>
        <v>0</v>
      </c>
      <c r="O626" s="650"/>
      <c r="P626" s="650">
        <f>' Plan Energi 2017'!P$67/IF(' Plan Energi 2017'!$X$67&gt;0,' Plan Energi 2017'!$X$67,1)</f>
        <v>0</v>
      </c>
      <c r="Q626" s="650"/>
      <c r="R626" s="650">
        <f>' Plan Energi 2019'!P$67/IF(' Plan Energi 2019'!$X$67&gt;0,' Plan Energi 2019'!$X$67,1)</f>
        <v>0</v>
      </c>
      <c r="S626" s="650"/>
      <c r="T626" s="726">
        <f>Fjernvarme!J256</f>
        <v>0</v>
      </c>
      <c r="U626" s="650"/>
      <c r="V626" s="726">
        <f>Fjernvarme!L256</f>
        <v>0</v>
      </c>
      <c r="W626" s="650"/>
      <c r="X626" s="604"/>
    </row>
    <row r="627" spans="1:24" x14ac:dyDescent="0.25">
      <c r="A627" s="604" t="s">
        <v>21</v>
      </c>
      <c r="B627" s="650">
        <f>' Plan Energi 2030-S'!Q$67/IF(' Plan Energi 2030-S'!$X$67&gt;0,' Plan Energi 2030-S'!$X$67,1)</f>
        <v>0</v>
      </c>
      <c r="C627" s="650"/>
      <c r="D627" s="650">
        <f>' Plan Energi 2006'!Q$67/IF(' Plan Energi 2006'!$X$67&gt;0,' Plan Energi 2006'!$X$67,1)</f>
        <v>0</v>
      </c>
      <c r="E627" s="650"/>
      <c r="F627" s="650">
        <f>' Plan Energi 2008'!Q$67/IF(' Plan Energi 2008'!$X$67&gt;0,' Plan Energi 2008'!$X$67,1)</f>
        <v>0</v>
      </c>
      <c r="G627" s="650"/>
      <c r="H627" s="650">
        <f>' Plan Energi 2009'!Q$67/IF(' Plan Energi 2009'!$X$67&gt;0,' Plan Energi 2009'!$X$67,1)</f>
        <v>0</v>
      </c>
      <c r="I627" s="650"/>
      <c r="J627" s="650">
        <f>' Plan Energi 2011'!Q$67/IF(' Plan Energi 2011'!$X$67&gt;0,' Plan Energi 2011'!$X$67,1)</f>
        <v>0</v>
      </c>
      <c r="K627" s="650"/>
      <c r="L627" s="650">
        <f>' Plan Energi 2013'!Q$67/IF(' Plan Energi 2013'!$X$67&gt;0,' Plan Energi 2013'!$X$67,1)</f>
        <v>0</v>
      </c>
      <c r="M627" s="650"/>
      <c r="N627" s="650">
        <f>' Plan Energi 2015'!Q$67/IF(' Plan Energi 2015'!$X$67&gt;0,' Plan Energi 2015'!$X$67,1)</f>
        <v>0</v>
      </c>
      <c r="O627" s="650"/>
      <c r="P627" s="650">
        <f>' Plan Energi 2017'!Q$67/IF(' Plan Energi 2017'!$X$67&gt;0,' Plan Energi 2017'!$X$67,1)</f>
        <v>0</v>
      </c>
      <c r="Q627" s="650"/>
      <c r="R627" s="650">
        <f>' Plan Energi 2019'!Q$67/IF(' Plan Energi 2019'!$X$67&gt;0,' Plan Energi 2019'!$X$67,1)</f>
        <v>0</v>
      </c>
      <c r="S627" s="650"/>
      <c r="T627" s="726">
        <f>Fjernvarme!J257</f>
        <v>0</v>
      </c>
      <c r="U627" s="650"/>
      <c r="V627" s="726">
        <f>Fjernvarme!L257</f>
        <v>0</v>
      </c>
      <c r="W627" s="650"/>
      <c r="X627" s="604"/>
    </row>
    <row r="628" spans="1:24" x14ac:dyDescent="0.25">
      <c r="A628" s="604" t="s">
        <v>375</v>
      </c>
      <c r="B628" s="650">
        <f>' Plan Energi 2030-S'!R$67/IF(' Plan Energi 2030-S'!$X$67&gt;0,' Plan Energi 2030-S'!$X$67,1)</f>
        <v>0</v>
      </c>
      <c r="C628" s="650"/>
      <c r="D628" s="650">
        <f>' Plan Energi 2006'!R$67/IF(' Plan Energi 2006'!$X$67&gt;0,' Plan Energi 2006'!$X$67,1)</f>
        <v>0</v>
      </c>
      <c r="E628" s="650"/>
      <c r="F628" s="650">
        <f>' Plan Energi 2008'!R$67/IF(' Plan Energi 2008'!$X$67&gt;0,' Plan Energi 2008'!$X$67,1)</f>
        <v>0</v>
      </c>
      <c r="G628" s="650"/>
      <c r="H628" s="650">
        <f>' Plan Energi 2009'!R$67/IF(' Plan Energi 2009'!$X$67&gt;0,' Plan Energi 2009'!$X$67,1)</f>
        <v>0</v>
      </c>
      <c r="I628" s="650"/>
      <c r="J628" s="650">
        <f>' Plan Energi 2011'!R$67/IF(' Plan Energi 2011'!$X$67&gt;0,' Plan Energi 2011'!$X$67,1)</f>
        <v>0</v>
      </c>
      <c r="K628" s="650"/>
      <c r="L628" s="650">
        <f>' Plan Energi 2013'!R$67/IF(' Plan Energi 2013'!$X$67&gt;0,' Plan Energi 2013'!$X$67,1)</f>
        <v>0</v>
      </c>
      <c r="M628" s="650"/>
      <c r="N628" s="650">
        <f>' Plan Energi 2015'!R$67/IF(' Plan Energi 2015'!$X$67&gt;0,' Plan Energi 2015'!$X$67,1)</f>
        <v>0</v>
      </c>
      <c r="O628" s="650"/>
      <c r="P628" s="650">
        <f>' Plan Energi 2017'!R$67/IF(' Plan Energi 2017'!$X$67&gt;0,' Plan Energi 2017'!$X$67,1)</f>
        <v>0</v>
      </c>
      <c r="Q628" s="650"/>
      <c r="R628" s="650">
        <f>' Plan Energi 2019'!R$67/IF(' Plan Energi 2019'!$X$67&gt;0,' Plan Energi 2019'!$X$67,1)</f>
        <v>0</v>
      </c>
      <c r="S628" s="650"/>
      <c r="T628" s="726">
        <f>Fjernvarme!J258</f>
        <v>0</v>
      </c>
      <c r="U628" s="650"/>
      <c r="V628" s="726">
        <f>Fjernvarme!L258</f>
        <v>0</v>
      </c>
      <c r="W628" s="650"/>
      <c r="X628" s="604"/>
    </row>
    <row r="629" spans="1:24" x14ac:dyDescent="0.25">
      <c r="A629" s="604" t="s">
        <v>23</v>
      </c>
      <c r="B629" s="650">
        <f>' Plan Energi 2030-S'!S$67/IF(' Plan Energi 2030-S'!$X$67&gt;0,' Plan Energi 2030-S'!$X$67,1)</f>
        <v>0</v>
      </c>
      <c r="C629" s="650"/>
      <c r="D629" s="650">
        <f>' Plan Energi 2006'!S$67/IF(' Plan Energi 2006'!$X$67&gt;0,' Plan Energi 2006'!$X$67,1)</f>
        <v>0</v>
      </c>
      <c r="E629" s="650"/>
      <c r="F629" s="650">
        <f>' Plan Energi 2008'!S$67/IF(' Plan Energi 2008'!$X$67&gt;0,' Plan Energi 2008'!$X$67,1)</f>
        <v>0</v>
      </c>
      <c r="G629" s="650"/>
      <c r="H629" s="650">
        <f>' Plan Energi 2009'!S$67/IF(' Plan Energi 2009'!$X$67&gt;0,' Plan Energi 2009'!$X$67,1)</f>
        <v>0</v>
      </c>
      <c r="I629" s="650"/>
      <c r="J629" s="650">
        <f>' Plan Energi 2011'!S$67/IF(' Plan Energi 2011'!$X$67&gt;0,' Plan Energi 2011'!$X$67,1)</f>
        <v>0</v>
      </c>
      <c r="K629" s="650"/>
      <c r="L629" s="650">
        <f>' Plan Energi 2013'!S$67/IF(' Plan Energi 2013'!$X$67&gt;0,' Plan Energi 2013'!$X$67,1)</f>
        <v>0</v>
      </c>
      <c r="M629" s="650"/>
      <c r="N629" s="650">
        <f>' Plan Energi 2015'!S$67/IF(' Plan Energi 2015'!$X$67&gt;0,' Plan Energi 2015'!$X$67,1)</f>
        <v>0</v>
      </c>
      <c r="O629" s="650"/>
      <c r="P629" s="650">
        <f>' Plan Energi 2017'!S$67/IF(' Plan Energi 2017'!$X$67&gt;0,' Plan Energi 2017'!$X$67,1)</f>
        <v>0</v>
      </c>
      <c r="Q629" s="650"/>
      <c r="R629" s="650">
        <f>' Plan Energi 2019'!S$67/IF(' Plan Energi 2019'!$X$67&gt;0,' Plan Energi 2019'!$X$67,1)</f>
        <v>0</v>
      </c>
      <c r="S629" s="650"/>
      <c r="T629" s="726">
        <f>Fjernvarme!J259</f>
        <v>0</v>
      </c>
      <c r="U629" s="650"/>
      <c r="V629" s="726">
        <f>Fjernvarme!L259</f>
        <v>0</v>
      </c>
      <c r="W629" s="650"/>
      <c r="X629" s="604"/>
    </row>
    <row r="630" spans="1:24" x14ac:dyDescent="0.25">
      <c r="A630" s="604" t="s">
        <v>26</v>
      </c>
      <c r="B630" s="650">
        <f>' Plan Energi 2030-S'!V$67/IF(' Plan Energi 2030-S'!$X$67&gt;0,' Plan Energi 2030-S'!$X$67,1)</f>
        <v>0</v>
      </c>
      <c r="C630" s="650"/>
      <c r="D630" s="650">
        <f>' Plan Energi 2006'!V$67/IF(' Plan Energi 2006'!$X$67&gt;0,' Plan Energi 2006'!$X$67,1)</f>
        <v>0</v>
      </c>
      <c r="E630" s="650"/>
      <c r="F630" s="650">
        <f>' Plan Energi 2008'!V$67/IF(' Plan Energi 2008'!$X$67&gt;0,' Plan Energi 2008'!$X$67,1)</f>
        <v>0</v>
      </c>
      <c r="G630" s="650"/>
      <c r="H630" s="650">
        <f>' Plan Energi 2009'!V$67/IF(' Plan Energi 2009'!$X$67&gt;0,' Plan Energi 2009'!$X$67,1)</f>
        <v>0</v>
      </c>
      <c r="I630" s="650"/>
      <c r="J630" s="650">
        <f>' Plan Energi 2011'!V$67/IF(' Plan Energi 2011'!$X$67&gt;0,' Plan Energi 2011'!$X$67,1)</f>
        <v>0</v>
      </c>
      <c r="K630" s="650"/>
      <c r="L630" s="650">
        <f>' Plan Energi 2013'!V$67/IF(' Plan Energi 2013'!$X$67&gt;0,' Plan Energi 2013'!$X$67,1)</f>
        <v>0</v>
      </c>
      <c r="M630" s="650"/>
      <c r="N630" s="650">
        <f>' Plan Energi 2015'!V$67/IF(' Plan Energi 2015'!$X$67&gt;0,' Plan Energi 2015'!$X$67,1)</f>
        <v>0</v>
      </c>
      <c r="O630" s="650"/>
      <c r="P630" s="650">
        <f>' Plan Energi 2017'!V$67/IF(' Plan Energi 2017'!$X$67&gt;0,' Plan Energi 2017'!$X$67,1)</f>
        <v>0</v>
      </c>
      <c r="Q630" s="650"/>
      <c r="R630" s="650">
        <f>' Plan Energi 2019'!V$67/IF(' Plan Energi 2019'!$X$67&gt;0,' Plan Energi 2019'!$X$67,1)</f>
        <v>0</v>
      </c>
      <c r="S630" s="650"/>
      <c r="T630" s="726">
        <f>Fjernvarme!J260</f>
        <v>0</v>
      </c>
      <c r="U630" s="650"/>
      <c r="V630" s="726">
        <f>Fjernvarme!L260</f>
        <v>0</v>
      </c>
      <c r="W630" s="650"/>
      <c r="X630" s="604"/>
    </row>
    <row r="631" spans="1:24" x14ac:dyDescent="0.25">
      <c r="A631" s="629" t="s">
        <v>431</v>
      </c>
      <c r="B631" s="650"/>
      <c r="C631" s="650"/>
      <c r="D631" s="650"/>
      <c r="E631" s="650"/>
      <c r="F631" s="650"/>
      <c r="G631" s="650"/>
      <c r="H631" s="650"/>
      <c r="I631" s="650"/>
      <c r="J631" s="650"/>
      <c r="K631" s="650"/>
      <c r="L631" s="650"/>
      <c r="M631" s="650"/>
      <c r="N631" s="650"/>
      <c r="O631" s="650"/>
      <c r="P631" s="650"/>
      <c r="Q631" s="650"/>
      <c r="R631" s="650"/>
      <c r="S631" s="650"/>
      <c r="T631" s="650"/>
      <c r="U631" s="650"/>
      <c r="V631" s="650"/>
      <c r="W631" s="650"/>
      <c r="X631" s="604"/>
    </row>
    <row r="632" spans="1:24" x14ac:dyDescent="0.25">
      <c r="A632" s="720" t="s">
        <v>432</v>
      </c>
      <c r="B632" s="650">
        <v>1</v>
      </c>
      <c r="C632" s="650"/>
      <c r="D632" s="650">
        <v>1</v>
      </c>
      <c r="E632" s="650"/>
      <c r="F632" s="650">
        <v>1</v>
      </c>
      <c r="G632" s="650"/>
      <c r="H632" s="650">
        <v>1</v>
      </c>
      <c r="I632" s="650"/>
      <c r="J632" s="650">
        <v>1</v>
      </c>
      <c r="K632" s="650"/>
      <c r="L632" s="650">
        <v>1</v>
      </c>
      <c r="M632" s="650"/>
      <c r="N632" s="650">
        <v>1</v>
      </c>
      <c r="O632" s="650"/>
      <c r="P632" s="650">
        <v>1</v>
      </c>
      <c r="Q632" s="650"/>
      <c r="R632" s="650">
        <v>1</v>
      </c>
      <c r="S632" s="650"/>
      <c r="T632" s="726">
        <f>Fjernvarme!J262</f>
        <v>1</v>
      </c>
      <c r="U632" s="650"/>
      <c r="V632" s="726">
        <f>Fjernvarme!L262</f>
        <v>1</v>
      </c>
      <c r="W632" s="650"/>
      <c r="X632" s="604"/>
    </row>
    <row r="633" spans="1:24" x14ac:dyDescent="0.25">
      <c r="A633" s="629" t="s">
        <v>476</v>
      </c>
      <c r="B633" s="674"/>
      <c r="C633" s="674"/>
      <c r="D633" s="674"/>
      <c r="E633" s="674"/>
      <c r="F633" s="674"/>
      <c r="G633" s="674"/>
      <c r="H633" s="674"/>
      <c r="I633" s="674"/>
      <c r="J633" s="674"/>
      <c r="K633" s="674"/>
      <c r="L633" s="674"/>
      <c r="M633" s="674"/>
      <c r="N633" s="674"/>
      <c r="O633" s="674"/>
      <c r="P633" s="674"/>
      <c r="Q633" s="674"/>
      <c r="R633" s="674"/>
      <c r="S633" s="674"/>
      <c r="T633" s="674"/>
      <c r="U633" s="674"/>
      <c r="V633" s="674"/>
      <c r="W633" s="674"/>
      <c r="X633" s="604"/>
    </row>
    <row r="634" spans="1:24" x14ac:dyDescent="0.25">
      <c r="A634" s="604" t="s">
        <v>11</v>
      </c>
      <c r="B634" s="650">
        <f>' Plan Energi 2030-S'!H$72*$B$401/IF(' Plan Energi 2030-S'!$X$72*$B$401+' Plan Energi 2030-S'!$AE$72*$B$410&gt;0,' Plan Energi 2030-S'!$X$72*$B$401+' Plan Energi 2030-S'!$AE$72*$B$410,1)</f>
        <v>0.96899999999999986</v>
      </c>
      <c r="C634" s="650"/>
      <c r="D634" s="650">
        <f>' Plan Energi 2006'!H$72*$D$401/IF(' Plan Energi 2006'!$X$72*$D$401+' Plan Energi 2006'!$AE$72*$D$410&gt;0,' Plan Energi 2006'!$X$72*$D$401+' Plan Energi 2006'!$AE$72*$D$410,1)</f>
        <v>0.99809999999999988</v>
      </c>
      <c r="E634" s="650"/>
      <c r="F634" s="650">
        <f>' Plan Energi 2008'!H$72*$F$401/IF(' Plan Energi 2008'!$X$72*$F$401+' Plan Energi 2008'!$AE$72*$F$410&gt;0,' Plan Energi 2008'!$X$72*$F$401+' Plan Energi 2008'!$AE$72*$F$410,1)</f>
        <v>0.99719999999999998</v>
      </c>
      <c r="G634" s="650"/>
      <c r="H634" s="650">
        <f>' Plan Energi 2009'!H$72*$H$401/IF(' Plan Energi 2009'!$X$72*$H$401+' Plan Energi 2009'!$AE$72*$H$410&gt;0,' Plan Energi 2009'!$X$72*$H$401+' Plan Energi 2009'!$AE$72*$H$410,1)</f>
        <v>0.99719999999999986</v>
      </c>
      <c r="I634" s="650"/>
      <c r="J634" s="650">
        <f>' Plan Energi 2011'!H$72*$J$401/IF(' Plan Energi 2011'!$X$72*$J$401+' Plan Energi 2011'!$AE$72*$J$410&gt;0,' Plan Energi 2011'!$X$72*$J$401+' Plan Energi 2011'!$AE$72*$J$410,1)</f>
        <v>0.96669999999999989</v>
      </c>
      <c r="K634" s="650"/>
      <c r="L634" s="650">
        <f>' Plan Energi 2013'!H$72*$L$401/IF(' Plan Energi 2013'!$X$72*$L$401+' Plan Energi 2013'!$AE$72*$L$410&gt;0,' Plan Energi 2013'!$X$72*$L$401+' Plan Energi 2013'!$AE$72*$L$410,1)</f>
        <v>0.94410000000000005</v>
      </c>
      <c r="M634" s="650"/>
      <c r="N634" s="650">
        <f>' Plan Energi 2015'!H$72*$N$401/IF(' Plan Energi 2015'!$X$72*$N$401+' Plan Energi 2015'!$AE$72*$N$410&gt;0,' Plan Energi 2015'!$X$72*$N$401+' Plan Energi 2015'!$AE$72*$N$410,1)</f>
        <v>0.96899999999999986</v>
      </c>
      <c r="O634" s="650"/>
      <c r="P634" s="650">
        <f>' Plan Energi 2017'!H$72*$P$401/IF(' Plan Energi 2017'!$X$72*$P$401+' Plan Energi 2017'!$AE$72*$P$410&gt;0,' Plan Energi 2017'!$X$72*$P$401+' Plan Energi 2017'!$AE$72*$P$410,1)</f>
        <v>0.96899999999999986</v>
      </c>
      <c r="Q634" s="650"/>
      <c r="R634" s="650">
        <f>' Plan Energi 2019'!H$72*$R$401/IF(' Plan Energi 2019'!$X$72*$R$401+' Plan Energi 2019'!$AE$72*$R$410&gt;0,' Plan Energi 2019'!$X$72*$R$401+' Plan Energi 2019'!$AE$72*$R$410,1)</f>
        <v>0.96899999999999986</v>
      </c>
      <c r="S634" s="650"/>
      <c r="T634" s="726">
        <f>1-T635-T636-T637</f>
        <v>0.93704461758538116</v>
      </c>
      <c r="U634" s="650"/>
      <c r="V634" s="726">
        <f>1-V635-V636-V637</f>
        <v>0.91351351351351351</v>
      </c>
      <c r="W634" s="650"/>
      <c r="X634" s="604"/>
    </row>
    <row r="635" spans="1:24" x14ac:dyDescent="0.25">
      <c r="A635" s="604" t="s">
        <v>3</v>
      </c>
      <c r="B635" s="650">
        <f>' Plan Energi 2030-S'!I$72*$B$401/IF(' Plan Energi 2030-S'!$X$72*$B$401+' Plan Energi 2030-S'!$AE$72*$B$410&gt;0,' Plan Energi 2030-S'!$X$72*$B$401+' Plan Energi 2030-S'!$AE$72*$B$410,1)</f>
        <v>0</v>
      </c>
      <c r="C635" s="650"/>
      <c r="D635" s="650">
        <f>' Plan Energi 2006'!I$72*$D$401/IF(' Plan Energi 2006'!$X$72*$D$401+' Plan Energi 2006'!$AE$72*$D$410&gt;0,' Plan Energi 2006'!$X$72*$D$401+' Plan Energi 2006'!$AE$72*$D$410,1)</f>
        <v>0</v>
      </c>
      <c r="E635" s="650"/>
      <c r="F635" s="650">
        <f>' Plan Energi 2008'!I$72*$F$401/IF(' Plan Energi 2008'!$X$72*$F$401+' Plan Energi 2008'!$AE$72*$F$410&gt;0,' Plan Energi 2008'!$X$72*$F$401+' Plan Energi 2008'!$AE$72*$F$410,1)</f>
        <v>0</v>
      </c>
      <c r="G635" s="650"/>
      <c r="H635" s="650">
        <f>' Plan Energi 2009'!I$72*$H$401/IF(' Plan Energi 2009'!$X$72*$H$401+' Plan Energi 2009'!$AE$72*$H$410&gt;0,' Plan Energi 2009'!$X$72*$H$401+' Plan Energi 2009'!$AE$72*$H$410,1)</f>
        <v>0</v>
      </c>
      <c r="I635" s="650"/>
      <c r="J635" s="650">
        <f>' Plan Energi 2011'!I$72*$J$401/IF(' Plan Energi 2011'!$X$72*$J$401+' Plan Energi 2011'!$AE$72*$J$410&gt;0,' Plan Energi 2011'!$X$72*$J$401+' Plan Energi 2011'!$AE$72*$J$410,1)</f>
        <v>0</v>
      </c>
      <c r="K635" s="650"/>
      <c r="L635" s="650">
        <f>' Plan Energi 2013'!I$72*$L$401/IF(' Plan Energi 2013'!$X$72*$L$401+' Plan Energi 2013'!$AE$72*$L$410&gt;0,' Plan Energi 2013'!$X$72*$L$401+' Plan Energi 2013'!$AE$72*$L$410,1)</f>
        <v>0</v>
      </c>
      <c r="M635" s="650"/>
      <c r="N635" s="650">
        <f>' Plan Energi 2015'!I$72*$N$401/IF(' Plan Energi 2015'!$X$72*$N$401+' Plan Energi 2015'!$AE$72*$N$410&gt;0,' Plan Energi 2015'!$X$72*$N$401+' Plan Energi 2015'!$AE$72*$N$410,1)</f>
        <v>0</v>
      </c>
      <c r="O635" s="650"/>
      <c r="P635" s="650">
        <f>' Plan Energi 2017'!I$72*$P$401/IF(' Plan Energi 2017'!$X$72*$P$401+' Plan Energi 2017'!$AE$72*$P$410&gt;0,' Plan Energi 2017'!$X$72*$P$401+' Plan Energi 2017'!$AE$72*$P$410,1)</f>
        <v>0</v>
      </c>
      <c r="Q635" s="650"/>
      <c r="R635" s="650">
        <f>' Plan Energi 2019'!I$72*$R$401/IF(' Plan Energi 2019'!$X$72*$R$401+' Plan Energi 2019'!$AE$72*$R$410&gt;0,' Plan Energi 2019'!$X$72*$R$401+' Plan Energi 2019'!$AE$72*$R$410,1)</f>
        <v>0</v>
      </c>
      <c r="S635" s="650"/>
      <c r="T635" s="726">
        <f>Transport!R22/IF(Transport!R20=0,1,Transport!R20)</f>
        <v>0</v>
      </c>
      <c r="U635" s="650"/>
      <c r="V635" s="726">
        <f>Transport!T22/IF(Transport!T20=0,1,Transport!T20)</f>
        <v>0</v>
      </c>
      <c r="W635" s="650"/>
      <c r="X635" s="604"/>
    </row>
    <row r="636" spans="1:24" x14ac:dyDescent="0.25">
      <c r="A636" s="604" t="s">
        <v>373</v>
      </c>
      <c r="B636" s="650">
        <f>' Plan Energi 2030-S'!O$72*$B$401/IF(' Plan Energi 2030-S'!$X$72*$B$401+' Plan Energi 2030-S'!$AE$72*$B$410&gt;0,' Plan Energi 2030-S'!$X$72*$B$401+' Plan Energi 2030-S'!$AE$72*$B$410,1)</f>
        <v>0</v>
      </c>
      <c r="C636" s="650"/>
      <c r="D636" s="650">
        <f>' Plan Energi 2006'!O$72*$D$401/IF(' Plan Energi 2006'!$X$72*$D$401+' Plan Energi 2006'!$AE$72*$D$410&gt;0,' Plan Energi 2006'!$X$72*$D$401+' Plan Energi 2006'!$AE$72*$D$410,1)</f>
        <v>0</v>
      </c>
      <c r="E636" s="650"/>
      <c r="F636" s="650">
        <f>' Plan Energi 2008'!O$72*$F$401/IF(' Plan Energi 2008'!$X$72*$F$401+' Plan Energi 2008'!$AE$72*$F$410&gt;0,' Plan Energi 2008'!$X$72*$F$401+' Plan Energi 2008'!$AE$72*$F$410,1)</f>
        <v>0</v>
      </c>
      <c r="G636" s="650"/>
      <c r="H636" s="650">
        <f>' Plan Energi 2009'!O$72*$H$401/IF(' Plan Energi 2009'!$X$72*$H$401+' Plan Energi 2009'!$AE$72*$H$410&gt;0,' Plan Energi 2009'!$X$72*$H$401+' Plan Energi 2009'!$AE$72*$H$410,1)</f>
        <v>0</v>
      </c>
      <c r="I636" s="650"/>
      <c r="J636" s="650">
        <f>' Plan Energi 2011'!O$72*$J$401/IF(' Plan Energi 2011'!$X$72*$J$401+' Plan Energi 2011'!$AE$72*$J$410&gt;0,' Plan Energi 2011'!$X$72*$J$401+' Plan Energi 2011'!$AE$72*$J$410,1)</f>
        <v>0</v>
      </c>
      <c r="K636" s="650"/>
      <c r="L636" s="650">
        <f>' Plan Energi 2013'!O$72*$L$401/IF(' Plan Energi 2013'!$X$72*$L$401+' Plan Energi 2013'!$AE$72*$L$410&gt;0,' Plan Energi 2013'!$X$72*$L$401+' Plan Energi 2013'!$AE$72*$L$410,1)</f>
        <v>0</v>
      </c>
      <c r="M636" s="650"/>
      <c r="N636" s="650">
        <f>' Plan Energi 2015'!O$72*$N$401/IF(' Plan Energi 2015'!$X$72*$N$401+' Plan Energi 2015'!$AE$72*$N$410&gt;0,' Plan Energi 2015'!$X$72*$N$401+' Plan Energi 2015'!$AE$72*$N$410,1)</f>
        <v>0</v>
      </c>
      <c r="O636" s="650"/>
      <c r="P636" s="650">
        <f>' Plan Energi 2017'!O$72*$P$401/IF(' Plan Energi 2017'!$X$72*$P$401+' Plan Energi 2017'!$AE$72*$P$410&gt;0,' Plan Energi 2017'!$X$72*$P$401+' Plan Energi 2017'!$AE$72*$P$410,1)</f>
        <v>0</v>
      </c>
      <c r="Q636" s="650"/>
      <c r="R636" s="650">
        <f>' Plan Energi 2019'!O$72*$R$401/IF(' Plan Energi 2019'!$X$72*$R$401+' Plan Energi 2019'!$AE$72*$R$410&gt;0,' Plan Energi 2019'!$X$72*$R$401+' Plan Energi 2019'!$AE$72*$R$410,1)</f>
        <v>0</v>
      </c>
      <c r="S636" s="650"/>
      <c r="T636" s="726">
        <f>Transport!R23/IF(Transport!R20=0,1,Transport!R20)</f>
        <v>0</v>
      </c>
      <c r="U636" s="650"/>
      <c r="V636" s="726">
        <f>Transport!T23/IF(Transport!T20=0,1,Transport!T20)</f>
        <v>0</v>
      </c>
      <c r="W636" s="650"/>
      <c r="X636" s="604"/>
    </row>
    <row r="637" spans="1:24" x14ac:dyDescent="0.25">
      <c r="A637" s="604" t="s">
        <v>374</v>
      </c>
      <c r="B637" s="650">
        <f>' Plan Energi 2030-S'!P$72*$B$401/IF(' Plan Energi 2030-S'!$X$72*$B$401+' Plan Energi 2030-S'!$AE$72*$B$410&gt;0,' Plan Energi 2030-S'!$X$72*$B$401+' Plan Energi 2030-S'!$AE$72*$B$410,1)</f>
        <v>3.0999999999999996E-2</v>
      </c>
      <c r="C637" s="650"/>
      <c r="D637" s="650">
        <f>' Plan Energi 2006'!P$72*$D$401/IF(' Plan Energi 2006'!$X$72*$D$401+' Plan Energi 2006'!$AE$72*$D$410&gt;0,' Plan Energi 2006'!$X$72*$D$401+' Plan Energi 2006'!$AE$72*$D$410,1)</f>
        <v>1.8999999999999996E-3</v>
      </c>
      <c r="E637" s="650"/>
      <c r="F637" s="650">
        <f>' Plan Energi 2008'!P$72*$F$401/IF(' Plan Energi 2008'!$X$72*$F$401+' Plan Energi 2008'!$AE$72*$F$410&gt;0,' Plan Energi 2008'!$X$72*$F$401+' Plan Energi 2008'!$AE$72*$F$410,1)</f>
        <v>2.8000000000000004E-3</v>
      </c>
      <c r="G637" s="650"/>
      <c r="H637" s="650">
        <f>' Plan Energi 2009'!P$72*$H$401/IF(' Plan Energi 2009'!$X$72*$H$401+' Plan Energi 2009'!$AE$72*$H$410&gt;0,' Plan Energi 2009'!$X$72*$H$401+' Plan Energi 2009'!$AE$72*$H$410,1)</f>
        <v>2.8E-3</v>
      </c>
      <c r="I637" s="650"/>
      <c r="J637" s="650">
        <f>' Plan Energi 2011'!P$72*$J$401/IF(' Plan Energi 2011'!$X$72*$J$401+' Plan Energi 2011'!$AE$72*$J$410&gt;0,' Plan Energi 2011'!$X$72*$J$401+' Plan Energi 2011'!$AE$72*$J$410,1)</f>
        <v>3.3300000000000003E-2</v>
      </c>
      <c r="K637" s="650"/>
      <c r="L637" s="650">
        <f>' Plan Energi 2013'!P$72*$L$401/IF(' Plan Energi 2013'!$X$72*$L$401+' Plan Energi 2013'!$AE$72*$L$410&gt;0,' Plan Energi 2013'!$X$72*$L$401+' Plan Energi 2013'!$AE$72*$L$410,1)</f>
        <v>5.5900000000000005E-2</v>
      </c>
      <c r="M637" s="650"/>
      <c r="N637" s="650">
        <f>' Plan Energi 2015'!P$72*$N$401/IF(' Plan Energi 2015'!$X$72*$N$401+' Plan Energi 2015'!$AE$72*$N$410&gt;0,' Plan Energi 2015'!$X$72*$N$401+' Plan Energi 2015'!$AE$72*$N$410,1)</f>
        <v>3.1E-2</v>
      </c>
      <c r="O637" s="650"/>
      <c r="P637" s="650">
        <f>' Plan Energi 2017'!P$72*$P$401/IF(' Plan Energi 2017'!$X$72*$P$401+' Plan Energi 2017'!$AE$72*$P$410&gt;0,' Plan Energi 2017'!$X$72*$P$401+' Plan Energi 2017'!$AE$72*$P$410,1)</f>
        <v>3.0999999999999996E-2</v>
      </c>
      <c r="Q637" s="650"/>
      <c r="R637" s="650">
        <f>' Plan Energi 2019'!P$72*$R$401/IF(' Plan Energi 2019'!$X$72*$R$401+' Plan Energi 2019'!$AE$72*$R$410&gt;0,' Plan Energi 2019'!$X$72*$R$401+' Plan Energi 2019'!$AE$72*$R$410,1)</f>
        <v>3.0999999999999996E-2</v>
      </c>
      <c r="S637" s="650"/>
      <c r="T637" s="726">
        <f>Transport!R24/IF(Transport!R20=0,1,Transport!R20)</f>
        <v>6.2955382414618843E-2</v>
      </c>
      <c r="U637" s="650"/>
      <c r="V637" s="726">
        <f>Transport!T24/IF(Transport!T20=0,1,Transport!T20)</f>
        <v>8.6486486486486477E-2</v>
      </c>
      <c r="W637" s="650"/>
      <c r="X637" s="604"/>
    </row>
    <row r="638" spans="1:24" x14ac:dyDescent="0.25">
      <c r="A638" s="604" t="s">
        <v>26</v>
      </c>
      <c r="B638" s="650">
        <f>' Plan Energi 2030-S'!V$72*$B$401/IF(' Plan Energi 2030-S'!$X$72*$B$401+' Plan Energi 2030-S'!$AE$72*$B$410&gt;0,' Plan Energi 2030-S'!$X$72*$B$401+' Plan Energi 2030-S'!$AE$72*$B$410,1)</f>
        <v>0</v>
      </c>
      <c r="C638" s="650"/>
      <c r="D638" s="650">
        <f>' Plan Energi 2006'!V$72*$D$401/IF(' Plan Energi 2006'!$X$72*$D$401+' Plan Energi 2006'!$AE$72*$D$410&gt;0,' Plan Energi 2006'!$X$72*$D$401+' Plan Energi 2006'!$AE$72*$D$410,1)</f>
        <v>0</v>
      </c>
      <c r="E638" s="650"/>
      <c r="F638" s="650">
        <f>' Plan Energi 2008'!V$72*$F$401/IF(' Plan Energi 2008'!$X$72*$F$401+' Plan Energi 2008'!$AE$72*$F$410&gt;0,' Plan Energi 2008'!$X$72*$F$401+' Plan Energi 2008'!$AE$72*$F$410,1)</f>
        <v>0</v>
      </c>
      <c r="G638" s="650"/>
      <c r="H638" s="650">
        <f>' Plan Energi 2009'!V$72*$H$401/IF(' Plan Energi 2009'!$X$72*$H$401+' Plan Energi 2009'!$AE$72*$H$410&gt;0,' Plan Energi 2009'!$X$72*$H$401+' Plan Energi 2009'!$AE$72*$H$410,1)</f>
        <v>0</v>
      </c>
      <c r="I638" s="650"/>
      <c r="J638" s="650">
        <f>' Plan Energi 2011'!V$72*$J$401/IF(' Plan Energi 2011'!$X$72*$J$401+' Plan Energi 2011'!$AE$72*$J$410&gt;0,' Plan Energi 2011'!$X$72*$J$401+' Plan Energi 2011'!$AE$72*$J$410,1)</f>
        <v>0</v>
      </c>
      <c r="K638" s="650"/>
      <c r="L638" s="650">
        <f>' Plan Energi 2013'!V$72*$L$401/IF(' Plan Energi 2013'!$X$72*$L$401+' Plan Energi 2013'!$AE$72*$L$410&gt;0,' Plan Energi 2013'!$X$72*$L$401+' Plan Energi 2013'!$AE$72*$L$410,1)</f>
        <v>0</v>
      </c>
      <c r="M638" s="650"/>
      <c r="N638" s="650">
        <f>' Plan Energi 2015'!V$72*$N$401/IF(' Plan Energi 2015'!$X$72*$N$401+' Plan Energi 2015'!$AE$72*$N$410&gt;0,' Plan Energi 2015'!$X$72*$N$401+' Plan Energi 2015'!$AE$72*$N$410,1)</f>
        <v>0</v>
      </c>
      <c r="O638" s="650"/>
      <c r="P638" s="650">
        <f>' Plan Energi 2017'!V$72*$P$401/IF(' Plan Energi 2017'!$X$72*$P$401+' Plan Energi 2017'!$AE$72*$P$410&gt;0,' Plan Energi 2017'!$X$72*$P$401+' Plan Energi 2017'!$AE$72*$P$410,1)</f>
        <v>0</v>
      </c>
      <c r="Q638" s="650"/>
      <c r="R638" s="650">
        <f>' Plan Energi 2019'!V$72*$R$401/IF(' Plan Energi 2019'!$X$72*$R$401+' Plan Energi 2019'!$AE$72*$R$410&gt;0,' Plan Energi 2019'!$X$72*$R$401+' Plan Energi 2019'!$AE$72*$R$410,1)</f>
        <v>0</v>
      </c>
      <c r="S638" s="650"/>
      <c r="T638" s="726"/>
      <c r="U638" s="650"/>
      <c r="V638" s="726"/>
      <c r="W638" s="650"/>
      <c r="X638" s="604"/>
    </row>
    <row r="639" spans="1:24" x14ac:dyDescent="0.25">
      <c r="A639" s="604" t="s">
        <v>628</v>
      </c>
      <c r="B639" s="744"/>
      <c r="C639" s="744"/>
      <c r="D639" s="744"/>
      <c r="E639" s="744"/>
      <c r="F639" s="744"/>
      <c r="G639" s="744"/>
      <c r="H639" s="744"/>
      <c r="I639" s="744"/>
      <c r="J639" s="744"/>
      <c r="K639" s="744"/>
      <c r="L639" s="744"/>
      <c r="M639" s="744"/>
      <c r="N639" s="744"/>
      <c r="O639" s="744"/>
      <c r="P639" s="744"/>
      <c r="Q639" s="744"/>
      <c r="R639" s="744"/>
      <c r="S639" s="744"/>
      <c r="T639" s="726">
        <f>Transport!R26/IF(Transport!R22=0,1,Transport!R22)</f>
        <v>0</v>
      </c>
      <c r="U639" s="650"/>
      <c r="V639" s="726">
        <f>Transport!T26/IF(Transport!T22=0,1,Transport!T22)</f>
        <v>0</v>
      </c>
      <c r="W639" s="650"/>
      <c r="X639" s="604"/>
    </row>
    <row r="640" spans="1:24" x14ac:dyDescent="0.25">
      <c r="A640" s="604" t="s">
        <v>27</v>
      </c>
      <c r="B640" s="650">
        <f>' Plan Energi 2030-S'!AE$72*$B$401/IF(' Plan Energi 2030-S'!$X$72*$B$401+' Plan Energi 2030-S'!$AE$72*$B$410&gt;0,' Plan Energi 2030-S'!$X$72*$B$401+' Plan Energi 2030-S'!$AE$72*$B$410,1)</f>
        <v>0</v>
      </c>
      <c r="C640" s="650"/>
      <c r="D640" s="650">
        <f>' Plan Energi 2006'!AE$72*$D$401/IF(' Plan Energi 2006'!$X$72*$D$401+' Plan Energi 2006'!$AE$72*$D$410&gt;0,' Plan Energi 2006'!$X$72*$D$401+' Plan Energi 2006'!$AE$72*$D$410,1)</f>
        <v>0</v>
      </c>
      <c r="E640" s="650"/>
      <c r="F640" s="650">
        <f>' Plan Energi 2008'!AE$72*$F$401/IF(' Plan Energi 2008'!$X$72*$F$401+' Plan Energi 2008'!$AE$72*$F$410&gt;0,' Plan Energi 2008'!$X$72*$F$401+' Plan Energi 2008'!$AE$72*$F$410,1)</f>
        <v>0</v>
      </c>
      <c r="G640" s="650"/>
      <c r="H640" s="650">
        <f>' Plan Energi 2009'!AE$72*$H$401/IF(' Plan Energi 2009'!$X$72*$H$401+' Plan Energi 2009'!$AE$72*$H$410&gt;0,' Plan Energi 2009'!$X$72*$H$401+' Plan Energi 2009'!$AE$72*$H$410,1)</f>
        <v>0</v>
      </c>
      <c r="I640" s="650"/>
      <c r="J640" s="650">
        <f>' Plan Energi 2011'!AE$72*$J$401/IF(' Plan Energi 2011'!$X$72*$J$401+' Plan Energi 2011'!$AE$72*$J$410&gt;0,' Plan Energi 2011'!$X$72*$J$401+' Plan Energi 2011'!$AE$72*$J$410,1)</f>
        <v>0</v>
      </c>
      <c r="K640" s="650"/>
      <c r="L640" s="650">
        <f>' Plan Energi 2013'!AE$72*$L$401/IF(' Plan Energi 2013'!$X$72*$L$401+' Plan Energi 2013'!$AE$72*$L$410&gt;0,' Plan Energi 2013'!$X$72*$L$401+' Plan Energi 2013'!$AE$72*$L$410,1)</f>
        <v>0</v>
      </c>
      <c r="M640" s="650"/>
      <c r="N640" s="650">
        <f>' Plan Energi 2015'!AE$72*$N$401/IF(' Plan Energi 2015'!$X$72*$N$401+' Plan Energi 2015'!$AE$72*$N$410&gt;0,' Plan Energi 2015'!$X$72*$N$401+' Plan Energi 2015'!$AE$72*$N$410,1)</f>
        <v>0</v>
      </c>
      <c r="O640" s="650"/>
      <c r="P640" s="650">
        <f>' Plan Energi 2017'!AE$72*$P$401/IF(' Plan Energi 2017'!$X$72*$P$401+' Plan Energi 2017'!$AE$72*$P$410&gt;0,' Plan Energi 2017'!$X$72*$P$401+' Plan Energi 2017'!$AE$72*$P$410,1)</f>
        <v>0</v>
      </c>
      <c r="Q640" s="650"/>
      <c r="R640" s="650">
        <f>' Plan Energi 2019'!AE$72*$R$401/IF(' Plan Energi 2019'!$X$72*$R$401+' Plan Energi 2019'!$AE$72*$R$410&gt;0,' Plan Energi 2019'!$X$72*$R$401+' Plan Energi 2019'!$AE$72*$R$410,1)</f>
        <v>0</v>
      </c>
      <c r="S640" s="650"/>
      <c r="T640" s="726"/>
      <c r="U640" s="650"/>
      <c r="V640" s="726"/>
      <c r="W640" s="650"/>
      <c r="X640" s="604"/>
    </row>
    <row r="641" spans="1:24" x14ac:dyDescent="0.25">
      <c r="A641" s="629" t="s">
        <v>477</v>
      </c>
      <c r="B641" s="650"/>
      <c r="C641" s="650"/>
      <c r="D641" s="650"/>
      <c r="E641" s="650"/>
      <c r="F641" s="650"/>
      <c r="G641" s="650"/>
      <c r="H641" s="650"/>
      <c r="I641" s="650"/>
      <c r="J641" s="650"/>
      <c r="K641" s="650"/>
      <c r="L641" s="650"/>
      <c r="M641" s="650"/>
      <c r="N641" s="650"/>
      <c r="O641" s="650"/>
      <c r="P641" s="650"/>
      <c r="Q641" s="650"/>
      <c r="R641" s="650"/>
      <c r="S641" s="650"/>
      <c r="T641" s="650"/>
      <c r="U641" s="650"/>
      <c r="V641" s="650"/>
      <c r="W641" s="650"/>
      <c r="X641" s="604"/>
    </row>
    <row r="642" spans="1:24" x14ac:dyDescent="0.25">
      <c r="A642" s="604" t="s">
        <v>9</v>
      </c>
      <c r="B642" s="650">
        <f>' Plan Energi 2030-S'!F$73*$B$402/IF(' Plan Energi 2030-S'!$X$73*$B$402+' Plan Energi 2030-S'!$AE$73*$B$410&gt;0,' Plan Energi 2030-S'!$X$73*$B$402+' Plan Energi 2030-S'!$AE$73*$B$410,1)</f>
        <v>0.93100000000000005</v>
      </c>
      <c r="C642" s="650"/>
      <c r="D642" s="650">
        <f>' Plan Energi 2006'!F$73*$D$402/IF(' Plan Energi 2006'!$X$73*$D$402+' Plan Energi 2006'!$AE$73*$D$410&gt;0,' Plan Energi 2006'!$X$73*$D$402+' Plan Energi 2006'!$AE$73*$D$410,1)</f>
        <v>1</v>
      </c>
      <c r="E642" s="650"/>
      <c r="F642" s="650">
        <f>' Plan Energi 2008'!F$73*$F$402/IF(' Plan Energi 2008'!$X$73*$F$402+' Plan Energi 2008'!$AE$73*$F$410&gt;0,' Plan Energi 2008'!$X$73*$F$402+' Plan Energi 2008'!$AE$73*$F$410,1)</f>
        <v>0.9998999999999999</v>
      </c>
      <c r="G642" s="650"/>
      <c r="H642" s="650">
        <f>' Plan Energi 2009'!F$73*$H$402/IF(' Plan Energi 2009'!$X$73*$H$402+' Plan Energi 2009'!$AE$73*$H$410&gt;0,' Plan Energi 2009'!$X$73*$H$402+' Plan Energi 2009'!$AE$73*$H$410,1)</f>
        <v>0.99839999999999995</v>
      </c>
      <c r="I642" s="650"/>
      <c r="J642" s="650">
        <f>' Plan Energi 2011'!F$73*$J$402/IF(' Plan Energi 2011'!$X$73*$J$402+' Plan Energi 2011'!$AE$73*$J$410&gt;0,' Plan Energi 2011'!$X$73*$J$402+' Plan Energi 2011'!$AE$73*$J$410,1)</f>
        <v>0.96230000000000004</v>
      </c>
      <c r="K642" s="650"/>
      <c r="L642" s="650">
        <f>' Plan Energi 2013'!F$73*$L$402/IF(' Plan Energi 2013'!$X$73*$L$402+' Plan Energi 2013'!$AE$73*$L$410&gt;0,' Plan Energi 2013'!$X$73*$L$402+' Plan Energi 2013'!$AE$73*$L$410,1)</f>
        <v>0.93699999999999994</v>
      </c>
      <c r="M642" s="650"/>
      <c r="N642" s="650">
        <f>' Plan Energi 2015'!F$73*$N$402/IF(' Plan Energi 2015'!$X$73*$N$402+' Plan Energi 2015'!$AE$73*$N$410&gt;0,' Plan Energi 2015'!$X$73*$N$402+' Plan Energi 2015'!$AE$73*$N$410,1)</f>
        <v>0.92900000000000005</v>
      </c>
      <c r="O642" s="650"/>
      <c r="P642" s="650">
        <f>' Plan Energi 2017'!F$73*$P$402/IF(' Plan Energi 2017'!$X$73*$P$402+' Plan Energi 2017'!$AE$73*$P$410&gt;0,' Plan Energi 2017'!$X$73*$P$402+' Plan Energi 2017'!$AE$73*$P$410,1)</f>
        <v>0.93100000000000005</v>
      </c>
      <c r="Q642" s="650"/>
      <c r="R642" s="650">
        <f>' Plan Energi 2019'!F$73*$R$402/IF(' Plan Energi 2019'!$X$73*$R$402+' Plan Energi 2019'!$AE$73*$R$410&gt;0,' Plan Energi 2019'!$X$73*$R$402+' Plan Energi 2019'!$AE$73*$R$410,1)</f>
        <v>0.93100000000000005</v>
      </c>
      <c r="S642" s="650"/>
      <c r="T642" s="726">
        <f>1-T646-T643-T645</f>
        <v>0.93495426929111003</v>
      </c>
      <c r="U642" s="650"/>
      <c r="V642" s="726">
        <f>1-V646-V643-V645</f>
        <v>0.88652482269503552</v>
      </c>
      <c r="W642" s="650"/>
      <c r="X642" s="604"/>
    </row>
    <row r="643" spans="1:24" x14ac:dyDescent="0.25">
      <c r="A643" s="604" t="s">
        <v>3</v>
      </c>
      <c r="B643" s="650">
        <f>' Plan Energi 2030-S'!I$73*$B$402/IF(' Plan Energi 2030-S'!$X$73*$B$402+' Plan Energi 2030-S'!$AE$73*$B$410&gt;0,' Plan Energi 2030-S'!$X$73*$B$402+' Plan Energi 2030-S'!$AE$73*$B$410,1)</f>
        <v>0</v>
      </c>
      <c r="C643" s="650"/>
      <c r="D643" s="650">
        <f>' Plan Energi 2006'!I$73*$D$402/IF(' Plan Energi 2006'!$X$73*$D$402+' Plan Energi 2006'!$AE$73*$D$410&gt;0,' Plan Energi 2006'!$X$73*$D$402+' Plan Energi 2006'!$AE$73*$D$410,1)</f>
        <v>0</v>
      </c>
      <c r="E643" s="650"/>
      <c r="F643" s="650">
        <f>' Plan Energi 2008'!I$73*$F$402/IF(' Plan Energi 2008'!$X$73*$F$402+' Plan Energi 2008'!$AE$73*$F$410&gt;0,' Plan Energi 2008'!$X$73*$F$402+' Plan Energi 2008'!$AE$73*$F$410,1)</f>
        <v>0</v>
      </c>
      <c r="G643" s="650"/>
      <c r="H643" s="650">
        <f>' Plan Energi 2009'!I$73*$H$402/IF(' Plan Energi 2009'!$X$73*$H$402+' Plan Energi 2009'!$AE$73*$H$410&gt;0,' Plan Energi 2009'!$X$73*$H$402+' Plan Energi 2009'!$AE$73*$H$410,1)</f>
        <v>0</v>
      </c>
      <c r="I643" s="650"/>
      <c r="J643" s="650">
        <f>' Plan Energi 2011'!I$73*$J$402/IF(' Plan Energi 2011'!$X$73*$J$402+' Plan Energi 2011'!$AE$73*$J$410&gt;0,' Plan Energi 2011'!$X$73*$J$402+' Plan Energi 2011'!$AE$73*$J$410,1)</f>
        <v>0</v>
      </c>
      <c r="K643" s="650"/>
      <c r="L643" s="650">
        <f>' Plan Energi 2013'!I$73*$L$402/IF(' Plan Energi 2013'!$X$73*$L$402+' Plan Energi 2013'!$AE$73*$L$410&gt;0,' Plan Energi 2013'!$X$73*$L$402+' Plan Energi 2013'!$AE$73*$L$410,1)</f>
        <v>0</v>
      </c>
      <c r="M643" s="650"/>
      <c r="N643" s="650">
        <f>' Plan Energi 2015'!I$73*$N$402/IF(' Plan Energi 2015'!$X$73*$N$402+' Plan Energi 2015'!$AE$73*$N$410&gt;0,' Plan Energi 2015'!$X$73*$N$402+' Plan Energi 2015'!$AE$73*$N$410,1)</f>
        <v>0</v>
      </c>
      <c r="O643" s="650"/>
      <c r="P643" s="650">
        <f>' Plan Energi 2017'!I$73*$P$402/IF(' Plan Energi 2017'!$X$73*$P$402+' Plan Energi 2017'!$AE$73*$P$410&gt;0,' Plan Energi 2017'!$X$73*$P$402+' Plan Energi 2017'!$AE$73*$P$410,1)</f>
        <v>0</v>
      </c>
      <c r="Q643" s="650"/>
      <c r="R643" s="650">
        <f>' Plan Energi 2019'!I$73*$R$402/IF(' Plan Energi 2019'!$X$73*$R$402+' Plan Energi 2019'!$AE$73*$R$410&gt;0,' Plan Energi 2019'!$X$73*$R$402+' Plan Energi 2019'!$AE$73*$R$410,1)</f>
        <v>0</v>
      </c>
      <c r="S643" s="650"/>
      <c r="T643" s="726">
        <f>Transport!R22/IF(Transport!R$21=0,1,Transport!R$21)</f>
        <v>0</v>
      </c>
      <c r="U643" s="650"/>
      <c r="V643" s="726">
        <f>Transport!T22/IF(Transport!T$21=0,1,Transport!T$21)</f>
        <v>0</v>
      </c>
      <c r="W643" s="650"/>
      <c r="X643" s="604"/>
    </row>
    <row r="644" spans="1:24" x14ac:dyDescent="0.25">
      <c r="A644" s="604" t="s">
        <v>26</v>
      </c>
      <c r="B644" s="650">
        <f>' Plan Energi 2030-S'!V$73*$B$402/IF(' Plan Energi 2030-S'!$X$73*$B$402+' Plan Energi 2030-S'!$AE$73*$B$410&gt;0,' Plan Energi 2030-S'!$X$73*$B$402+' Plan Energi 2030-S'!$AE$73*$B$410,1)</f>
        <v>0</v>
      </c>
      <c r="C644" s="650"/>
      <c r="D644" s="650">
        <f>' Plan Energi 2006'!V$73*$D$402/IF(' Plan Energi 2006'!$X$73*$D$402+' Plan Energi 2006'!$AE$73*$D$410&gt;0,' Plan Energi 2006'!$X$73*$D$402+' Plan Energi 2006'!$AE$73*$D$410,1)</f>
        <v>0</v>
      </c>
      <c r="E644" s="650"/>
      <c r="F644" s="650">
        <f>' Plan Energi 2008'!V$73*$F$402/IF(' Plan Energi 2008'!$X$73*$F$402+' Plan Energi 2008'!$AE$73*$F$410&gt;0,' Plan Energi 2008'!$X$73*$F$402+' Plan Energi 2008'!$AE$73*$F$410,1)</f>
        <v>0</v>
      </c>
      <c r="G644" s="650"/>
      <c r="H644" s="650">
        <f>' Plan Energi 2009'!V$73*$H$402/IF(' Plan Energi 2009'!$X$73*$H$402+' Plan Energi 2009'!$AE$73*$H$410&gt;0,' Plan Energi 2009'!$X$73*$H$402+' Plan Energi 2009'!$AE$73*$H$410,1)</f>
        <v>0</v>
      </c>
      <c r="I644" s="650"/>
      <c r="J644" s="650">
        <f>' Plan Energi 2011'!V$73*$J$402/IF(' Plan Energi 2011'!$X$73*$J$402+' Plan Energi 2011'!$AE$73*$J$410&gt;0,' Plan Energi 2011'!$X$73*$J$402+' Plan Energi 2011'!$AE$73*$J$410,1)</f>
        <v>0</v>
      </c>
      <c r="K644" s="650"/>
      <c r="L644" s="650">
        <f>' Plan Energi 2013'!V$73*$L$402/IF(' Plan Energi 2013'!$X$73*$L$402+' Plan Energi 2013'!$AE$73*$L$410&gt;0,' Plan Energi 2013'!$X$73*$L$402+' Plan Energi 2013'!$AE$73*$L$410,1)</f>
        <v>0</v>
      </c>
      <c r="M644" s="650"/>
      <c r="N644" s="650">
        <f>' Plan Energi 2015'!V$73*$N$402/IF(' Plan Energi 2015'!$X$73*$N$402+' Plan Energi 2015'!$AE$73*$N$410&gt;0,' Plan Energi 2015'!$X$73*$N$402+' Plan Energi 2015'!$AE$73*$N$410,1)</f>
        <v>0</v>
      </c>
      <c r="O644" s="650"/>
      <c r="P644" s="650">
        <f>' Plan Energi 2017'!V$73*$P$402/IF(' Plan Energi 2017'!$X$73*$P$402+' Plan Energi 2017'!$AE$73*$P$410&gt;0,' Plan Energi 2017'!$X$73*$P$402+' Plan Energi 2017'!$AE$73*$P$410,1)</f>
        <v>0</v>
      </c>
      <c r="Q644" s="650"/>
      <c r="R644" s="650">
        <f>' Plan Energi 2019'!V$73*$R$402/IF(' Plan Energi 2019'!$X$73*$R$402+' Plan Energi 2019'!$AE$73*$R$410&gt;0,' Plan Energi 2019'!$X$73*$R$402+' Plan Energi 2019'!$AE$73*$R$410,1)</f>
        <v>0</v>
      </c>
      <c r="S644" s="650"/>
      <c r="T644" s="726"/>
      <c r="U644" s="650"/>
      <c r="V644" s="726"/>
      <c r="W644" s="650"/>
      <c r="X644" s="604"/>
    </row>
    <row r="645" spans="1:24" x14ac:dyDescent="0.25">
      <c r="A645" s="604" t="s">
        <v>373</v>
      </c>
      <c r="B645" s="650">
        <f>' Plan Energi 2030-S'!O$73*$B$402/IF(' Plan Energi 2030-S'!$X$73*$B$402+' Plan Energi 2030-S'!$AE$73*$B$410&gt;0,' Plan Energi 2030-S'!$X$73*$B$402+' Plan Energi 2030-S'!$AE$73*$B$410,1)</f>
        <v>0</v>
      </c>
      <c r="C645" s="650"/>
      <c r="D645" s="650">
        <f>' Plan Energi 2006'!O$73*$D$402/IF(' Plan Energi 2006'!$X$73*$D$402+' Plan Energi 2006'!$AE$73*$D$410&gt;0,' Plan Energi 2006'!$X$73*$D$402+' Plan Energi 2006'!$AE$73*$D$410,1)</f>
        <v>0</v>
      </c>
      <c r="E645" s="650"/>
      <c r="F645" s="650">
        <f>' Plan Energi 2008'!O$73*$F$402/IF(' Plan Energi 2008'!$X$73*$F$402+' Plan Energi 2008'!$AE$73*$F$410&gt;0,' Plan Energi 2008'!$X$73*$F$402+' Plan Energi 2008'!$AE$73*$F$410,1)</f>
        <v>0</v>
      </c>
      <c r="G645" s="650"/>
      <c r="H645" s="650">
        <f>' Plan Energi 2009'!O$73*$H$402/IF(' Plan Energi 2009'!$X$73*$H$402+' Plan Energi 2009'!$AE$73*$H$410&gt;0,' Plan Energi 2009'!$X$73*$H$402+' Plan Energi 2009'!$AE$73*$H$410,1)</f>
        <v>0</v>
      </c>
      <c r="I645" s="650"/>
      <c r="J645" s="650">
        <f>' Plan Energi 2011'!O$73*$J$402/IF(' Plan Energi 2011'!$X$73*$J$402+' Plan Energi 2011'!$AE$73*$J$410&gt;0,' Plan Energi 2011'!$X$73*$J$402+' Plan Energi 2011'!$AE$73*$J$410,1)</f>
        <v>0</v>
      </c>
      <c r="K645" s="650"/>
      <c r="L645" s="650">
        <f>' Plan Energi 2013'!O$73*$L$402/IF(' Plan Energi 2013'!$X$73*$L$402+' Plan Energi 2013'!$AE$73*$L$410&gt;0,' Plan Energi 2013'!$X$73*$L$402+' Plan Energi 2013'!$AE$73*$L$410,1)</f>
        <v>0</v>
      </c>
      <c r="M645" s="650"/>
      <c r="N645" s="650">
        <f>' Plan Energi 2015'!O$73*$N$402/IF(' Plan Energi 2015'!$X$73*$N$402+' Plan Energi 2015'!$AE$73*$N$410&gt;0,' Plan Energi 2015'!$X$73*$N$402+' Plan Energi 2015'!$AE$73*$N$410,1)</f>
        <v>0</v>
      </c>
      <c r="O645" s="650"/>
      <c r="P645" s="650">
        <f>' Plan Energi 2017'!O$73*$P$402/IF(' Plan Energi 2017'!$X$73*$P$402+' Plan Energi 2017'!$AE$73*$P$410&gt;0,' Plan Energi 2017'!$X$73*$P$402+' Plan Energi 2017'!$AE$73*$P$410,1)</f>
        <v>0</v>
      </c>
      <c r="Q645" s="650"/>
      <c r="R645" s="650">
        <f>' Plan Energi 2019'!O$73*$R$402/IF(' Plan Energi 2019'!$X$73*$R$402+' Plan Energi 2019'!$AE$73*$R$410&gt;0,' Plan Energi 2019'!$X$73*$R$402+' Plan Energi 2019'!$AE$73*$R$410,1)</f>
        <v>0</v>
      </c>
      <c r="S645" s="650"/>
      <c r="T645" s="726">
        <f>Transport!R23/IF(Transport!R$21=0,1,Transport!R$21)</f>
        <v>0</v>
      </c>
      <c r="U645" s="650"/>
      <c r="V645" s="726">
        <f>Transport!T23/IF(Transport!T$21=0,1,Transport!T$21)</f>
        <v>0</v>
      </c>
      <c r="W645" s="650"/>
      <c r="X645" s="604"/>
    </row>
    <row r="646" spans="1:24" x14ac:dyDescent="0.25">
      <c r="A646" s="604" t="s">
        <v>374</v>
      </c>
      <c r="B646" s="650">
        <f>' Plan Energi 2030-S'!P$73*$B$402/IF(' Plan Energi 2030-S'!$X$73*$B$402+' Plan Energi 2030-S'!$AE$73*$B$410&gt;0,' Plan Energi 2030-S'!$X$73*$B$402+' Plan Energi 2030-S'!$AE$73*$B$410,1)</f>
        <v>6.9000000000000006E-2</v>
      </c>
      <c r="C646" s="650"/>
      <c r="D646" s="650">
        <f>' Plan Energi 2006'!P$73*$D$402/IF(' Plan Energi 2006'!$X$73*$D$402+' Plan Energi 2006'!$AE$73*$D$410&gt;0,' Plan Energi 2006'!$X$73*$D$402+' Plan Energi 2006'!$AE$73*$D$410,1)</f>
        <v>0</v>
      </c>
      <c r="E646" s="650"/>
      <c r="F646" s="650">
        <f>' Plan Energi 2008'!P$73*$F$402/IF(' Plan Energi 2008'!$X$73*$F$402+' Plan Energi 2008'!$AE$73*$F$410&gt;0,' Plan Energi 2008'!$X$73*$F$402+' Plan Energi 2008'!$AE$73*$F$410,1)</f>
        <v>1E-4</v>
      </c>
      <c r="G646" s="650"/>
      <c r="H646" s="650">
        <f>' Plan Energi 2009'!P$73*$H$402/IF(' Plan Energi 2009'!$X$73*$H$402+' Plan Energi 2009'!$AE$73*$H$410&gt;0,' Plan Energi 2009'!$X$73*$H$402+' Plan Energi 2009'!$AE$73*$H$410,1)</f>
        <v>1.6000000000000001E-3</v>
      </c>
      <c r="I646" s="650"/>
      <c r="J646" s="650">
        <f>' Plan Energi 2011'!P$73*$J$402/IF(' Plan Energi 2011'!$X$73*$J$402+' Plan Energi 2011'!$AE$73*$J$410&gt;0,' Plan Energi 2011'!$X$73*$J$402+' Plan Energi 2011'!$AE$73*$J$410,1)</f>
        <v>3.7699999999999997E-2</v>
      </c>
      <c r="K646" s="650"/>
      <c r="L646" s="650">
        <f>' Plan Energi 2013'!P$73*$L$402/IF(' Plan Energi 2013'!$X$73*$L$402+' Plan Energi 2013'!$AE$73*$L$410&gt;0,' Plan Energi 2013'!$X$73*$L$402+' Plan Energi 2013'!$AE$73*$L$410,1)</f>
        <v>6.2999999999999987E-2</v>
      </c>
      <c r="M646" s="650"/>
      <c r="N646" s="650">
        <f>' Plan Energi 2015'!P$73*$N$402/IF(' Plan Energi 2015'!$X$73*$N$402+' Plan Energi 2015'!$AE$73*$N$410&gt;0,' Plan Energi 2015'!$X$73*$N$402+' Plan Energi 2015'!$AE$73*$N$410,1)</f>
        <v>7.0999999999999994E-2</v>
      </c>
      <c r="O646" s="650"/>
      <c r="P646" s="650">
        <f>' Plan Energi 2017'!P$73*$P$402/IF(' Plan Energi 2017'!$X$73*$P$402+' Plan Energi 2017'!$AE$73*$P$410&gt;0,' Plan Energi 2017'!$X$73*$P$402+' Plan Energi 2017'!$AE$73*$P$410,1)</f>
        <v>6.9000000000000006E-2</v>
      </c>
      <c r="Q646" s="650"/>
      <c r="R646" s="650">
        <f>' Plan Energi 2019'!P$73*$R$402/IF(' Plan Energi 2019'!$X$73*$R$402+' Plan Energi 2019'!$AE$73*$R$410&gt;0,' Plan Energi 2019'!$X$73*$R$402+' Plan Energi 2019'!$AE$73*$R$410,1)</f>
        <v>6.9000000000000006E-2</v>
      </c>
      <c r="S646" s="650"/>
      <c r="T646" s="726">
        <f>Transport!R24/IF(Transport!R$21=0,1,Transport!R$21)</f>
        <v>6.5045730708889929E-2</v>
      </c>
      <c r="U646" s="650"/>
      <c r="V646" s="726">
        <f>Transport!T24/IF(Transport!T$21=0,1,Transport!T$21)</f>
        <v>0.11347517730496454</v>
      </c>
      <c r="W646" s="650"/>
      <c r="X646" s="604"/>
    </row>
    <row r="647" spans="1:24" x14ac:dyDescent="0.25">
      <c r="A647" s="604" t="s">
        <v>628</v>
      </c>
      <c r="B647" s="744"/>
      <c r="C647" s="744"/>
      <c r="D647" s="744"/>
      <c r="E647" s="744"/>
      <c r="F647" s="744"/>
      <c r="G647" s="744"/>
      <c r="H647" s="744"/>
      <c r="I647" s="744"/>
      <c r="J647" s="744"/>
      <c r="K647" s="744"/>
      <c r="L647" s="744"/>
      <c r="M647" s="744"/>
      <c r="N647" s="744"/>
      <c r="O647" s="744"/>
      <c r="P647" s="744"/>
      <c r="Q647" s="744"/>
      <c r="R647" s="744"/>
      <c r="S647" s="744"/>
      <c r="T647" s="726">
        <f>Transport!R25/IF(Transport!R$21=0,1,Transport!R$21)</f>
        <v>0</v>
      </c>
      <c r="U647" s="650"/>
      <c r="V647" s="726">
        <f>Transport!T25/IF(Transport!T$21=0,1,Transport!T$21)</f>
        <v>0</v>
      </c>
      <c r="W647" s="650"/>
      <c r="X647" s="604"/>
    </row>
    <row r="648" spans="1:24" x14ac:dyDescent="0.25">
      <c r="A648" s="604" t="s">
        <v>27</v>
      </c>
      <c r="B648" s="650">
        <f>' Plan Energi 2030-S'!AE$73*$B$402/IF(' Plan Energi 2030-S'!$X$73*$B$402+' Plan Energi 2030-S'!$AE$73*$B$410&gt;0,' Plan Energi 2030-S'!$X$73*$B$402+' Plan Energi 2030-S'!$AE$73*$B$410,1)</f>
        <v>0</v>
      </c>
      <c r="C648" s="650"/>
      <c r="D648" s="650">
        <f>' Plan Energi 2006'!AE$73*$D$402/IF(' Plan Energi 2006'!$X$73*$D$402+' Plan Energi 2006'!$AE$73*$D$410&gt;0,' Plan Energi 2006'!$X$73*$D$402+' Plan Energi 2006'!$AE$73*$D$410,1)</f>
        <v>0</v>
      </c>
      <c r="E648" s="650"/>
      <c r="F648" s="650">
        <f>' Plan Energi 2008'!AE$73*$F$402/IF(' Plan Energi 2008'!$X$73*$F$402+' Plan Energi 2008'!$AE$73*$F$410&gt;0,' Plan Energi 2008'!$X$73*$F$402+' Plan Energi 2008'!$AE$73*$F$410,1)</f>
        <v>0</v>
      </c>
      <c r="G648" s="650"/>
      <c r="H648" s="650">
        <f>' Plan Energi 2009'!AE$73*$H$402/IF(' Plan Energi 2009'!$X$73*$H$402+' Plan Energi 2009'!$AE$73*$H$410&gt;0,' Plan Energi 2009'!$X$73*$H$402+' Plan Energi 2009'!$AE$73*$H$410,1)</f>
        <v>0</v>
      </c>
      <c r="I648" s="650"/>
      <c r="J648" s="650">
        <f>' Plan Energi 2011'!AE$73*$J$402/IF(' Plan Energi 2011'!$X$73*$J$402+' Plan Energi 2011'!$AE$73*$J$410&gt;0,' Plan Energi 2011'!$X$73*$J$402+' Plan Energi 2011'!$AE$73*$J$410,1)</f>
        <v>0</v>
      </c>
      <c r="K648" s="650"/>
      <c r="L648" s="650">
        <f>' Plan Energi 2013'!AE$73*$L$402/IF(' Plan Energi 2013'!$X$73*$L$402+' Plan Energi 2013'!$AE$73*$L$410&gt;0,' Plan Energi 2013'!$X$73*$L$402+' Plan Energi 2013'!$AE$73*$L$410,1)</f>
        <v>0</v>
      </c>
      <c r="M648" s="650"/>
      <c r="N648" s="650">
        <f>' Plan Energi 2015'!AE$73*$N$402/IF(' Plan Energi 2015'!$X$73*$N$402+' Plan Energi 2015'!$AE$73*$N$410&gt;0,' Plan Energi 2015'!$X$73*$N$402+' Plan Energi 2015'!$AE$73*$N$410,1)</f>
        <v>0</v>
      </c>
      <c r="O648" s="650"/>
      <c r="P648" s="650">
        <f>' Plan Energi 2017'!AE$73*$P$402/IF(' Plan Energi 2017'!$X$73*$P$402+' Plan Energi 2017'!$AE$73*$P$410&gt;0,' Plan Energi 2017'!$X$73*$P$402+' Plan Energi 2017'!$AE$73*$P$410,1)</f>
        <v>0</v>
      </c>
      <c r="Q648" s="650"/>
      <c r="R648" s="650">
        <f>' Plan Energi 2019'!AE$73*$R$402/IF(' Plan Energi 2019'!$X$73*$R$402+' Plan Energi 2019'!$AE$73*$R$410&gt;0,' Plan Energi 2019'!$X$73*$R$402+' Plan Energi 2019'!$AE$73*$R$410,1)</f>
        <v>0</v>
      </c>
      <c r="S648" s="650"/>
      <c r="T648" s="726"/>
      <c r="U648" s="650"/>
      <c r="V648" s="726"/>
      <c r="W648" s="650"/>
      <c r="X648" s="604"/>
    </row>
    <row r="649" spans="1:24" x14ac:dyDescent="0.25">
      <c r="A649" s="629" t="s">
        <v>478</v>
      </c>
      <c r="B649" s="650"/>
      <c r="C649" s="650"/>
      <c r="D649" s="650"/>
      <c r="E649" s="650"/>
      <c r="F649" s="650"/>
      <c r="G649" s="650"/>
      <c r="H649" s="650"/>
      <c r="I649" s="650"/>
      <c r="J649" s="650"/>
      <c r="K649" s="650"/>
      <c r="L649" s="650"/>
      <c r="M649" s="650"/>
      <c r="N649" s="650"/>
      <c r="O649" s="650"/>
      <c r="P649" s="650"/>
      <c r="Q649" s="650"/>
      <c r="R649" s="650"/>
      <c r="S649" s="650"/>
      <c r="T649" s="650"/>
      <c r="U649" s="650"/>
      <c r="V649" s="650"/>
      <c r="W649" s="650"/>
      <c r="X649" s="604"/>
    </row>
    <row r="650" spans="1:24" x14ac:dyDescent="0.25">
      <c r="A650" s="604" t="s">
        <v>9</v>
      </c>
      <c r="B650" s="650">
        <f>' Plan Energi 2030-S'!F$74*$B$403/IF(' Plan Energi 2030-S'!$X$74*$B$403+' Plan Energi 2030-S'!$AE$74*$B$410&gt;0,' Plan Energi 2030-S'!$X$74*$B$403+' Plan Energi 2030-S'!$AE$74*$B$410,1)</f>
        <v>0.93099999999999994</v>
      </c>
      <c r="C650" s="650"/>
      <c r="D650" s="650">
        <f>' Plan Energi 2006'!F$74*$D$403/IF(' Plan Energi 2006'!$X$74*$D$403+' Plan Energi 2006'!$AE$74*$D$410&gt;0,' Plan Energi 2006'!$X$74*$D$403+' Plan Energi 2006'!$AE$74*$D$410,1)</f>
        <v>1</v>
      </c>
      <c r="E650" s="650"/>
      <c r="F650" s="650">
        <f>' Plan Energi 2008'!F$74*$F$403/IF(' Plan Energi 2008'!$X$74*$F$403+' Plan Energi 2008'!$AE$74*$F$410&gt;0,' Plan Energi 2008'!$X$74*$F$403+' Plan Energi 2008'!$AE$74*$F$410,1)</f>
        <v>0.99990000000000001</v>
      </c>
      <c r="G650" s="650"/>
      <c r="H650" s="650">
        <f>' Plan Energi 2009'!F$74*$H$403/IF(' Plan Energi 2009'!$X$74*$H$403+' Plan Energi 2009'!$AE$74*$H$410&gt;0,' Plan Energi 2009'!$X$74*$H$403+' Plan Energi 2009'!$AE$74*$H$410,1)</f>
        <v>0.99800000000000011</v>
      </c>
      <c r="I650" s="650"/>
      <c r="J650" s="650">
        <f>' Plan Energi 2011'!F$74*$J$403/IF(' Plan Energi 2011'!$X$74*$J$403+' Plan Energi 2011'!$AE$74*$J$410&gt;0,' Plan Energi 2011'!$X$74*$J$403+' Plan Energi 2011'!$AE$74*$J$410,1)</f>
        <v>0.96200000000000008</v>
      </c>
      <c r="K650" s="650"/>
      <c r="L650" s="650">
        <f>' Plan Energi 2013'!F$74*$L$403/IF(' Plan Energi 2013'!$X$74*$L$403+' Plan Energi 2013'!$AE$74*$L$410&gt;0,' Plan Energi 2013'!$X$74*$L$403+' Plan Energi 2013'!$AE$74*$L$410,1)</f>
        <v>0.93699999999999994</v>
      </c>
      <c r="M650" s="650"/>
      <c r="N650" s="650">
        <f>' Plan Energi 2015'!F$74*$N$403/IF(' Plan Energi 2015'!$X$74*$N$403+' Plan Energi 2015'!$AE$74*$N$410&gt;0,' Plan Energi 2015'!$X$74*$N$403+' Plan Energi 2015'!$AE$74*$N$410,1)</f>
        <v>0.92900000000000005</v>
      </c>
      <c r="O650" s="650"/>
      <c r="P650" s="650">
        <f>' Plan Energi 2017'!F$74*$P$403/IF(' Plan Energi 2017'!$X$74*$P$403+' Plan Energi 2017'!$AE$74*$P$410&gt;0,' Plan Energi 2017'!$X$74*$P$403+' Plan Energi 2017'!$AE$74*$P$410,1)</f>
        <v>0.93099999999999994</v>
      </c>
      <c r="Q650" s="650"/>
      <c r="R650" s="650">
        <f>' Plan Energi 2019'!F$74*$R$403/IF(' Plan Energi 2019'!$X$74*$R$403+' Plan Energi 2019'!$AE$74*$R$410&gt;0,' Plan Energi 2019'!$X$74*$R$403+' Plan Energi 2019'!$AE$74*$R$410,1)</f>
        <v>0.93099999999999994</v>
      </c>
      <c r="S650" s="650"/>
      <c r="T650" s="726">
        <f>Transport!R29</f>
        <v>0.93100000000000005</v>
      </c>
      <c r="U650" s="650"/>
      <c r="V650" s="726">
        <f>Transport!T29</f>
        <v>0.8915254237288136</v>
      </c>
      <c r="W650" s="650"/>
      <c r="X650" s="604"/>
    </row>
    <row r="651" spans="1:24" x14ac:dyDescent="0.25">
      <c r="A651" s="604" t="s">
        <v>11</v>
      </c>
      <c r="B651" s="650">
        <f>' Plan Energi 2030-S'!H$74*$B$403/IF(' Plan Energi 2030-S'!$X$74*$B$403+' Plan Energi 2030-S'!$AE$74*$B$410&gt;0,' Plan Energi 2030-S'!$X$74*$B$403+' Plan Energi 2030-S'!$AE$74*$B$410,1)</f>
        <v>0</v>
      </c>
      <c r="C651" s="650"/>
      <c r="D651" s="650">
        <f>' Plan Energi 2006'!H$74*$D$403/IF(' Plan Energi 2006'!$X$74*$D$403+' Plan Energi 2006'!$AE$74*$D$410&gt;0,' Plan Energi 2006'!$X$74*$D$403+' Plan Energi 2006'!$AE$74*$D$410,1)</f>
        <v>0</v>
      </c>
      <c r="E651" s="650"/>
      <c r="F651" s="650">
        <f>' Plan Energi 2008'!H$74*$F$403/IF(' Plan Energi 2008'!$X$74*$F$403+' Plan Energi 2008'!$AE$74*$F$410&gt;0,' Plan Energi 2008'!$X$74*$F$403+' Plan Energi 2008'!$AE$74*$F$410,1)</f>
        <v>0</v>
      </c>
      <c r="G651" s="650"/>
      <c r="H651" s="650">
        <f>' Plan Energi 2009'!H$74*$H$403/IF(' Plan Energi 2009'!$X$74*$H$403+' Plan Energi 2009'!$AE$74*$H$410&gt;0,' Plan Energi 2009'!$X$74*$H$403+' Plan Energi 2009'!$AE$74*$H$410,1)</f>
        <v>0</v>
      </c>
      <c r="I651" s="650"/>
      <c r="J651" s="650">
        <f>' Plan Energi 2011'!H$74*$J$403/IF(' Plan Energi 2011'!$X$74*$J$403+' Plan Energi 2011'!$AE$74*$J$410&gt;0,' Plan Energi 2011'!$X$74*$J$403+' Plan Energi 2011'!$AE$74*$J$410,1)</f>
        <v>0</v>
      </c>
      <c r="K651" s="650"/>
      <c r="L651" s="650">
        <f>' Plan Energi 2013'!H$74*$L$403/IF(' Plan Energi 2013'!$X$74*$L$403+' Plan Energi 2013'!$AE$74*$L$410&gt;0,' Plan Energi 2013'!$X$74*$L$403+' Plan Energi 2013'!$AE$74*$L$410,1)</f>
        <v>0</v>
      </c>
      <c r="M651" s="650"/>
      <c r="N651" s="650">
        <f>' Plan Energi 2015'!H$74*$N$403/IF(' Plan Energi 2015'!$X$74*$N$403+' Plan Energi 2015'!$AE$74*$N$410&gt;0,' Plan Energi 2015'!$X$74*$N$403+' Plan Energi 2015'!$AE$74*$N$410,1)</f>
        <v>0</v>
      </c>
      <c r="O651" s="650"/>
      <c r="P651" s="650">
        <f>' Plan Energi 2017'!H$74*$P$403/IF(' Plan Energi 2017'!$X$74*$P$403+' Plan Energi 2017'!$AE$74*$P$410&gt;0,' Plan Energi 2017'!$X$74*$P$403+' Plan Energi 2017'!$AE$74*$P$410,1)</f>
        <v>0</v>
      </c>
      <c r="Q651" s="650"/>
      <c r="R651" s="650">
        <f>' Plan Energi 2019'!H$74*$R$403/IF(' Plan Energi 2019'!$X$74*$R$403+' Plan Energi 2019'!$AE$74*$R$410&gt;0,' Plan Energi 2019'!$X$74*$R$403+' Plan Energi 2019'!$AE$74*$R$410,1)</f>
        <v>0</v>
      </c>
      <c r="S651" s="650"/>
      <c r="T651" s="726">
        <f>Transport!R30</f>
        <v>0</v>
      </c>
      <c r="U651" s="650"/>
      <c r="V651" s="726">
        <f>Transport!T30</f>
        <v>3.0508474576271191E-2</v>
      </c>
      <c r="W651" s="650"/>
      <c r="X651" s="604"/>
    </row>
    <row r="652" spans="1:24" x14ac:dyDescent="0.25">
      <c r="A652" s="604" t="s">
        <v>26</v>
      </c>
      <c r="B652" s="650">
        <f>' Plan Energi 2030-S'!V$74*$B$403/IF(' Plan Energi 2030-S'!$X$74*$B$403+' Plan Energi 2030-S'!$AE$74*$B$410&gt;0,' Plan Energi 2030-S'!$X$74*$B$403+' Plan Energi 2030-S'!$AE$74*$B$410,1)</f>
        <v>0</v>
      </c>
      <c r="C652" s="650"/>
      <c r="D652" s="650">
        <f>' Plan Energi 2006'!V$74*$D$403/IF(' Plan Energi 2006'!$X$74*$D$403+' Plan Energi 2006'!$AE$74*$D$410&gt;0,' Plan Energi 2006'!$X$74*$D$403+' Plan Energi 2006'!$AE$74*$D$410,1)</f>
        <v>0</v>
      </c>
      <c r="E652" s="650"/>
      <c r="F652" s="650">
        <f>' Plan Energi 2008'!V$74*$F$403/IF(' Plan Energi 2008'!$X$74*$F$403+' Plan Energi 2008'!$AE$74*$F$410&gt;0,' Plan Energi 2008'!$X$74*$F$403+' Plan Energi 2008'!$AE$74*$F$410,1)</f>
        <v>0</v>
      </c>
      <c r="G652" s="650"/>
      <c r="H652" s="650">
        <f>' Plan Energi 2009'!V$74*$H$403/IF(' Plan Energi 2009'!$X$74*$H$403+' Plan Energi 2009'!$AE$74*$H$410&gt;0,' Plan Energi 2009'!$X$74*$H$403+' Plan Energi 2009'!$AE$74*$H$410,1)</f>
        <v>0</v>
      </c>
      <c r="I652" s="650"/>
      <c r="J652" s="650">
        <f>' Plan Energi 2011'!V$74*$J$403/IF(' Plan Energi 2011'!$X$74*$J$403+' Plan Energi 2011'!$AE$74*$J$410&gt;0,' Plan Energi 2011'!$X$74*$J$403+' Plan Energi 2011'!$AE$74*$J$410,1)</f>
        <v>0</v>
      </c>
      <c r="K652" s="650"/>
      <c r="L652" s="650">
        <f>' Plan Energi 2013'!V$74*$L$403/IF(' Plan Energi 2013'!$X$74*$L$403+' Plan Energi 2013'!$AE$74*$L$410&gt;0,' Plan Energi 2013'!$X$74*$L$403+' Plan Energi 2013'!$AE$74*$L$410,1)</f>
        <v>0</v>
      </c>
      <c r="M652" s="650"/>
      <c r="N652" s="650">
        <f>' Plan Energi 2015'!V$74*$N$403/IF(' Plan Energi 2015'!$X$74*$N$403+' Plan Energi 2015'!$AE$74*$N$410&gt;0,' Plan Energi 2015'!$X$74*$N$403+' Plan Energi 2015'!$AE$74*$N$410,1)</f>
        <v>0</v>
      </c>
      <c r="O652" s="650"/>
      <c r="P652" s="650">
        <f>' Plan Energi 2017'!V$74*$P$403/IF(' Plan Energi 2017'!$X$74*$P$403+' Plan Energi 2017'!$AE$74*$P$410&gt;0,' Plan Energi 2017'!$X$74*$P$403+' Plan Energi 2017'!$AE$74*$P$410,1)</f>
        <v>0</v>
      </c>
      <c r="Q652" s="650"/>
      <c r="R652" s="650">
        <f>' Plan Energi 2019'!V$74*$R$403/IF(' Plan Energi 2019'!$X$74*$R$403+' Plan Energi 2019'!$AE$74*$R$410&gt;0,' Plan Energi 2019'!$X$74*$R$403+' Plan Energi 2019'!$AE$74*$R$410,1)</f>
        <v>0</v>
      </c>
      <c r="S652" s="650"/>
      <c r="T652" s="726">
        <f>Transport!R31</f>
        <v>0</v>
      </c>
      <c r="U652" s="650"/>
      <c r="V652" s="726">
        <f>Transport!T31</f>
        <v>0</v>
      </c>
      <c r="W652" s="650"/>
      <c r="X652" s="604"/>
    </row>
    <row r="653" spans="1:24" x14ac:dyDescent="0.25">
      <c r="A653" s="604" t="s">
        <v>373</v>
      </c>
      <c r="B653" s="650">
        <f>' Plan Energi 2030-S'!O$74*$B$403/IF(' Plan Energi 2030-S'!$X$74*$B$403+' Plan Energi 2030-S'!$AE$74*$B$410&gt;0,' Plan Energi 2030-S'!$X$74*$B$403+' Plan Energi 2030-S'!$AE$74*$B$410,1)</f>
        <v>0</v>
      </c>
      <c r="C653" s="650"/>
      <c r="D653" s="650">
        <f>' Plan Energi 2006'!O$74*$D$403/IF(' Plan Energi 2006'!$X$74*$D$403+' Plan Energi 2006'!$AE$74*$D$410&gt;0,' Plan Energi 2006'!$X$74*$D$403+' Plan Energi 2006'!$AE$74*$D$410,1)</f>
        <v>0</v>
      </c>
      <c r="E653" s="650"/>
      <c r="F653" s="650">
        <f>' Plan Energi 2008'!O$74*$F$403/IF(' Plan Energi 2008'!$X$74*$F$403+' Plan Energi 2008'!$AE$74*$F$410&gt;0,' Plan Energi 2008'!$X$74*$F$403+' Plan Energi 2008'!$AE$74*$F$410,1)</f>
        <v>0</v>
      </c>
      <c r="G653" s="650"/>
      <c r="H653" s="650">
        <f>' Plan Energi 2009'!O$74*$H$403/IF(' Plan Energi 2009'!$X$74*$H$403+' Plan Energi 2009'!$AE$74*$H$410&gt;0,' Plan Energi 2009'!$X$74*$H$403+' Plan Energi 2009'!$AE$74*$H$410,1)</f>
        <v>0</v>
      </c>
      <c r="I653" s="650"/>
      <c r="J653" s="650">
        <f>' Plan Energi 2011'!O$74*$J$403/IF(' Plan Energi 2011'!$X$74*$J$403+' Plan Energi 2011'!$AE$74*$J$410&gt;0,' Plan Energi 2011'!$X$74*$J$403+' Plan Energi 2011'!$AE$74*$J$410,1)</f>
        <v>0</v>
      </c>
      <c r="K653" s="650"/>
      <c r="L653" s="650">
        <f>' Plan Energi 2013'!O$74*$L$403/IF(' Plan Energi 2013'!$X$74*$L$403+' Plan Energi 2013'!$AE$74*$L$410&gt;0,' Plan Energi 2013'!$X$74*$L$403+' Plan Energi 2013'!$AE$74*$L$410,1)</f>
        <v>0</v>
      </c>
      <c r="M653" s="650"/>
      <c r="N653" s="650">
        <f>' Plan Energi 2015'!O$74*$N$403/IF(' Plan Energi 2015'!$X$74*$N$403+' Plan Energi 2015'!$AE$74*$N$410&gt;0,' Plan Energi 2015'!$X$74*$N$403+' Plan Energi 2015'!$AE$74*$N$410,1)</f>
        <v>0</v>
      </c>
      <c r="O653" s="650"/>
      <c r="P653" s="650">
        <f>' Plan Energi 2017'!O$74*$P$403/IF(' Plan Energi 2017'!$X$74*$P$403+' Plan Energi 2017'!$AE$74*$P$410&gt;0,' Plan Energi 2017'!$X$74*$P$403+' Plan Energi 2017'!$AE$74*$P$410,1)</f>
        <v>0</v>
      </c>
      <c r="Q653" s="650"/>
      <c r="R653" s="650">
        <f>' Plan Energi 2019'!O$74*$R$403/IF(' Plan Energi 2019'!$X$74*$R$403+' Plan Energi 2019'!$AE$74*$R$410&gt;0,' Plan Energi 2019'!$X$74*$R$403+' Plan Energi 2019'!$AE$74*$R$410,1)</f>
        <v>0</v>
      </c>
      <c r="S653" s="650"/>
      <c r="T653" s="726">
        <f>Transport!R32</f>
        <v>0</v>
      </c>
      <c r="U653" s="650"/>
      <c r="V653" s="726">
        <f>Transport!T32</f>
        <v>0</v>
      </c>
      <c r="W653" s="650"/>
      <c r="X653" s="604"/>
    </row>
    <row r="654" spans="1:24" x14ac:dyDescent="0.25">
      <c r="A654" s="604" t="s">
        <v>3</v>
      </c>
      <c r="B654" s="650">
        <f>' Plan Energi 2030-S'!I$74*$B$403/IF(' Plan Energi 2030-S'!$X$74*$B$403+' Plan Energi 2030-S'!$AE$74*$B$410&gt;0,' Plan Energi 2030-S'!$X$74*$B$403+' Plan Energi 2030-S'!$AE$74*$B$410,1)</f>
        <v>0</v>
      </c>
      <c r="C654" s="650"/>
      <c r="D654" s="650">
        <f>' Plan Energi 2006'!I$74*$D$403/IF(' Plan Energi 2006'!$X$74*$D$403+' Plan Energi 2006'!$AE$74*$D$410&gt;0,' Plan Energi 2006'!$X$74*$D$403+' Plan Energi 2006'!$AE$74*$D$410,1)</f>
        <v>0</v>
      </c>
      <c r="E654" s="650"/>
      <c r="F654" s="650">
        <f>' Plan Energi 2008'!I$74*$F$403/IF(' Plan Energi 2008'!$X$74*$F$403+' Plan Energi 2008'!$AE$74*$F$410&gt;0,' Plan Energi 2008'!$X$74*$F$403+' Plan Energi 2008'!$AE$74*$F$410,1)</f>
        <v>0</v>
      </c>
      <c r="G654" s="650"/>
      <c r="H654" s="650">
        <f>' Plan Energi 2009'!I$74*$H$403/IF(' Plan Energi 2009'!$X$74*$H$403+' Plan Energi 2009'!$AE$74*$H$410&gt;0,' Plan Energi 2009'!$X$74*$H$403+' Plan Energi 2009'!$AE$74*$H$410,1)</f>
        <v>0</v>
      </c>
      <c r="I654" s="650"/>
      <c r="J654" s="650">
        <f>' Plan Energi 2011'!I$74*$J$403/IF(' Plan Energi 2011'!$X$74*$J$403+' Plan Energi 2011'!$AE$74*$J$410&gt;0,' Plan Energi 2011'!$X$74*$J$403+' Plan Energi 2011'!$AE$74*$J$410,1)</f>
        <v>0</v>
      </c>
      <c r="K654" s="650"/>
      <c r="L654" s="650">
        <f>' Plan Energi 2013'!I$74*$L$403/IF(' Plan Energi 2013'!$X$74*$L$403+' Plan Energi 2013'!$AE$74*$L$410&gt;0,' Plan Energi 2013'!$X$74*$L$403+' Plan Energi 2013'!$AE$74*$L$410,1)</f>
        <v>0</v>
      </c>
      <c r="M654" s="650"/>
      <c r="N654" s="650">
        <f>' Plan Energi 2015'!I$74*$N$403/IF(' Plan Energi 2015'!$X$74*$N$403+' Plan Energi 2015'!$AE$74*$N$410&gt;0,' Plan Energi 2015'!$X$74*$N$403+' Plan Energi 2015'!$AE$74*$N$410,1)</f>
        <v>0</v>
      </c>
      <c r="O654" s="650"/>
      <c r="P654" s="650">
        <f>' Plan Energi 2017'!I$74*$P$403/IF(' Plan Energi 2017'!$X$74*$P$403+' Plan Energi 2017'!$AE$74*$P$410&gt;0,' Plan Energi 2017'!$X$74*$P$403+' Plan Energi 2017'!$AE$74*$P$410,1)</f>
        <v>0</v>
      </c>
      <c r="Q654" s="650"/>
      <c r="R654" s="650">
        <f>' Plan Energi 2019'!I$74*$R$403/IF(' Plan Energi 2019'!$X$74*$R$403+' Plan Energi 2019'!$AE$74*$R$410&gt;0,' Plan Energi 2019'!$X$74*$R$403+' Plan Energi 2019'!$AE$74*$R$410,1)</f>
        <v>0</v>
      </c>
      <c r="S654" s="650"/>
      <c r="T654" s="726">
        <f>Transport!R33</f>
        <v>0</v>
      </c>
      <c r="U654" s="650"/>
      <c r="V654" s="726">
        <f>Transport!T33</f>
        <v>0</v>
      </c>
      <c r="W654" s="650"/>
      <c r="X654" s="604"/>
    </row>
    <row r="655" spans="1:24" x14ac:dyDescent="0.25">
      <c r="A655" s="604" t="s">
        <v>374</v>
      </c>
      <c r="B655" s="650">
        <f>' Plan Energi 2030-S'!P$74*$B$403/IF(' Plan Energi 2030-S'!$X$74*$B$403+' Plan Energi 2030-S'!$AE$74*$B$410&gt;0,' Plan Energi 2030-S'!$X$74*$B$403+' Plan Energi 2030-S'!$AE$74*$B$410,1)</f>
        <v>6.9000000000000006E-2</v>
      </c>
      <c r="C655" s="650"/>
      <c r="D655" s="650">
        <f>' Plan Energi 2006'!P$74*$D$403/IF(' Plan Energi 2006'!$X$74*$D$403+' Plan Energi 2006'!$AE$74*$D$410&gt;0,' Plan Energi 2006'!$X$74*$D$403+' Plan Energi 2006'!$AE$74*$D$410,1)</f>
        <v>0</v>
      </c>
      <c r="E655" s="650"/>
      <c r="F655" s="650">
        <f>' Plan Energi 2008'!P$74*$F$403/IF(' Plan Energi 2008'!$X$74*$F$403+' Plan Energi 2008'!$AE$74*$F$410&gt;0,' Plan Energi 2008'!$X$74*$F$403+' Plan Energi 2008'!$AE$74*$F$410,1)</f>
        <v>1E-4</v>
      </c>
      <c r="G655" s="650"/>
      <c r="H655" s="650">
        <f>' Plan Energi 2009'!P$74*$H$403/IF(' Plan Energi 2009'!$X$74*$H$403+' Plan Energi 2009'!$AE$74*$H$410&gt;0,' Plan Energi 2009'!$X$74*$H$403+' Plan Energi 2009'!$AE$74*$H$410,1)</f>
        <v>2E-3</v>
      </c>
      <c r="I655" s="650"/>
      <c r="J655" s="650">
        <f>' Plan Energi 2011'!P$74*$J$403/IF(' Plan Energi 2011'!$X$74*$J$403+' Plan Energi 2011'!$AE$74*$J$410&gt;0,' Plan Energi 2011'!$X$74*$J$403+' Plan Energi 2011'!$AE$74*$J$410,1)</f>
        <v>3.7999999999999999E-2</v>
      </c>
      <c r="K655" s="650"/>
      <c r="L655" s="650">
        <f>' Plan Energi 2013'!P$74*$L$403/IF(' Plan Energi 2013'!$X$74*$L$403+' Plan Energi 2013'!$AE$74*$L$410&gt;0,' Plan Energi 2013'!$X$74*$L$403+' Plan Energi 2013'!$AE$74*$L$410,1)</f>
        <v>6.2999999999999987E-2</v>
      </c>
      <c r="M655" s="650"/>
      <c r="N655" s="650">
        <f>' Plan Energi 2015'!P$74*$N$403/IF(' Plan Energi 2015'!$X$74*$N$403+' Plan Energi 2015'!$AE$74*$N$410&gt;0,' Plan Energi 2015'!$X$74*$N$403+' Plan Energi 2015'!$AE$74*$N$410,1)</f>
        <v>7.0999999999999994E-2</v>
      </c>
      <c r="O655" s="650"/>
      <c r="P655" s="650">
        <f>' Plan Energi 2017'!P$74*$P$403/IF(' Plan Energi 2017'!$X$74*$P$403+' Plan Energi 2017'!$AE$74*$P$410&gt;0,' Plan Energi 2017'!$X$74*$P$403+' Plan Energi 2017'!$AE$74*$P$410,1)</f>
        <v>6.9000000000000006E-2</v>
      </c>
      <c r="Q655" s="650"/>
      <c r="R655" s="650">
        <f>' Plan Energi 2019'!P$74*$R$403/IF(' Plan Energi 2019'!$X$74*$R$403+' Plan Energi 2019'!$AE$74*$R$410&gt;0,' Plan Energi 2019'!$X$74*$R$403+' Plan Energi 2019'!$AE$74*$R$410,1)</f>
        <v>6.9000000000000006E-2</v>
      </c>
      <c r="S655" s="650"/>
      <c r="T655" s="726">
        <f>Transport!R34</f>
        <v>6.9000000000000006E-2</v>
      </c>
      <c r="U655" s="650"/>
      <c r="V655" s="726">
        <f>Transport!T34</f>
        <v>6.4406779661016961E-2</v>
      </c>
      <c r="W655" s="650"/>
      <c r="X655" s="604"/>
    </row>
    <row r="656" spans="1:24" x14ac:dyDescent="0.25">
      <c r="A656" s="604" t="s">
        <v>628</v>
      </c>
      <c r="B656" s="744"/>
      <c r="C656" s="744"/>
      <c r="D656" s="744"/>
      <c r="E656" s="744"/>
      <c r="F656" s="744"/>
      <c r="G656" s="744"/>
      <c r="H656" s="744"/>
      <c r="I656" s="744"/>
      <c r="J656" s="744"/>
      <c r="K656" s="744"/>
      <c r="L656" s="744"/>
      <c r="M656" s="744"/>
      <c r="N656" s="744"/>
      <c r="O656" s="744"/>
      <c r="P656" s="744"/>
      <c r="Q656" s="744"/>
      <c r="R656" s="744"/>
      <c r="S656" s="744"/>
      <c r="T656" s="726">
        <f>Transport!R35</f>
        <v>0</v>
      </c>
      <c r="U656" s="650"/>
      <c r="V656" s="726">
        <f>Transport!T35</f>
        <v>0</v>
      </c>
      <c r="W656" s="650"/>
      <c r="X656" s="604"/>
    </row>
    <row r="657" spans="1:24" x14ac:dyDescent="0.25">
      <c r="A657" s="604" t="s">
        <v>27</v>
      </c>
      <c r="B657" s="650">
        <f>' Plan Energi 2030-S'!AE$74*$B$403/IF(' Plan Energi 2030-S'!$X$74*$B$403+' Plan Energi 2030-S'!$AE$74*$B$410&gt;0,' Plan Energi 2030-S'!$X$74*$B$403+' Plan Energi 2030-S'!$AE$74*$B$410,1)</f>
        <v>0</v>
      </c>
      <c r="C657" s="650"/>
      <c r="D657" s="650">
        <f>' Plan Energi 2006'!AE$74*$D$403/IF(' Plan Energi 2006'!$X$74*$D$403+' Plan Energi 2006'!$AE$74*$D$410&gt;0,' Plan Energi 2006'!$X$74*$D$403+' Plan Energi 2006'!$AE$74*$D$410,1)</f>
        <v>0</v>
      </c>
      <c r="E657" s="650"/>
      <c r="F657" s="650">
        <f>' Plan Energi 2008'!AE$74*$F$403/IF(' Plan Energi 2008'!$X$74*$F$403+' Plan Energi 2008'!$AE$74*$F$410&gt;0,' Plan Energi 2008'!$X$74*$F$403+' Plan Energi 2008'!$AE$74*$F$410,1)</f>
        <v>0</v>
      </c>
      <c r="G657" s="650"/>
      <c r="H657" s="650">
        <f>' Plan Energi 2009'!AE$74*$H$403/IF(' Plan Energi 2009'!$X$74*$H$403+' Plan Energi 2009'!$AE$74*$H$410&gt;0,' Plan Energi 2009'!$X$74*$H$403+' Plan Energi 2009'!$AE$74*$H$410,1)</f>
        <v>0</v>
      </c>
      <c r="I657" s="650"/>
      <c r="J657" s="650">
        <f>' Plan Energi 2011'!AE$74*$J$403/IF(' Plan Energi 2011'!$X$74*$J$403+' Plan Energi 2011'!$AE$74*$J$410&gt;0,' Plan Energi 2011'!$X$74*$J$403+' Plan Energi 2011'!$AE$74*$J$410,1)</f>
        <v>0</v>
      </c>
      <c r="K657" s="650"/>
      <c r="L657" s="650">
        <f>' Plan Energi 2013'!AE$74*$L$403/IF(' Plan Energi 2013'!$X$74*$L$403+' Plan Energi 2013'!$AE$74*$L$410&gt;0,' Plan Energi 2013'!$X$74*$L$403+' Plan Energi 2013'!$AE$74*$L$410,1)</f>
        <v>0</v>
      </c>
      <c r="M657" s="650"/>
      <c r="N657" s="650">
        <f>' Plan Energi 2015'!AE$74*$N$403/IF(' Plan Energi 2015'!$X$74*$N$403+' Plan Energi 2015'!$AE$74*$N$410&gt;0,' Plan Energi 2015'!$X$74*$N$403+' Plan Energi 2015'!$AE$74*$N$410,1)</f>
        <v>0</v>
      </c>
      <c r="O657" s="650"/>
      <c r="P657" s="650">
        <f>' Plan Energi 2017'!AE$74*$P$403/IF(' Plan Energi 2017'!$X$74*$P$403+' Plan Energi 2017'!$AE$74*$P$410&gt;0,' Plan Energi 2017'!$X$74*$P$403+' Plan Energi 2017'!$AE$74*$P$410,1)</f>
        <v>0</v>
      </c>
      <c r="Q657" s="650"/>
      <c r="R657" s="650">
        <f>' Plan Energi 2019'!AE$74*$R$403/IF(' Plan Energi 2019'!$X$74*$R$403+' Plan Energi 2019'!$AE$74*$R$410&gt;0,' Plan Energi 2019'!$X$74*$R$403+' Plan Energi 2019'!$AE$74*$R$410,1)</f>
        <v>0</v>
      </c>
      <c r="S657" s="650"/>
      <c r="T657" s="726">
        <f>Transport!R36</f>
        <v>0</v>
      </c>
      <c r="U657" s="650"/>
      <c r="V657" s="726">
        <f>Transport!T36</f>
        <v>1.3559322033898308E-2</v>
      </c>
      <c r="W657" s="650"/>
      <c r="X657" s="604"/>
    </row>
    <row r="658" spans="1:24" x14ac:dyDescent="0.25">
      <c r="A658" s="629" t="s">
        <v>479</v>
      </c>
      <c r="B658" s="650"/>
      <c r="C658" s="650"/>
      <c r="D658" s="650"/>
      <c r="E658" s="650"/>
      <c r="F658" s="650"/>
      <c r="G658" s="650"/>
      <c r="H658" s="650"/>
      <c r="I658" s="650"/>
      <c r="J658" s="650"/>
      <c r="K658" s="650"/>
      <c r="L658" s="650"/>
      <c r="M658" s="650"/>
      <c r="N658" s="650"/>
      <c r="O658" s="650"/>
      <c r="P658" s="650"/>
      <c r="Q658" s="650"/>
      <c r="R658" s="650"/>
      <c r="S658" s="650"/>
      <c r="T658" s="650"/>
      <c r="U658" s="650"/>
      <c r="V658" s="650"/>
      <c r="W658" s="650"/>
      <c r="X658" s="604"/>
    </row>
    <row r="659" spans="1:24" x14ac:dyDescent="0.25">
      <c r="A659" s="604" t="s">
        <v>9</v>
      </c>
      <c r="B659" s="650">
        <f>' Plan Energi 2030-S'!F$75*$B$404/IF(' Plan Energi 2030-S'!$X$75*$B$404+' Plan Energi 2030-S'!$AE$75*$B$410&gt;0,' Plan Energi 2030-S'!$X$75*$B$404+' Plan Energi 2030-S'!$AE$75*$B$410,1)</f>
        <v>0.93099999999999994</v>
      </c>
      <c r="C659" s="650"/>
      <c r="D659" s="650">
        <f>' Plan Energi 2006'!F$75*$D$404/IF(' Plan Energi 2006'!$X$75*$D$404+' Plan Energi 2006'!$AE$75*$D$410&gt;0,' Plan Energi 2006'!$X$75*$D$404+' Plan Energi 2006'!$AE$75*$D$410,1)</f>
        <v>1</v>
      </c>
      <c r="E659" s="650"/>
      <c r="F659" s="650">
        <f>' Plan Energi 2008'!F$75*$F$404/IF(' Plan Energi 2008'!$X$75*$F$404+' Plan Energi 2008'!$AE$75*$F$410&gt;0,' Plan Energi 2008'!$X$75*$F$404+' Plan Energi 2008'!$AE$75*$F$410,1)</f>
        <v>0.99990000000000012</v>
      </c>
      <c r="G659" s="650"/>
      <c r="H659" s="650">
        <f>' Plan Energi 2009'!F$75*$H$404/IF(' Plan Energi 2009'!$X$75*$H$404+' Plan Energi 2009'!$AE$75*$H$410&gt;0,' Plan Energi 2009'!$X$75*$H$404+' Plan Energi 2009'!$AE$75*$H$410,1)</f>
        <v>0.998</v>
      </c>
      <c r="I659" s="650"/>
      <c r="J659" s="650">
        <f>' Plan Energi 2011'!F$75*$J$404/IF(' Plan Energi 2011'!$X$75*$J$404+' Plan Energi 2011'!$AE$75*$J$410&gt;0,' Plan Energi 2011'!$X$75*$J$404+' Plan Energi 2011'!$AE$75*$J$410,1)</f>
        <v>0.96200000000000008</v>
      </c>
      <c r="K659" s="650"/>
      <c r="L659" s="650">
        <f>' Plan Energi 2013'!F$75*$L$404/IF(' Plan Energi 2013'!$X$75*$L$404+' Plan Energi 2013'!$AE$75*$L$410&gt;0,' Plan Energi 2013'!$X$75*$L$404+' Plan Energi 2013'!$AE$75*$L$410,1)</f>
        <v>0.93700000000000006</v>
      </c>
      <c r="M659" s="650"/>
      <c r="N659" s="650">
        <f>' Plan Energi 2015'!F$75*$N$404/IF(' Plan Energi 2015'!$X$75*$N$404+' Plan Energi 2015'!$AE$75*$N$410&gt;0,' Plan Energi 2015'!$X$75*$N$404+' Plan Energi 2015'!$AE$75*$N$410,1)</f>
        <v>0.92900000000000016</v>
      </c>
      <c r="O659" s="650"/>
      <c r="P659" s="650">
        <f>' Plan Energi 2017'!F$75*$P$404/IF(' Plan Energi 2017'!$X$75*$P$404+' Plan Energi 2017'!$AE$75*$P$410&gt;0,' Plan Energi 2017'!$X$75*$P$404+' Plan Energi 2017'!$AE$75*$P$410,1)</f>
        <v>0.93099999999999994</v>
      </c>
      <c r="Q659" s="650"/>
      <c r="R659" s="650">
        <f>' Plan Energi 2019'!F$75*$R$404/IF(' Plan Energi 2019'!$X$75*$R$404+' Plan Energi 2019'!$AE$75*$R$410&gt;0,' Plan Energi 2019'!$X$75*$R$404+' Plan Energi 2019'!$AE$75*$R$410,1)</f>
        <v>0.93099999999999994</v>
      </c>
      <c r="S659" s="650"/>
      <c r="T659" s="726">
        <f>Transport!R38</f>
        <v>0.93100000000000005</v>
      </c>
      <c r="U659" s="650"/>
      <c r="V659" s="726">
        <f>Transport!T38</f>
        <v>0.625</v>
      </c>
      <c r="W659" s="650"/>
      <c r="X659" s="604"/>
    </row>
    <row r="660" spans="1:24" x14ac:dyDescent="0.25">
      <c r="A660" s="604" t="s">
        <v>26</v>
      </c>
      <c r="B660" s="650">
        <f>' Plan Energi 2030-S'!V$75*$B$404/IF(' Plan Energi 2030-S'!$X$75*$B$404+' Plan Energi 2030-S'!$AE$75*$B$410&gt;0,' Plan Energi 2030-S'!$X$75*$B$404+' Plan Energi 2030-S'!$AE$75*$B$410,1)</f>
        <v>0</v>
      </c>
      <c r="C660" s="650"/>
      <c r="D660" s="650">
        <f>' Plan Energi 2006'!V$75*$D$404/IF(' Plan Energi 2006'!$X$75*$D$404+' Plan Energi 2006'!$AE$75*$D$410&gt;0,' Plan Energi 2006'!$X$75*$D$404+' Plan Energi 2006'!$AE$75*$D$410,1)</f>
        <v>0</v>
      </c>
      <c r="E660" s="650"/>
      <c r="F660" s="650">
        <f>' Plan Energi 2008'!V$75*$F$404/IF(' Plan Energi 2008'!$X$75*$F$404+' Plan Energi 2008'!$AE$75*$F$410&gt;0,' Plan Energi 2008'!$X$75*$F$404+' Plan Energi 2008'!$AE$75*$F$410,1)</f>
        <v>0</v>
      </c>
      <c r="G660" s="650"/>
      <c r="H660" s="650">
        <f>' Plan Energi 2009'!V$75*$H$404/IF(' Plan Energi 2009'!$X$75*$H$404+' Plan Energi 2009'!$AE$75*$H$410&gt;0,' Plan Energi 2009'!$X$75*$H$404+' Plan Energi 2009'!$AE$75*$H$410,1)</f>
        <v>0</v>
      </c>
      <c r="I660" s="650"/>
      <c r="J660" s="650">
        <f>' Plan Energi 2011'!V$75*$J$404/IF(' Plan Energi 2011'!$X$75*$J$404+' Plan Energi 2011'!$AE$75*$J$410&gt;0,' Plan Energi 2011'!$X$75*$J$404+' Plan Energi 2011'!$AE$75*$J$410,1)</f>
        <v>0</v>
      </c>
      <c r="K660" s="650"/>
      <c r="L660" s="650">
        <f>' Plan Energi 2013'!V$75*$L$404/IF(' Plan Energi 2013'!$X$75*$L$404+' Plan Energi 2013'!$AE$75*$L$410&gt;0,' Plan Energi 2013'!$X$75*$L$404+' Plan Energi 2013'!$AE$75*$L$410,1)</f>
        <v>0</v>
      </c>
      <c r="M660" s="650"/>
      <c r="N660" s="650">
        <f>' Plan Energi 2015'!V$75*$N$404/IF(' Plan Energi 2015'!$X$75*$N$404+' Plan Energi 2015'!$AE$75*$N$410&gt;0,' Plan Energi 2015'!$X$75*$N$404+' Plan Energi 2015'!$AE$75*$N$410,1)</f>
        <v>0</v>
      </c>
      <c r="O660" s="650"/>
      <c r="P660" s="650">
        <f>' Plan Energi 2017'!V$75*$P$404/IF(' Plan Energi 2017'!$X$75*$P$404+' Plan Energi 2017'!$AE$75*$P$410&gt;0,' Plan Energi 2017'!$X$75*$P$404+' Plan Energi 2017'!$AE$75*$P$410,1)</f>
        <v>0</v>
      </c>
      <c r="Q660" s="650"/>
      <c r="R660" s="650">
        <f>' Plan Energi 2019'!V$75*$R$404/IF(' Plan Energi 2019'!$X$75*$R$404+' Plan Energi 2019'!$AE$75*$R$410&gt;0,' Plan Energi 2019'!$X$75*$R$404+' Plan Energi 2019'!$AE$75*$R$410,1)</f>
        <v>0</v>
      </c>
      <c r="S660" s="650"/>
      <c r="T660" s="726">
        <f>Transport!R39</f>
        <v>0</v>
      </c>
      <c r="U660" s="650"/>
      <c r="V660" s="726">
        <f>Transport!T39</f>
        <v>0</v>
      </c>
      <c r="W660" s="650"/>
      <c r="X660" s="604"/>
    </row>
    <row r="661" spans="1:24" x14ac:dyDescent="0.25">
      <c r="A661" s="604" t="s">
        <v>373</v>
      </c>
      <c r="B661" s="650">
        <f>' Plan Energi 2030-S'!O$75*$B$404/IF(' Plan Energi 2030-S'!$X$75*$B$404+' Plan Energi 2030-S'!$AE$75*$B$410&gt;0,' Plan Energi 2030-S'!$X$75*$B$404+' Plan Energi 2030-S'!$AE$75*$B$410,1)</f>
        <v>0</v>
      </c>
      <c r="C661" s="650"/>
      <c r="D661" s="650">
        <f>' Plan Energi 2006'!O$75*$D$404/IF(' Plan Energi 2006'!$X$75*$D$404+' Plan Energi 2006'!$AE$75*$D$410&gt;0,' Plan Energi 2006'!$X$75*$D$404+' Plan Energi 2006'!$AE$75*$D$410,1)</f>
        <v>0</v>
      </c>
      <c r="E661" s="650"/>
      <c r="F661" s="650">
        <f>' Plan Energi 2008'!O$75*$F$404/IF(' Plan Energi 2008'!$X$75*$F$404+' Plan Energi 2008'!$AE$75*$F$410&gt;0,' Plan Energi 2008'!$X$75*$F$404+' Plan Energi 2008'!$AE$75*$F$410,1)</f>
        <v>0</v>
      </c>
      <c r="G661" s="650"/>
      <c r="H661" s="650">
        <f>' Plan Energi 2009'!O$75*$H$404/IF(' Plan Energi 2009'!$X$75*$H$404+' Plan Energi 2009'!$AE$75*$H$410&gt;0,' Plan Energi 2009'!$X$75*$H$404+' Plan Energi 2009'!$AE$75*$H$410,1)</f>
        <v>0</v>
      </c>
      <c r="I661" s="650"/>
      <c r="J661" s="650">
        <f>' Plan Energi 2011'!O$75*$J$404/IF(' Plan Energi 2011'!$X$75*$J$404+' Plan Energi 2011'!$AE$75*$J$410&gt;0,' Plan Energi 2011'!$X$75*$J$404+' Plan Energi 2011'!$AE$75*$J$410,1)</f>
        <v>0</v>
      </c>
      <c r="K661" s="650"/>
      <c r="L661" s="650">
        <f>' Plan Energi 2013'!O$75*$L$404/IF(' Plan Energi 2013'!$X$75*$L$404+' Plan Energi 2013'!$AE$75*$L$410&gt;0,' Plan Energi 2013'!$X$75*$L$404+' Plan Energi 2013'!$AE$75*$L$410,1)</f>
        <v>0</v>
      </c>
      <c r="M661" s="650"/>
      <c r="N661" s="650">
        <f>' Plan Energi 2015'!O$75*$N$404/IF(' Plan Energi 2015'!$X$75*$N$404+' Plan Energi 2015'!$AE$75*$N$410&gt;0,' Plan Energi 2015'!$X$75*$N$404+' Plan Energi 2015'!$AE$75*$N$410,1)</f>
        <v>0</v>
      </c>
      <c r="O661" s="650"/>
      <c r="P661" s="650">
        <f>' Plan Energi 2017'!O$75*$P$404/IF(' Plan Energi 2017'!$X$75*$P$404+' Plan Energi 2017'!$AE$75*$P$410&gt;0,' Plan Energi 2017'!$X$75*$P$404+' Plan Energi 2017'!$AE$75*$P$410,1)</f>
        <v>0</v>
      </c>
      <c r="Q661" s="650"/>
      <c r="R661" s="650">
        <f>' Plan Energi 2019'!O$75*$R$404/IF(' Plan Energi 2019'!$X$75*$R$404+' Plan Energi 2019'!$AE$75*$R$410&gt;0,' Plan Energi 2019'!$X$75*$R$404+' Plan Energi 2019'!$AE$75*$R$410,1)</f>
        <v>0</v>
      </c>
      <c r="S661" s="650"/>
      <c r="T661" s="726">
        <f>Transport!R40</f>
        <v>0</v>
      </c>
      <c r="U661" s="650"/>
      <c r="V661" s="726">
        <f>Transport!T40</f>
        <v>0</v>
      </c>
      <c r="W661" s="650"/>
      <c r="X661" s="604"/>
    </row>
    <row r="662" spans="1:24" x14ac:dyDescent="0.25">
      <c r="A662" s="604" t="s">
        <v>3</v>
      </c>
      <c r="B662" s="650">
        <f>' Plan Energi 2030-S'!I$75*$B$404/IF(' Plan Energi 2030-S'!$X$75*$B$404+' Plan Energi 2030-S'!$AE$75*$B$410&gt;0,' Plan Energi 2030-S'!$X$75*$B$404+' Plan Energi 2030-S'!$AE$75*$B$410,1)</f>
        <v>0</v>
      </c>
      <c r="C662" s="650"/>
      <c r="D662" s="650">
        <f>' Plan Energi 2006'!I$75*$D$404/IF(' Plan Energi 2006'!$X$75*$D$404+' Plan Energi 2006'!$AE$75*$D$410&gt;0,' Plan Energi 2006'!$X$75*$D$404+' Plan Energi 2006'!$AE$75*$D$410,1)</f>
        <v>0</v>
      </c>
      <c r="E662" s="650"/>
      <c r="F662" s="650">
        <f>' Plan Energi 2008'!I$75*$F$404/IF(' Plan Energi 2008'!$X$75*$F$404+' Plan Energi 2008'!$AE$75*$F$410&gt;0,' Plan Energi 2008'!$X$75*$F$404+' Plan Energi 2008'!$AE$75*$F$410,1)</f>
        <v>0</v>
      </c>
      <c r="G662" s="650"/>
      <c r="H662" s="650">
        <f>' Plan Energi 2009'!I$75*$H$404/IF(' Plan Energi 2009'!$X$75*$H$404+' Plan Energi 2009'!$AE$75*$H$410&gt;0,' Plan Energi 2009'!$X$75*$H$404+' Plan Energi 2009'!$AE$75*$H$410,1)</f>
        <v>0</v>
      </c>
      <c r="I662" s="650"/>
      <c r="J662" s="650">
        <f>' Plan Energi 2011'!I$75*$J$404/IF(' Plan Energi 2011'!$X$75*$J$404+' Plan Energi 2011'!$AE$75*$J$410&gt;0,' Plan Energi 2011'!$X$75*$J$404+' Plan Energi 2011'!$AE$75*$J$410,1)</f>
        <v>0</v>
      </c>
      <c r="K662" s="650"/>
      <c r="L662" s="650">
        <f>' Plan Energi 2013'!I$75*$L$404/IF(' Plan Energi 2013'!$X$75*$L$404+' Plan Energi 2013'!$AE$75*$L$410&gt;0,' Plan Energi 2013'!$X$75*$L$404+' Plan Energi 2013'!$AE$75*$L$410,1)</f>
        <v>0</v>
      </c>
      <c r="M662" s="650"/>
      <c r="N662" s="650">
        <f>' Plan Energi 2015'!I$75*$N$404/IF(' Plan Energi 2015'!$X$75*$N$404+' Plan Energi 2015'!$AE$75*$N$410&gt;0,' Plan Energi 2015'!$X$75*$N$404+' Plan Energi 2015'!$AE$75*$N$410,1)</f>
        <v>0</v>
      </c>
      <c r="O662" s="650"/>
      <c r="P662" s="650">
        <f>' Plan Energi 2017'!I$75*$P$404/IF(' Plan Energi 2017'!$X$75*$P$404+' Plan Energi 2017'!$AE$75*$P$410&gt;0,' Plan Energi 2017'!$X$75*$P$404+' Plan Energi 2017'!$AE$75*$P$410,1)</f>
        <v>0</v>
      </c>
      <c r="Q662" s="650"/>
      <c r="R662" s="650">
        <f>' Plan Energi 2019'!I$75*$R$404/IF(' Plan Energi 2019'!$X$75*$R$404+' Plan Energi 2019'!$AE$75*$R$410&gt;0,' Plan Energi 2019'!$X$75*$R$404+' Plan Energi 2019'!$AE$75*$R$410,1)</f>
        <v>0</v>
      </c>
      <c r="S662" s="650"/>
      <c r="T662" s="726">
        <f>Transport!R41</f>
        <v>0</v>
      </c>
      <c r="U662" s="650"/>
      <c r="V662" s="726">
        <f>Transport!T41</f>
        <v>7.8125E-2</v>
      </c>
      <c r="W662" s="650"/>
      <c r="X662" s="604"/>
    </row>
    <row r="663" spans="1:24" x14ac:dyDescent="0.25">
      <c r="A663" s="604" t="s">
        <v>374</v>
      </c>
      <c r="B663" s="650">
        <f>' Plan Energi 2030-S'!P$75*$B$404/IF(' Plan Energi 2030-S'!$X$75*$B$404+' Plan Energi 2030-S'!$AE$75*$B$410&gt;0,' Plan Energi 2030-S'!$X$75*$B$404+' Plan Energi 2030-S'!$AE$75*$B$410,1)</f>
        <v>6.9000000000000006E-2</v>
      </c>
      <c r="C663" s="650"/>
      <c r="D663" s="650">
        <f>' Plan Energi 2006'!P$75*$D$404/IF(' Plan Energi 2006'!$X$75*$D$404+' Plan Energi 2006'!$AE$75*$D$410&gt;0,' Plan Energi 2006'!$X$75*$D$404+' Plan Energi 2006'!$AE$75*$D$410,1)</f>
        <v>0</v>
      </c>
      <c r="E663" s="650"/>
      <c r="F663" s="650">
        <f>' Plan Energi 2008'!P$75*$F$404/IF(' Plan Energi 2008'!$X$75*$F$404+' Plan Energi 2008'!$AE$75*$F$410&gt;0,' Plan Energi 2008'!$X$75*$F$404+' Plan Energi 2008'!$AE$75*$F$410,1)</f>
        <v>1E-4</v>
      </c>
      <c r="G663" s="650"/>
      <c r="H663" s="650">
        <f>' Plan Energi 2009'!P$75*$H$404/IF(' Plan Energi 2009'!$X$75*$H$404+' Plan Energi 2009'!$AE$75*$H$410&gt;0,' Plan Energi 2009'!$X$75*$H$404+' Plan Energi 2009'!$AE$75*$H$410,1)</f>
        <v>2E-3</v>
      </c>
      <c r="I663" s="650"/>
      <c r="J663" s="650">
        <f>' Plan Energi 2011'!P$75*$J$404/IF(' Plan Energi 2011'!$X$75*$J$404+' Plan Energi 2011'!$AE$75*$J$410&gt;0,' Plan Energi 2011'!$X$75*$J$404+' Plan Energi 2011'!$AE$75*$J$410,1)</f>
        <v>3.7999999999999999E-2</v>
      </c>
      <c r="K663" s="650"/>
      <c r="L663" s="650">
        <f>' Plan Energi 2013'!P$75*$L$404/IF(' Plan Energi 2013'!$X$75*$L$404+' Plan Energi 2013'!$AE$75*$L$410&gt;0,' Plan Energi 2013'!$X$75*$L$404+' Plan Energi 2013'!$AE$75*$L$410,1)</f>
        <v>6.3E-2</v>
      </c>
      <c r="M663" s="650"/>
      <c r="N663" s="650">
        <f>' Plan Energi 2015'!P$75*$N$404/IF(' Plan Energi 2015'!$X$75*$N$404+' Plan Energi 2015'!$AE$75*$N$410&gt;0,' Plan Energi 2015'!$X$75*$N$404+' Plan Energi 2015'!$AE$75*$N$410,1)</f>
        <v>7.0999999999999994E-2</v>
      </c>
      <c r="O663" s="650"/>
      <c r="P663" s="650">
        <f>' Plan Energi 2017'!P$75*$P$404/IF(' Plan Energi 2017'!$X$75*$P$404+' Plan Energi 2017'!$AE$75*$P$410&gt;0,' Plan Energi 2017'!$X$75*$P$404+' Plan Energi 2017'!$AE$75*$P$410,1)</f>
        <v>6.9000000000000006E-2</v>
      </c>
      <c r="Q663" s="650"/>
      <c r="R663" s="650">
        <f>' Plan Energi 2019'!P$75*$R$404/IF(' Plan Energi 2019'!$X$75*$R$404+' Plan Energi 2019'!$AE$75*$R$410&gt;0,' Plan Energi 2019'!$X$75*$R$404+' Plan Energi 2019'!$AE$75*$R$410,1)</f>
        <v>6.9000000000000006E-2</v>
      </c>
      <c r="S663" s="650"/>
      <c r="T663" s="726">
        <f>Transport!R42</f>
        <v>6.9000000000000006E-2</v>
      </c>
      <c r="U663" s="650"/>
      <c r="V663" s="726">
        <f>Transport!T42</f>
        <v>0.25</v>
      </c>
      <c r="W663" s="650"/>
      <c r="X663" s="604"/>
    </row>
    <row r="664" spans="1:24" x14ac:dyDescent="0.25">
      <c r="A664" s="604" t="s">
        <v>628</v>
      </c>
      <c r="B664" s="744"/>
      <c r="C664" s="744"/>
      <c r="D664" s="744"/>
      <c r="E664" s="744"/>
      <c r="F664" s="744"/>
      <c r="G664" s="744"/>
      <c r="H664" s="744"/>
      <c r="I664" s="744"/>
      <c r="J664" s="744"/>
      <c r="K664" s="744"/>
      <c r="L664" s="744"/>
      <c r="M664" s="744"/>
      <c r="N664" s="744"/>
      <c r="O664" s="744"/>
      <c r="P664" s="744"/>
      <c r="Q664" s="744"/>
      <c r="R664" s="744"/>
      <c r="S664" s="744"/>
      <c r="T664" s="726">
        <f>Transport!R43</f>
        <v>0</v>
      </c>
      <c r="U664" s="650"/>
      <c r="V664" s="726">
        <f>Transport!T43</f>
        <v>0</v>
      </c>
      <c r="W664" s="650"/>
      <c r="X664" s="604"/>
    </row>
    <row r="665" spans="1:24" x14ac:dyDescent="0.25">
      <c r="A665" s="604" t="s">
        <v>27</v>
      </c>
      <c r="B665" s="650">
        <f>' Plan Energi 2030-S'!AE$75*$B$404/IF(' Plan Energi 2030-S'!$X$75*$B$404+' Plan Energi 2030-S'!$AE$75*$B$410&gt;0,' Plan Energi 2030-S'!$X$75*$B$404+' Plan Energi 2030-S'!$AE$75*$B$410,1)</f>
        <v>0</v>
      </c>
      <c r="C665" s="650"/>
      <c r="D665" s="650">
        <f>' Plan Energi 2006'!AE$75*$D$404/IF(' Plan Energi 2006'!$X$75*$D$404+' Plan Energi 2006'!$AE$75*$D$410&gt;0,' Plan Energi 2006'!$X$75*$D$404+' Plan Energi 2006'!$AE$75*$D$410,1)</f>
        <v>0</v>
      </c>
      <c r="E665" s="650"/>
      <c r="F665" s="650">
        <f>' Plan Energi 2008'!AE$75*$F$404/IF(' Plan Energi 2008'!$X$75*$F$404+' Plan Energi 2008'!$AE$75*$F$410&gt;0,' Plan Energi 2008'!$X$75*$F$404+' Plan Energi 2008'!$AE$75*$F$410,1)</f>
        <v>0</v>
      </c>
      <c r="G665" s="650"/>
      <c r="H665" s="650">
        <f>' Plan Energi 2009'!AE$75*$H$404/IF(' Plan Energi 2009'!$X$75*$H$404+' Plan Energi 2009'!$AE$75*$H$410&gt;0,' Plan Energi 2009'!$X$75*$H$404+' Plan Energi 2009'!$AE$75*$H$410,1)</f>
        <v>0</v>
      </c>
      <c r="I665" s="650"/>
      <c r="J665" s="650">
        <f>' Plan Energi 2011'!AE$75*$J$404/IF(' Plan Energi 2011'!$X$75*$J$404+' Plan Energi 2011'!$AE$75*$J$410&gt;0,' Plan Energi 2011'!$X$75*$J$404+' Plan Energi 2011'!$AE$75*$J$410,1)</f>
        <v>0</v>
      </c>
      <c r="K665" s="650"/>
      <c r="L665" s="650">
        <f>' Plan Energi 2013'!AE$75*$L$404/IF(' Plan Energi 2013'!$X$75*$L$404+' Plan Energi 2013'!$AE$75*$L$410&gt;0,' Plan Energi 2013'!$X$75*$L$404+' Plan Energi 2013'!$AE$75*$L$410,1)</f>
        <v>0</v>
      </c>
      <c r="M665" s="650"/>
      <c r="N665" s="650">
        <f>' Plan Energi 2015'!AE$75*$N$404/IF(' Plan Energi 2015'!$X$75*$N$404+' Plan Energi 2015'!$AE$75*$N$410&gt;0,' Plan Energi 2015'!$X$75*$N$404+' Plan Energi 2015'!$AE$75*$N$410,1)</f>
        <v>0</v>
      </c>
      <c r="O665" s="650"/>
      <c r="P665" s="650">
        <f>' Plan Energi 2017'!AE$75*$P$404/IF(' Plan Energi 2017'!$X$75*$P$404+' Plan Energi 2017'!$AE$75*$P$410&gt;0,' Plan Energi 2017'!$X$75*$P$404+' Plan Energi 2017'!$AE$75*$P$410,1)</f>
        <v>0</v>
      </c>
      <c r="Q665" s="650"/>
      <c r="R665" s="650">
        <f>' Plan Energi 2019'!AE$75*$R$404/IF(' Plan Energi 2019'!$X$75*$R$404+' Plan Energi 2019'!$AE$75*$R$410&gt;0,' Plan Energi 2019'!$X$75*$R$404+' Plan Energi 2019'!$AE$75*$R$410,1)</f>
        <v>0</v>
      </c>
      <c r="S665" s="650"/>
      <c r="T665" s="726">
        <f>Transport!R44</f>
        <v>0</v>
      </c>
      <c r="U665" s="650"/>
      <c r="V665" s="726">
        <f>Transport!T44</f>
        <v>4.6875E-2</v>
      </c>
      <c r="W665" s="650"/>
      <c r="X665" s="604"/>
    </row>
    <row r="666" spans="1:24" x14ac:dyDescent="0.25">
      <c r="A666" s="629" t="s">
        <v>480</v>
      </c>
      <c r="B666" s="650"/>
      <c r="C666" s="650"/>
      <c r="D666" s="650"/>
      <c r="E666" s="650"/>
      <c r="F666" s="650"/>
      <c r="G666" s="650"/>
      <c r="H666" s="650"/>
      <c r="I666" s="650"/>
      <c r="J666" s="650"/>
      <c r="K666" s="650"/>
      <c r="L666" s="650"/>
      <c r="M666" s="650"/>
      <c r="N666" s="650"/>
      <c r="O666" s="650"/>
      <c r="P666" s="650"/>
      <c r="Q666" s="650"/>
      <c r="R666" s="650"/>
      <c r="S666" s="650"/>
      <c r="T666" s="650"/>
      <c r="U666" s="650"/>
      <c r="V666" s="650"/>
      <c r="W666" s="650"/>
      <c r="X666" s="604"/>
    </row>
    <row r="667" spans="1:24" x14ac:dyDescent="0.25">
      <c r="A667" s="604" t="s">
        <v>9</v>
      </c>
      <c r="B667" s="650">
        <f>' Plan Energi 2030-S'!F$76*$B$405/IF(' Plan Energi 2030-S'!$X$76*$B$405+' Plan Energi 2030-S'!$AE$76*$B$410&gt;0,' Plan Energi 2030-S'!$X$76*$B$405+' Plan Energi 2030-S'!$AE$76*$B$410,1)</f>
        <v>0.93099999999999994</v>
      </c>
      <c r="C667" s="650"/>
      <c r="D667" s="650">
        <f>' Plan Energi 2006'!F$76*$D$405/IF(' Plan Energi 2006'!$X$76*$D$405+' Plan Energi 2006'!$AE$76*$D$410&gt;0,' Plan Energi 2006'!$X$76*$D$405+' Plan Energi 2006'!$AE$76*$D$410,1)</f>
        <v>1</v>
      </c>
      <c r="E667" s="650"/>
      <c r="F667" s="650">
        <f>' Plan Energi 2008'!F$76*$F$405/IF(' Plan Energi 2008'!$X$76*$F$405+' Plan Energi 2008'!$AE$76*$F$410&gt;0,' Plan Energi 2008'!$X$76*$F$405+' Plan Energi 2008'!$AE$76*$F$410,1)</f>
        <v>0.99990000000000001</v>
      </c>
      <c r="G667" s="650"/>
      <c r="H667" s="650">
        <f>' Plan Energi 2009'!F$76*$H$405/IF(' Plan Energi 2009'!$X$76*$H$405+' Plan Energi 2009'!$AE$76*$H$410&gt;0,' Plan Energi 2009'!$X$76*$H$405+' Plan Energi 2009'!$AE$76*$H$410,1)</f>
        <v>0.99840000000000007</v>
      </c>
      <c r="I667" s="650"/>
      <c r="J667" s="650">
        <f>' Plan Energi 2011'!F$76*$J$405/IF(' Plan Energi 2011'!$X$76*$J$405+' Plan Energi 2011'!$AE$76*$J$410&gt;0,' Plan Energi 2011'!$X$76*$J$405+' Plan Energi 2011'!$AE$76*$J$410,1)</f>
        <v>0.96229999999999993</v>
      </c>
      <c r="K667" s="650"/>
      <c r="L667" s="650">
        <f>' Plan Energi 2013'!F$76*$L$405/IF(' Plan Energi 2013'!$X$76*$L$405+' Plan Energi 2013'!$AE$76*$L$410&gt;0,' Plan Energi 2013'!$X$76*$L$405+' Plan Energi 2013'!$AE$76*$L$410,1)</f>
        <v>0.93670000000000009</v>
      </c>
      <c r="M667" s="650"/>
      <c r="N667" s="650">
        <f>' Plan Energi 2015'!F$76*$N$405/IF(' Plan Energi 2015'!$X$76*$N$405+' Plan Energi 2015'!$AE$76*$N$410&gt;0,' Plan Energi 2015'!$X$76*$N$405+' Plan Energi 2015'!$AE$76*$N$410,1)</f>
        <v>0.92900000000000005</v>
      </c>
      <c r="O667" s="650"/>
      <c r="P667" s="650">
        <f>' Plan Energi 2017'!F$76*$P$405/IF(' Plan Energi 2017'!$X$76*$P$405+' Plan Energi 2017'!$AE$76*$P$410&gt;0,' Plan Energi 2017'!$X$76*$P$405+' Plan Energi 2017'!$AE$76*$P$410,1)</f>
        <v>0.93099999999999994</v>
      </c>
      <c r="Q667" s="650"/>
      <c r="R667" s="650">
        <f>' Plan Energi 2019'!F$76*$R$405/IF(' Plan Energi 2019'!$X$76*$R$405+' Plan Energi 2019'!$AE$76*$R$410&gt;0,' Plan Energi 2019'!$X$76*$R$405+' Plan Energi 2019'!$AE$76*$R$410,1)</f>
        <v>0.93099999999999994</v>
      </c>
      <c r="S667" s="650"/>
      <c r="T667" s="726">
        <f>Transport!R46</f>
        <v>0.93100000000000005</v>
      </c>
      <c r="U667" s="650"/>
      <c r="V667" s="726">
        <f>Transport!T46</f>
        <v>0.93518518518518523</v>
      </c>
      <c r="W667" s="650"/>
      <c r="X667" s="604"/>
    </row>
    <row r="668" spans="1:24" x14ac:dyDescent="0.25">
      <c r="A668" s="604" t="s">
        <v>26</v>
      </c>
      <c r="B668" s="650">
        <f>' Plan Energi 2030-S'!V$76*$B$405/IF(' Plan Energi 2030-S'!$X$76*$B$405+' Plan Energi 2030-S'!$AE$76*$B$410&gt;0,' Plan Energi 2030-S'!$X$76*$B$405+' Plan Energi 2030-S'!$AE$76*$B$410,1)</f>
        <v>0</v>
      </c>
      <c r="C668" s="650"/>
      <c r="D668" s="650">
        <f>' Plan Energi 2006'!V$76*$D$405/IF(' Plan Energi 2006'!$X$76*$D$405+' Plan Energi 2006'!$AE$76*$D$410&gt;0,' Plan Energi 2006'!$X$76*$D$405+' Plan Energi 2006'!$AE$76*$D$410,1)</f>
        <v>0</v>
      </c>
      <c r="E668" s="650"/>
      <c r="F668" s="650">
        <f>' Plan Energi 2008'!V$76*$F$405/IF(' Plan Energi 2008'!$X$76*$F$405+' Plan Energi 2008'!$AE$76*$F$410&gt;0,' Plan Energi 2008'!$X$76*$F$405+' Plan Energi 2008'!$AE$76*$F$410,1)</f>
        <v>0</v>
      </c>
      <c r="G668" s="650"/>
      <c r="H668" s="650">
        <f>' Plan Energi 2009'!V$76*$H$405/IF(' Plan Energi 2009'!$X$76*$H$405+' Plan Energi 2009'!$AE$76*$H$410&gt;0,' Plan Energi 2009'!$X$76*$H$405+' Plan Energi 2009'!$AE$76*$H$410,1)</f>
        <v>0</v>
      </c>
      <c r="I668" s="650"/>
      <c r="J668" s="650">
        <f>' Plan Energi 2011'!V$76*$J$405/IF(' Plan Energi 2011'!$X$76*$J$405+' Plan Energi 2011'!$AE$76*$J$410&gt;0,' Plan Energi 2011'!$X$76*$J$405+' Plan Energi 2011'!$AE$76*$J$410,1)</f>
        <v>0</v>
      </c>
      <c r="K668" s="650"/>
      <c r="L668" s="650">
        <f>' Plan Energi 2013'!V$76*$L$405/IF(' Plan Energi 2013'!$X$76*$L$405+' Plan Energi 2013'!$AE$76*$L$410&gt;0,' Plan Energi 2013'!$X$76*$L$405+' Plan Energi 2013'!$AE$76*$L$410,1)</f>
        <v>0</v>
      </c>
      <c r="M668" s="650"/>
      <c r="N668" s="650">
        <f>' Plan Energi 2015'!V$76*$N$405/IF(' Plan Energi 2015'!$X$76*$N$405+' Plan Energi 2015'!$AE$76*$N$410&gt;0,' Plan Energi 2015'!$X$76*$N$405+' Plan Energi 2015'!$AE$76*$N$410,1)</f>
        <v>0</v>
      </c>
      <c r="O668" s="650"/>
      <c r="P668" s="650">
        <f>' Plan Energi 2017'!V$76*$P$405/IF(' Plan Energi 2017'!$X$76*$P$405+' Plan Energi 2017'!$AE$76*$P$410&gt;0,' Plan Energi 2017'!$X$76*$P$405+' Plan Energi 2017'!$AE$76*$P$410,1)</f>
        <v>0</v>
      </c>
      <c r="Q668" s="650"/>
      <c r="R668" s="650">
        <f>' Plan Energi 2019'!V$76*$R$405/IF(' Plan Energi 2019'!$X$76*$R$405+' Plan Energi 2019'!$AE$76*$R$410&gt;0,' Plan Energi 2019'!$X$76*$R$405+' Plan Energi 2019'!$AE$76*$R$410,1)</f>
        <v>0</v>
      </c>
      <c r="S668" s="650"/>
      <c r="T668" s="726">
        <f>Transport!R47</f>
        <v>0</v>
      </c>
      <c r="U668" s="650"/>
      <c r="V668" s="726">
        <f>Transport!T47</f>
        <v>0</v>
      </c>
      <c r="W668" s="650"/>
      <c r="X668" s="604"/>
    </row>
    <row r="669" spans="1:24" x14ac:dyDescent="0.25">
      <c r="A669" s="604" t="s">
        <v>373</v>
      </c>
      <c r="B669" s="650">
        <f>' Plan Energi 2030-S'!O$76*$B$405/IF(' Plan Energi 2030-S'!$X$76*$B$405+' Plan Energi 2030-S'!$AE$76*$B$410&gt;0,' Plan Energi 2030-S'!$X$76*$B$405+' Plan Energi 2030-S'!$AE$76*$B$410,1)</f>
        <v>0</v>
      </c>
      <c r="C669" s="650"/>
      <c r="D669" s="650">
        <f>' Plan Energi 2006'!O$76*$D$405/IF(' Plan Energi 2006'!$X$76*$D$405+' Plan Energi 2006'!$AE$76*$D$410&gt;0,' Plan Energi 2006'!$X$76*$D$405+' Plan Energi 2006'!$AE$76*$D$410,1)</f>
        <v>0</v>
      </c>
      <c r="E669" s="650"/>
      <c r="F669" s="650">
        <f>' Plan Energi 2008'!O$76*$F$405/IF(' Plan Energi 2008'!$X$76*$F$405+' Plan Energi 2008'!$AE$76*$F$410&gt;0,' Plan Energi 2008'!$X$76*$F$405+' Plan Energi 2008'!$AE$76*$F$410,1)</f>
        <v>0</v>
      </c>
      <c r="G669" s="650"/>
      <c r="H669" s="650">
        <f>' Plan Energi 2009'!O$76*$H$405/IF(' Plan Energi 2009'!$X$76*$H$405+' Plan Energi 2009'!$AE$76*$H$410&gt;0,' Plan Energi 2009'!$X$76*$H$405+' Plan Energi 2009'!$AE$76*$H$410,1)</f>
        <v>0</v>
      </c>
      <c r="I669" s="650"/>
      <c r="J669" s="650">
        <f>' Plan Energi 2011'!O$76*$J$405/IF(' Plan Energi 2011'!$X$76*$J$405+' Plan Energi 2011'!$AE$76*$J$410&gt;0,' Plan Energi 2011'!$X$76*$J$405+' Plan Energi 2011'!$AE$76*$J$410,1)</f>
        <v>0</v>
      </c>
      <c r="K669" s="650"/>
      <c r="L669" s="650">
        <f>' Plan Energi 2013'!O$76*$L$405/IF(' Plan Energi 2013'!$X$76*$L$405+' Plan Energi 2013'!$AE$76*$L$410&gt;0,' Plan Energi 2013'!$X$76*$L$405+' Plan Energi 2013'!$AE$76*$L$410,1)</f>
        <v>0</v>
      </c>
      <c r="M669" s="650"/>
      <c r="N669" s="650">
        <f>' Plan Energi 2015'!O$76*$N$405/IF(' Plan Energi 2015'!$X$76*$N$405+' Plan Energi 2015'!$AE$76*$N$410&gt;0,' Plan Energi 2015'!$X$76*$N$405+' Plan Energi 2015'!$AE$76*$N$410,1)</f>
        <v>0</v>
      </c>
      <c r="O669" s="650"/>
      <c r="P669" s="650">
        <f>' Plan Energi 2017'!O$76*$P$405/IF(' Plan Energi 2017'!$X$76*$P$405+' Plan Energi 2017'!$AE$76*$P$410&gt;0,' Plan Energi 2017'!$X$76*$P$405+' Plan Energi 2017'!$AE$76*$P$410,1)</f>
        <v>0</v>
      </c>
      <c r="Q669" s="650"/>
      <c r="R669" s="650">
        <f>' Plan Energi 2019'!O$76*$R$405/IF(' Plan Energi 2019'!$X$76*$R$405+' Plan Energi 2019'!$AE$76*$R$410&gt;0,' Plan Energi 2019'!$X$76*$R$405+' Plan Energi 2019'!$AE$76*$R$410,1)</f>
        <v>0</v>
      </c>
      <c r="S669" s="650"/>
      <c r="T669" s="726">
        <f>Transport!R48</f>
        <v>0</v>
      </c>
      <c r="U669" s="650"/>
      <c r="V669" s="726">
        <f>Transport!T48</f>
        <v>0</v>
      </c>
      <c r="W669" s="650"/>
      <c r="X669" s="604"/>
    </row>
    <row r="670" spans="1:24" x14ac:dyDescent="0.25">
      <c r="A670" s="604" t="s">
        <v>3</v>
      </c>
      <c r="B670" s="650">
        <f>' Plan Energi 2030-S'!I$76*$B$405/IF(' Plan Energi 2030-S'!$X$76*$B$405+' Plan Energi 2030-S'!$AE$76*$B$410&gt;0,' Plan Energi 2030-S'!$X$76*$B$405+' Plan Energi 2030-S'!$AE$76*$B$410,1)</f>
        <v>0</v>
      </c>
      <c r="C670" s="650"/>
      <c r="D670" s="650">
        <f>' Plan Energi 2006'!I$76*$D$405/IF(' Plan Energi 2006'!$X$76*$D$405+' Plan Energi 2006'!$AE$76*$D$410&gt;0,' Plan Energi 2006'!$X$76*$D$405+' Plan Energi 2006'!$AE$76*$D$410,1)</f>
        <v>0</v>
      </c>
      <c r="E670" s="650"/>
      <c r="F670" s="650">
        <f>' Plan Energi 2008'!I$76*$F$405/IF(' Plan Energi 2008'!$X$76*$F$405+' Plan Energi 2008'!$AE$76*$F$410&gt;0,' Plan Energi 2008'!$X$76*$F$405+' Plan Energi 2008'!$AE$76*$F$410,1)</f>
        <v>0</v>
      </c>
      <c r="G670" s="650"/>
      <c r="H670" s="650">
        <f>' Plan Energi 2009'!I$76*$H$405/IF(' Plan Energi 2009'!$X$76*$H$405+' Plan Energi 2009'!$AE$76*$H$410&gt;0,' Plan Energi 2009'!$X$76*$H$405+' Plan Energi 2009'!$AE$76*$H$410,1)</f>
        <v>0</v>
      </c>
      <c r="I670" s="650"/>
      <c r="J670" s="650">
        <f>' Plan Energi 2011'!I$76*$J$405/IF(' Plan Energi 2011'!$X$76*$J$405+' Plan Energi 2011'!$AE$76*$J$410&gt;0,' Plan Energi 2011'!$X$76*$J$405+' Plan Energi 2011'!$AE$76*$J$410,1)</f>
        <v>0</v>
      </c>
      <c r="K670" s="650"/>
      <c r="L670" s="650">
        <f>' Plan Energi 2013'!I$76*$L$405/IF(' Plan Energi 2013'!$X$76*$L$405+' Plan Energi 2013'!$AE$76*$L$410&gt;0,' Plan Energi 2013'!$X$76*$L$405+' Plan Energi 2013'!$AE$76*$L$410,1)</f>
        <v>0</v>
      </c>
      <c r="M670" s="650"/>
      <c r="N670" s="650">
        <f>' Plan Energi 2015'!I$76*$N$405/IF(' Plan Energi 2015'!$X$76*$N$405+' Plan Energi 2015'!$AE$76*$N$410&gt;0,' Plan Energi 2015'!$X$76*$N$405+' Plan Energi 2015'!$AE$76*$N$410,1)</f>
        <v>0</v>
      </c>
      <c r="O670" s="650"/>
      <c r="P670" s="650">
        <f>' Plan Energi 2017'!I$76*$P$405/IF(' Plan Energi 2017'!$X$76*$P$405+' Plan Energi 2017'!$AE$76*$P$410&gt;0,' Plan Energi 2017'!$X$76*$P$405+' Plan Energi 2017'!$AE$76*$P$410,1)</f>
        <v>0</v>
      </c>
      <c r="Q670" s="650"/>
      <c r="R670" s="650">
        <f>' Plan Energi 2019'!I$76*$R$405/IF(' Plan Energi 2019'!$X$76*$R$405+' Plan Energi 2019'!$AE$76*$R$410&gt;0,' Plan Energi 2019'!$X$76*$R$405+' Plan Energi 2019'!$AE$76*$R$410,1)</f>
        <v>0</v>
      </c>
      <c r="S670" s="650"/>
      <c r="T670" s="726">
        <f>Transport!R49</f>
        <v>0</v>
      </c>
      <c r="U670" s="650"/>
      <c r="V670" s="726">
        <f>Transport!T49</f>
        <v>0</v>
      </c>
      <c r="W670" s="650"/>
      <c r="X670" s="604"/>
    </row>
    <row r="671" spans="1:24" x14ac:dyDescent="0.25">
      <c r="A671" s="604" t="s">
        <v>374</v>
      </c>
      <c r="B671" s="650">
        <f>' Plan Energi 2030-S'!P$76*$B$405/IF(' Plan Energi 2030-S'!$X$76*$B$405+' Plan Energi 2030-S'!$AE$76*$B$410&gt;0,' Plan Energi 2030-S'!$X$76*$B$405+' Plan Energi 2030-S'!$AE$76*$B$410,1)</f>
        <v>6.8999999999999992E-2</v>
      </c>
      <c r="C671" s="650"/>
      <c r="D671" s="650">
        <f>' Plan Energi 2006'!P$76*$D$405/IF(' Plan Energi 2006'!$X$76*$D$405+' Plan Energi 2006'!$AE$76*$D$410&gt;0,' Plan Energi 2006'!$X$76*$D$405+' Plan Energi 2006'!$AE$76*$D$410,1)</f>
        <v>0</v>
      </c>
      <c r="E671" s="650"/>
      <c r="F671" s="650">
        <f>' Plan Energi 2008'!P$76*$F$405/IF(' Plan Energi 2008'!$X$76*$F$405+' Plan Energi 2008'!$AE$76*$F$410&gt;0,' Plan Energi 2008'!$X$76*$F$405+' Plan Energi 2008'!$AE$76*$F$410,1)</f>
        <v>1.0000000000000002E-4</v>
      </c>
      <c r="G671" s="650"/>
      <c r="H671" s="650">
        <f>' Plan Energi 2009'!P$76*$H$405/IF(' Plan Energi 2009'!$X$76*$H$405+' Plan Energi 2009'!$AE$76*$H$410&gt;0,' Plan Energi 2009'!$X$76*$H$405+' Plan Energi 2009'!$AE$76*$H$410,1)</f>
        <v>1.6000000000000003E-3</v>
      </c>
      <c r="I671" s="650"/>
      <c r="J671" s="650">
        <f>' Plan Energi 2011'!P$76*$J$405/IF(' Plan Energi 2011'!$X$76*$J$405+' Plan Energi 2011'!$AE$76*$J$410&gt;0,' Plan Energi 2011'!$X$76*$J$405+' Plan Energi 2011'!$AE$76*$J$410,1)</f>
        <v>3.7699999999999997E-2</v>
      </c>
      <c r="K671" s="650"/>
      <c r="L671" s="650">
        <f>' Plan Energi 2013'!P$76*$L$405/IF(' Plan Energi 2013'!$X$76*$L$405+' Plan Energi 2013'!$AE$76*$L$410&gt;0,' Plan Energi 2013'!$X$76*$L$405+' Plan Energi 2013'!$AE$76*$L$410,1)</f>
        <v>6.3299999999999995E-2</v>
      </c>
      <c r="M671" s="650"/>
      <c r="N671" s="650">
        <f>' Plan Energi 2015'!P$76*$N$405/IF(' Plan Energi 2015'!$X$76*$N$405+' Plan Energi 2015'!$AE$76*$N$410&gt;0,' Plan Energi 2015'!$X$76*$N$405+' Plan Energi 2015'!$AE$76*$N$410,1)</f>
        <v>7.0999999999999994E-2</v>
      </c>
      <c r="O671" s="650"/>
      <c r="P671" s="650">
        <f>' Plan Energi 2017'!P$76*$P$405/IF(' Plan Energi 2017'!$X$76*$P$405+' Plan Energi 2017'!$AE$76*$P$410&gt;0,' Plan Energi 2017'!$X$76*$P$405+' Plan Energi 2017'!$AE$76*$P$410,1)</f>
        <v>6.8999999999999992E-2</v>
      </c>
      <c r="Q671" s="650"/>
      <c r="R671" s="650">
        <f>' Plan Energi 2019'!P$76*$R$405/IF(' Plan Energi 2019'!$X$76*$R$405+' Plan Energi 2019'!$AE$76*$R$410&gt;0,' Plan Energi 2019'!$X$76*$R$405+' Plan Energi 2019'!$AE$76*$R$410,1)</f>
        <v>6.8999999999999992E-2</v>
      </c>
      <c r="S671" s="650"/>
      <c r="T671" s="726">
        <f>Transport!R50</f>
        <v>6.8999999999999992E-2</v>
      </c>
      <c r="U671" s="650"/>
      <c r="V671" s="726">
        <f>Transport!T50</f>
        <v>6.4814814814814811E-2</v>
      </c>
      <c r="W671" s="650"/>
      <c r="X671" s="604"/>
    </row>
    <row r="672" spans="1:24" x14ac:dyDescent="0.25">
      <c r="A672" s="604" t="s">
        <v>628</v>
      </c>
      <c r="B672" s="744"/>
      <c r="C672" s="744"/>
      <c r="D672" s="744"/>
      <c r="E672" s="744"/>
      <c r="F672" s="744"/>
      <c r="G672" s="744"/>
      <c r="H672" s="744"/>
      <c r="I672" s="744"/>
      <c r="J672" s="744"/>
      <c r="K672" s="744"/>
      <c r="L672" s="744"/>
      <c r="M672" s="744"/>
      <c r="N672" s="744"/>
      <c r="O672" s="744"/>
      <c r="P672" s="744"/>
      <c r="Q672" s="744"/>
      <c r="R672" s="744"/>
      <c r="S672" s="744"/>
      <c r="T672" s="726">
        <f>Transport!R51</f>
        <v>0</v>
      </c>
      <c r="U672" s="650"/>
      <c r="V672" s="726">
        <f>Transport!T51</f>
        <v>0</v>
      </c>
      <c r="W672" s="650"/>
      <c r="X672" s="604"/>
    </row>
    <row r="673" spans="1:24" x14ac:dyDescent="0.25">
      <c r="A673" s="604" t="s">
        <v>27</v>
      </c>
      <c r="B673" s="650">
        <f>' Plan Energi 2030-S'!AE$76*$B$405/IF(' Plan Energi 2030-S'!$X$76*$B$405+' Plan Energi 2030-S'!$AE$76*$B$410&gt;0,' Plan Energi 2030-S'!$X$76*$B$405+' Plan Energi 2030-S'!$AE$76*$B$410,1)</f>
        <v>0</v>
      </c>
      <c r="C673" s="650"/>
      <c r="D673" s="650">
        <f>' Plan Energi 2006'!AE$76*$D$405/IF(' Plan Energi 2006'!$X$76*$D$405+' Plan Energi 2006'!$AE$76*$D$410&gt;0,' Plan Energi 2006'!$X$76*$D$405+' Plan Energi 2006'!$AE$76*$D$410,1)</f>
        <v>0</v>
      </c>
      <c r="E673" s="650"/>
      <c r="F673" s="650">
        <f>' Plan Energi 2008'!AE$76*$F$405/IF(' Plan Energi 2008'!$X$76*$F$405+' Plan Energi 2008'!$AE$76*$F$410&gt;0,' Plan Energi 2008'!$X$76*$F$405+' Plan Energi 2008'!$AE$76*$F$410,1)</f>
        <v>0</v>
      </c>
      <c r="G673" s="650"/>
      <c r="H673" s="650">
        <f>' Plan Energi 2009'!AE$76*$H$405/IF(' Plan Energi 2009'!$X$76*$H$405+' Plan Energi 2009'!$AE$76*$H$410&gt;0,' Plan Energi 2009'!$X$76*$H$405+' Plan Energi 2009'!$AE$76*$H$410,1)</f>
        <v>0</v>
      </c>
      <c r="I673" s="650"/>
      <c r="J673" s="650">
        <f>' Plan Energi 2011'!AE$76*$J$405/IF(' Plan Energi 2011'!$X$76*$J$405+' Plan Energi 2011'!$AE$76*$J$410&gt;0,' Plan Energi 2011'!$X$76*$J$405+' Plan Energi 2011'!$AE$76*$J$410,1)</f>
        <v>0</v>
      </c>
      <c r="K673" s="650"/>
      <c r="L673" s="650">
        <f>' Plan Energi 2013'!AE$76*$L$405/IF(' Plan Energi 2013'!$X$76*$L$405+' Plan Energi 2013'!$AE$76*$L$410&gt;0,' Plan Energi 2013'!$X$76*$L$405+' Plan Energi 2013'!$AE$76*$L$410,1)</f>
        <v>0</v>
      </c>
      <c r="M673" s="650"/>
      <c r="N673" s="650">
        <f>' Plan Energi 2015'!AE$76*$N$405/IF(' Plan Energi 2015'!$X$76*$N$405+' Plan Energi 2015'!$AE$76*$N$410&gt;0,' Plan Energi 2015'!$X$76*$N$405+' Plan Energi 2015'!$AE$76*$N$410,1)</f>
        <v>0</v>
      </c>
      <c r="O673" s="650"/>
      <c r="P673" s="650">
        <f>' Plan Energi 2017'!AE$76*$P$405/IF(' Plan Energi 2017'!$X$76*$P$405+' Plan Energi 2017'!$AE$76*$P$410&gt;0,' Plan Energi 2017'!$X$76*$P$405+' Plan Energi 2017'!$AE$76*$P$410,1)</f>
        <v>0</v>
      </c>
      <c r="Q673" s="650"/>
      <c r="R673" s="650">
        <f>' Plan Energi 2019'!AE$76*$R$405/IF(' Plan Energi 2019'!$X$76*$R$405+' Plan Energi 2019'!$AE$76*$R$410&gt;0,' Plan Energi 2019'!$X$76*$R$405+' Plan Energi 2019'!$AE$76*$R$410,1)</f>
        <v>0</v>
      </c>
      <c r="S673" s="650"/>
      <c r="T673" s="726">
        <f>Transport!R52</f>
        <v>0</v>
      </c>
      <c r="U673" s="650"/>
      <c r="V673" s="726">
        <f>Transport!T52</f>
        <v>0</v>
      </c>
      <c r="W673" s="650"/>
      <c r="X673" s="604"/>
    </row>
    <row r="674" spans="1:24" x14ac:dyDescent="0.25">
      <c r="A674" s="629" t="s">
        <v>482</v>
      </c>
      <c r="B674" s="650"/>
      <c r="C674" s="650"/>
      <c r="D674" s="650"/>
      <c r="E674" s="650"/>
      <c r="F674" s="650"/>
      <c r="G674" s="650"/>
      <c r="H674" s="650"/>
      <c r="I674" s="650"/>
      <c r="J674" s="650"/>
      <c r="K674" s="650"/>
      <c r="L674" s="650"/>
      <c r="M674" s="650"/>
      <c r="N674" s="650"/>
      <c r="O674" s="650"/>
      <c r="P674" s="650"/>
      <c r="Q674" s="650"/>
      <c r="R674" s="650"/>
      <c r="S674" s="650"/>
      <c r="T674" s="650"/>
      <c r="U674" s="650"/>
      <c r="V674" s="650"/>
      <c r="W674" s="650"/>
      <c r="X674" s="604"/>
    </row>
    <row r="675" spans="1:24" x14ac:dyDescent="0.25">
      <c r="A675" s="604" t="s">
        <v>9</v>
      </c>
      <c r="B675" s="650">
        <f>' Plan Energi 2030-S'!F$78*$B$407/IF(' Plan Energi 2030-S'!$X$78*$B$407+' Plan Energi 2030-S'!$AE$78*$B$410&gt;0,' Plan Energi 2030-S'!$X$78*$B$407+' Plan Energi 2030-S'!$AE$78*$B$410,1)</f>
        <v>1</v>
      </c>
      <c r="C675" s="650"/>
      <c r="D675" s="650">
        <f>' Plan Energi 2006'!F$78*$D$407/IF(' Plan Energi 2006'!$X$78*$D$407+' Plan Energi 2006'!$AE$78*$D$410&gt;0,' Plan Energi 2006'!$X$78*$D$407+' Plan Energi 2006'!$AE$78*$D$410,1)</f>
        <v>1</v>
      </c>
      <c r="E675" s="650"/>
      <c r="F675" s="650">
        <f>' Plan Energi 2008'!F$78*$F$407/IF(' Plan Energi 2008'!$X$78*$F$407+' Plan Energi 2008'!$AE$78*$F$410&gt;0,' Plan Energi 2008'!$X$78*$F$407+' Plan Energi 2008'!$AE$78*$F$410,1)</f>
        <v>1</v>
      </c>
      <c r="G675" s="650"/>
      <c r="H675" s="650">
        <f>' Plan Energi 2009'!F$78*$H$407/IF(' Plan Energi 2009'!$X$78*$H$407+' Plan Energi 2009'!$AE$78*$H$410&gt;0,' Plan Energi 2009'!$X$78*$H$407+' Plan Energi 2009'!$AE$78*$H$410,1)</f>
        <v>1</v>
      </c>
      <c r="I675" s="650"/>
      <c r="J675" s="650">
        <f>' Plan Energi 2011'!F$78*$J$407/IF(' Plan Energi 2011'!$X$78*$J$407+' Plan Energi 2011'!$AE$78*$J$410&gt;0,' Plan Energi 2011'!$X$78*$J$407+' Plan Energi 2011'!$AE$78*$J$410,1)</f>
        <v>1</v>
      </c>
      <c r="K675" s="650"/>
      <c r="L675" s="650">
        <f>' Plan Energi 2013'!F$78*$L$407/IF(' Plan Energi 2013'!$X$78*$L$407+' Plan Energi 2013'!$AE$78*$L$410&gt;0,' Plan Energi 2013'!$X$78*$L$407+' Plan Energi 2013'!$AE$78*$L$410,1)</f>
        <v>1</v>
      </c>
      <c r="M675" s="650"/>
      <c r="N675" s="650">
        <f>' Plan Energi 2015'!F$78*$N$407/IF(' Plan Energi 2015'!$X$78*$N$407+' Plan Energi 2015'!$AE$78*$N$410&gt;0,' Plan Energi 2015'!$X$78*$N$407+' Plan Energi 2015'!$AE$78*$N$410,1)</f>
        <v>1</v>
      </c>
      <c r="O675" s="650"/>
      <c r="P675" s="650">
        <f>' Plan Energi 2017'!F$78*$P$407/IF(' Plan Energi 2017'!$X$78*$P$407+' Plan Energi 2017'!$AE$78*$P$410&gt;0,' Plan Energi 2017'!$X$78*$P$407+' Plan Energi 2017'!$AE$78*$P$410,1)</f>
        <v>1</v>
      </c>
      <c r="Q675" s="650"/>
      <c r="R675" s="650">
        <f>' Plan Energi 2019'!F$78*$R$407/IF(' Plan Energi 2019'!$X$78*$R$407+' Plan Energi 2019'!$AE$78*$R$410&gt;0,' Plan Energi 2019'!$X$78*$R$407+' Plan Energi 2019'!$AE$78*$R$410,1)</f>
        <v>1</v>
      </c>
      <c r="S675" s="650"/>
      <c r="T675" s="726">
        <f>Transport!R54</f>
        <v>1</v>
      </c>
      <c r="U675" s="650"/>
      <c r="V675" s="726">
        <f>Transport!T54</f>
        <v>0.19148936170212771</v>
      </c>
      <c r="W675" s="650"/>
      <c r="X675" s="604"/>
    </row>
    <row r="676" spans="1:24" x14ac:dyDescent="0.25">
      <c r="A676" s="604" t="s">
        <v>374</v>
      </c>
      <c r="B676" s="650">
        <f>' Plan Energi 2030-S'!P$78*$B$407/IF(' Plan Energi 2030-S'!$X$78*$B$407+' Plan Energi 2030-S'!$AE$78*$B$410&gt;0,' Plan Energi 2030-S'!$X$78*$B$407+' Plan Energi 2030-S'!$AE$78*$B$410,1)</f>
        <v>0</v>
      </c>
      <c r="C676" s="650"/>
      <c r="D676" s="650">
        <f>' Plan Energi 2006'!P$78*$D$407/IF(' Plan Energi 2006'!$X$78*$D$407+' Plan Energi 2006'!$AE$78*$D$410&gt;0,' Plan Energi 2006'!$X$78*$D$407+' Plan Energi 2006'!$AE$78*$D$410,1)</f>
        <v>0</v>
      </c>
      <c r="E676" s="650"/>
      <c r="F676" s="650">
        <f>' Plan Energi 2008'!P$78*$F$407/IF(' Plan Energi 2008'!$X$78*$F$407+' Plan Energi 2008'!$AE$78*$F$410&gt;0,' Plan Energi 2008'!$X$78*$F$407+' Plan Energi 2008'!$AE$78*$F$410,1)</f>
        <v>0</v>
      </c>
      <c r="G676" s="650"/>
      <c r="H676" s="650">
        <f>' Plan Energi 2009'!P$78*$H$407/IF(' Plan Energi 2009'!$X$78*$H$407+' Plan Energi 2009'!$AE$78*$H$410&gt;0,' Plan Energi 2009'!$X$78*$H$407+' Plan Energi 2009'!$AE$78*$H$410,1)</f>
        <v>0</v>
      </c>
      <c r="I676" s="650"/>
      <c r="J676" s="650">
        <f>' Plan Energi 2011'!P$78*$J$407/IF(' Plan Energi 2011'!$X$78*$J$407+' Plan Energi 2011'!$AE$78*$J$410&gt;0,' Plan Energi 2011'!$X$78*$J$407+' Plan Energi 2011'!$AE$78*$J$410,1)</f>
        <v>0</v>
      </c>
      <c r="K676" s="650"/>
      <c r="L676" s="650">
        <f>' Plan Energi 2013'!P$78*$L$407/IF(' Plan Energi 2013'!$X$78*$L$407+' Plan Energi 2013'!$AE$78*$L$410&gt;0,' Plan Energi 2013'!$X$78*$L$407+' Plan Energi 2013'!$AE$78*$L$410,1)</f>
        <v>0</v>
      </c>
      <c r="M676" s="650"/>
      <c r="N676" s="650">
        <f>' Plan Energi 2015'!P$78*$N$407/IF(' Plan Energi 2015'!$X$78*$N$407+' Plan Energi 2015'!$AE$78*$N$410&gt;0,' Plan Energi 2015'!$X$78*$N$407+' Plan Energi 2015'!$AE$78*$N$410,1)</f>
        <v>0</v>
      </c>
      <c r="O676" s="650"/>
      <c r="P676" s="650">
        <f>' Plan Energi 2017'!P$78*$P$407/IF(' Plan Energi 2017'!$X$78*$P$407+' Plan Energi 2017'!$AE$78*$P$410&gt;0,' Plan Energi 2017'!$X$78*$P$407+' Plan Energi 2017'!$AE$78*$P$410,1)</f>
        <v>0</v>
      </c>
      <c r="Q676" s="650"/>
      <c r="R676" s="650">
        <f>' Plan Energi 2019'!P$78*$R$407/IF(' Plan Energi 2019'!$X$78*$R$407+' Plan Energi 2019'!$AE$78*$R$410&gt;0,' Plan Energi 2019'!$X$78*$R$407+' Plan Energi 2019'!$AE$78*$R$410,1)</f>
        <v>0</v>
      </c>
      <c r="S676" s="650"/>
      <c r="T676" s="726">
        <f>Transport!R55</f>
        <v>0</v>
      </c>
      <c r="U676" s="650"/>
      <c r="V676" s="726">
        <f>Transport!T55</f>
        <v>0</v>
      </c>
      <c r="W676" s="650"/>
      <c r="X676" s="604"/>
    </row>
    <row r="677" spans="1:24" x14ac:dyDescent="0.25">
      <c r="A677" s="604" t="s">
        <v>628</v>
      </c>
      <c r="B677" s="744"/>
      <c r="C677" s="744"/>
      <c r="D677" s="744"/>
      <c r="E677" s="744"/>
      <c r="F677" s="744"/>
      <c r="G677" s="744"/>
      <c r="H677" s="744"/>
      <c r="I677" s="744"/>
      <c r="J677" s="744"/>
      <c r="K677" s="744"/>
      <c r="L677" s="744"/>
      <c r="M677" s="744"/>
      <c r="N677" s="744"/>
      <c r="O677" s="744"/>
      <c r="P677" s="744"/>
      <c r="Q677" s="744"/>
      <c r="R677" s="744"/>
      <c r="S677" s="744"/>
      <c r="T677" s="726">
        <f>Transport!R56</f>
        <v>0</v>
      </c>
      <c r="U677" s="650"/>
      <c r="V677" s="726">
        <f>Transport!T56</f>
        <v>0</v>
      </c>
      <c r="W677" s="650"/>
      <c r="X677" s="604"/>
    </row>
    <row r="678" spans="1:24" x14ac:dyDescent="0.25">
      <c r="A678" s="604" t="s">
        <v>27</v>
      </c>
      <c r="B678" s="650">
        <f>' Plan Energi 2030-S'!AE$78*$B$407/IF(' Plan Energi 2030-S'!$X$78*$B$407+' Plan Energi 2030-S'!$AE$78*$B$410&gt;0,' Plan Energi 2030-S'!$X$78*$B$407+' Plan Energi 2030-S'!$AE$78*$B$410,1)</f>
        <v>0</v>
      </c>
      <c r="C678" s="650"/>
      <c r="D678" s="650">
        <f>' Plan Energi 2006'!AE$78*$D$407/IF(' Plan Energi 2006'!$X$78*$D$407+' Plan Energi 2006'!$AE$78*$D$410&gt;0,' Plan Energi 2006'!$X$78*$D$407+' Plan Energi 2006'!$AE$78*$D$410,1)</f>
        <v>0</v>
      </c>
      <c r="E678" s="650"/>
      <c r="F678" s="650">
        <f>' Plan Energi 2008'!AE$78*$F$407/IF(' Plan Energi 2008'!$X$78*$F$407+' Plan Energi 2008'!$AE$78*$F$410&gt;0,' Plan Energi 2008'!$X$78*$F$407+' Plan Energi 2008'!$AE$78*$F$410,1)</f>
        <v>0</v>
      </c>
      <c r="G678" s="650"/>
      <c r="H678" s="650">
        <f>' Plan Energi 2009'!AE$78*$H$407/IF(' Plan Energi 2009'!$X$78*$H$407+' Plan Energi 2009'!$AE$78*$H$410&gt;0,' Plan Energi 2009'!$X$78*$H$407+' Plan Energi 2009'!$AE$78*$H$410,1)</f>
        <v>0</v>
      </c>
      <c r="I678" s="650"/>
      <c r="J678" s="650">
        <f>' Plan Energi 2011'!AE$78*$J$407/IF(' Plan Energi 2011'!$X$78*$J$407+' Plan Energi 2011'!$AE$78*$J$410&gt;0,' Plan Energi 2011'!$X$78*$J$407+' Plan Energi 2011'!$AE$78*$J$410,1)</f>
        <v>0</v>
      </c>
      <c r="K678" s="650"/>
      <c r="L678" s="650">
        <f>' Plan Energi 2013'!AE$78*$L$407/IF(' Plan Energi 2013'!$X$78*$L$407+' Plan Energi 2013'!$AE$78*$L$410&gt;0,' Plan Energi 2013'!$X$78*$L$407+' Plan Energi 2013'!$AE$78*$L$410,1)</f>
        <v>0</v>
      </c>
      <c r="M678" s="650"/>
      <c r="N678" s="650">
        <f>' Plan Energi 2015'!AE$78*$N$407/IF(' Plan Energi 2015'!$X$78*$N$407+' Plan Energi 2015'!$AE$78*$N$410&gt;0,' Plan Energi 2015'!$X$78*$N$407+' Plan Energi 2015'!$AE$78*$N$410,1)</f>
        <v>0</v>
      </c>
      <c r="O678" s="650"/>
      <c r="P678" s="650">
        <f>' Plan Energi 2017'!AE$78*$P$407/IF(' Plan Energi 2017'!$X$78*$P$407+' Plan Energi 2017'!$AE$78*$P$410&gt;0,' Plan Energi 2017'!$X$78*$P$407+' Plan Energi 2017'!$AE$78*$P$410,1)</f>
        <v>0</v>
      </c>
      <c r="Q678" s="650"/>
      <c r="R678" s="650">
        <f>' Plan Energi 2019'!AE$78*$R$407/IF(' Plan Energi 2019'!$X$78*$R$407+' Plan Energi 2019'!$AE$78*$R$410&gt;0,' Plan Energi 2019'!$X$78*$R$407+' Plan Energi 2019'!$AE$78*$R$410,1)</f>
        <v>0</v>
      </c>
      <c r="S678" s="650"/>
      <c r="T678" s="726">
        <f>Transport!R57</f>
        <v>0</v>
      </c>
      <c r="U678" s="650"/>
      <c r="V678" s="726">
        <f>Transport!T57</f>
        <v>0.80851063829787229</v>
      </c>
      <c r="W678" s="650"/>
      <c r="X678" s="604"/>
    </row>
    <row r="679" spans="1:24" x14ac:dyDescent="0.25">
      <c r="A679" s="629" t="s">
        <v>483</v>
      </c>
      <c r="B679" s="650"/>
      <c r="C679" s="650"/>
      <c r="D679" s="650"/>
      <c r="E679" s="650"/>
      <c r="F679" s="650"/>
      <c r="G679" s="650"/>
      <c r="H679" s="650"/>
      <c r="I679" s="650"/>
      <c r="J679" s="650"/>
      <c r="K679" s="650"/>
      <c r="L679" s="650"/>
      <c r="M679" s="650"/>
      <c r="N679" s="650"/>
      <c r="O679" s="650"/>
      <c r="P679" s="650"/>
      <c r="Q679" s="650"/>
      <c r="R679" s="650"/>
      <c r="S679" s="650"/>
      <c r="T679" s="650"/>
      <c r="U679" s="650"/>
      <c r="V679" s="650"/>
      <c r="W679" s="650"/>
      <c r="X679" s="604"/>
    </row>
    <row r="680" spans="1:24" x14ac:dyDescent="0.25">
      <c r="A680" s="604" t="s">
        <v>10</v>
      </c>
      <c r="B680" s="650">
        <f>' Plan Energi 2030-S'!G$79*$B$408/IF(' Plan Energi 2030-S'!$X$79*$B$408+' Plan Energi 2030-S'!$AE$79*$B$410&gt;0,' Plan Energi 2030-S'!$X$79*$B$408+' Plan Energi 2030-S'!$AE$79*$B$410,1)</f>
        <v>0.99930011923894446</v>
      </c>
      <c r="C680" s="650"/>
      <c r="D680" s="650">
        <f>' Plan Energi 2006'!G$79*$D$408/IF(' Plan Energi 2006'!$X$79*$D$408+' Plan Energi 2006'!$AE$79*$D$410&gt;0,' Plan Energi 2006'!$X$79*$D$408+' Plan Energi 2006'!$AE$79*$D$410,1)</f>
        <v>0.99745331069609511</v>
      </c>
      <c r="E680" s="650"/>
      <c r="F680" s="650">
        <f>' Plan Energi 2008'!G$79*$F$408/IF(' Plan Energi 2008'!$X$79*$F$408+' Plan Energi 2008'!$AE$79*$F$410&gt;0,' Plan Energi 2008'!$X$79*$F$408+' Plan Energi 2008'!$AE$79*$F$410,1)</f>
        <v>0.99750000000000005</v>
      </c>
      <c r="G680" s="650"/>
      <c r="H680" s="650">
        <f>' Plan Energi 2009'!G$79*$H$408/IF(' Plan Energi 2009'!$X$79*$H$408+' Plan Energi 2009'!$AE$79*$H$410&gt;0,' Plan Energi 2009'!$X$79*$H$408+' Plan Energi 2009'!$AE$79*$H$410,1)</f>
        <v>0.99749216300940424</v>
      </c>
      <c r="I680" s="650"/>
      <c r="J680" s="650">
        <f>' Plan Energi 2011'!G$79*$J$408/IF(' Plan Energi 2011'!$X$79*$J$408+' Plan Energi 2011'!$AE$79*$J$410&gt;0,' Plan Energi 2011'!$X$79*$J$408+' Plan Energi 2011'!$AE$79*$J$410,1)</f>
        <v>0.99825885084155541</v>
      </c>
      <c r="K680" s="650"/>
      <c r="L680" s="650">
        <f>' Plan Energi 2013'!G$79*$L$408/IF(' Plan Energi 2013'!$X$79*$L$408+' Plan Energi 2013'!$AE$79*$L$410&gt;0,' Plan Energi 2013'!$X$79*$L$408+' Plan Energi 2013'!$AE$79*$L$410,1)</f>
        <v>0.9981388649807047</v>
      </c>
      <c r="M680" s="650"/>
      <c r="N680" s="650">
        <f>' Plan Energi 2015'!G$79*$N$408/IF(' Plan Energi 2015'!$X$79*$N$408+' Plan Energi 2015'!$AE$79*$N$410&gt;0,' Plan Energi 2015'!$X$79*$N$408+' Plan Energi 2015'!$AE$79*$N$410,1)</f>
        <v>0.99856774563162409</v>
      </c>
      <c r="O680" s="650"/>
      <c r="P680" s="650">
        <f>' Plan Energi 2017'!G$79*$P$408/IF(' Plan Energi 2017'!$X$79*$P$408+' Plan Energi 2017'!$AE$79*$P$410&gt;0,' Plan Energi 2017'!$X$79*$P$408+' Plan Energi 2017'!$AE$79*$P$410,1)</f>
        <v>0.99930011923894446</v>
      </c>
      <c r="Q680" s="650"/>
      <c r="R680" s="650">
        <f>' Plan Energi 2019'!G$79*$R$408/IF(' Plan Energi 2019'!$X$79*$R$408+' Plan Energi 2019'!$AE$79*$R$410&gt;0,' Plan Energi 2019'!$X$79*$R$408+' Plan Energi 2019'!$AE$79*$R$410,1)</f>
        <v>0.99930011923894446</v>
      </c>
      <c r="S680" s="650"/>
      <c r="T680" s="726">
        <f>Transport!R59</f>
        <v>0.99930011923894446</v>
      </c>
      <c r="U680" s="650"/>
      <c r="V680" s="726">
        <f>Transport!T59</f>
        <v>1</v>
      </c>
      <c r="W680" s="650"/>
      <c r="X680" s="604"/>
    </row>
    <row r="681" spans="1:24" x14ac:dyDescent="0.25">
      <c r="A681" s="604" t="s">
        <v>11</v>
      </c>
      <c r="B681" s="650">
        <f>' Plan Energi 2030-S'!H$79*$B$408/IF(' Plan Energi 2030-S'!$X$79*$B$408+' Plan Energi 2030-S'!$AE$79*$B$410&gt;0,' Plan Energi 2030-S'!$X$79*$B$408+' Plan Energi 2030-S'!$AE$79*$B$410,1)</f>
        <v>6.9988076105552399E-4</v>
      </c>
      <c r="C681" s="650"/>
      <c r="D681" s="650">
        <f>' Plan Energi 2006'!H$79*$D$408/IF(' Plan Energi 2006'!$X$79*$D$408+' Plan Energi 2006'!$AE$79*$D$410&gt;0,' Plan Energi 2006'!$X$79*$D$408+' Plan Energi 2006'!$AE$79*$D$410,1)</f>
        <v>2.5466893039049238E-3</v>
      </c>
      <c r="E681" s="650"/>
      <c r="F681" s="650">
        <f>' Plan Energi 2008'!H$79*$F$408/IF(' Plan Energi 2008'!$X$79*$F$408+' Plan Energi 2008'!$AE$79*$F$410&gt;0,' Plan Energi 2008'!$X$79*$F$408+' Plan Energi 2008'!$AE$79*$F$410,1)</f>
        <v>2.5000000000000001E-3</v>
      </c>
      <c r="G681" s="650"/>
      <c r="H681" s="650">
        <f>' Plan Energi 2009'!H$79*$H$408/IF(' Plan Energi 2009'!$X$79*$H$408+' Plan Energi 2009'!$AE$79*$H$410&gt;0,' Plan Energi 2009'!$X$79*$H$408+' Plan Energi 2009'!$AE$79*$H$410,1)</f>
        <v>2.507836990595611E-3</v>
      </c>
      <c r="I681" s="650"/>
      <c r="J681" s="650">
        <f>' Plan Energi 2011'!H$79*$J$408/IF(' Plan Energi 2011'!$X$79*$J$408+' Plan Energi 2011'!$AE$79*$J$410&gt;0,' Plan Energi 2011'!$X$79*$J$408+' Plan Energi 2011'!$AE$79*$J$410,1)</f>
        <v>1.7411491584445732E-3</v>
      </c>
      <c r="K681" s="650"/>
      <c r="L681" s="650">
        <f>' Plan Energi 2013'!H$79*$L$408/IF(' Plan Energi 2013'!$X$79*$L$408+' Plan Energi 2013'!$AE$79*$L$410&gt;0,' Plan Energi 2013'!$X$79*$L$408+' Plan Energi 2013'!$AE$79*$L$410,1)</f>
        <v>1.8611350192953547E-3</v>
      </c>
      <c r="M681" s="650"/>
      <c r="N681" s="650">
        <f>' Plan Energi 2015'!H$79*$N$408/IF(' Plan Energi 2015'!$X$79*$N$408+' Plan Energi 2015'!$AE$79*$N$410&gt;0,' Plan Energi 2015'!$X$79*$N$408+' Plan Energi 2015'!$AE$79*$N$410,1)</f>
        <v>1.4322543683758233E-3</v>
      </c>
      <c r="O681" s="650"/>
      <c r="P681" s="650">
        <f>' Plan Energi 2017'!H$79*$P$408/IF(' Plan Energi 2017'!$X$79*$P$408+' Plan Energi 2017'!$AE$79*$P$410&gt;0,' Plan Energi 2017'!$X$79*$P$408+' Plan Energi 2017'!$AE$79*$P$410,1)</f>
        <v>6.9988076105552399E-4</v>
      </c>
      <c r="Q681" s="650"/>
      <c r="R681" s="650">
        <f>' Plan Energi 2019'!H$79*$R$408/IF(' Plan Energi 2019'!$X$79*$R$408+' Plan Energi 2019'!$AE$79*$R$410&gt;0,' Plan Energi 2019'!$X$79*$R$408+' Plan Energi 2019'!$AE$79*$R$410,1)</f>
        <v>6.9988076105552399E-4</v>
      </c>
      <c r="S681" s="650"/>
      <c r="T681" s="726">
        <f>Transport!R60</f>
        <v>6.9988076105552399E-4</v>
      </c>
      <c r="U681" s="650"/>
      <c r="V681" s="726">
        <f>Transport!T60</f>
        <v>0</v>
      </c>
      <c r="W681" s="650"/>
      <c r="X681" s="604"/>
    </row>
    <row r="682" spans="1:24" x14ac:dyDescent="0.25">
      <c r="A682" s="604" t="s">
        <v>374</v>
      </c>
      <c r="B682" s="650">
        <f>' Plan Energi 2030-S'!P$79*$B$408/IF(' Plan Energi 2030-S'!$X$79*$B$408+' Plan Energi 2030-S'!$AE$79*$B$410&gt;0,' Plan Energi 2030-S'!$X$79*$B$408+' Plan Energi 2030-S'!$AE$79*$B$410,1)</f>
        <v>0</v>
      </c>
      <c r="C682" s="650"/>
      <c r="D682" s="650">
        <f>' Plan Energi 2006'!P$79*$D$408/IF(' Plan Energi 2006'!$X$79*$D$408+' Plan Energi 2006'!$AE$79*$D$410&gt;0,' Plan Energi 2006'!$X$79*$D$408+' Plan Energi 2006'!$AE$79*$D$410,1)</f>
        <v>0</v>
      </c>
      <c r="E682" s="650"/>
      <c r="F682" s="650">
        <f>' Plan Energi 2008'!P$79*$F$408/IF(' Plan Energi 2008'!$X$79*$F$408+' Plan Energi 2008'!$AE$79*$F$410&gt;0,' Plan Energi 2008'!$X$79*$F$408+' Plan Energi 2008'!$AE$79*$F$410,1)</f>
        <v>0</v>
      </c>
      <c r="G682" s="650"/>
      <c r="H682" s="650">
        <f>' Plan Energi 2009'!P$79*$H$408/IF(' Plan Energi 2009'!$X$79*$H$408+' Plan Energi 2009'!$AE$79*$H$410&gt;0,' Plan Energi 2009'!$X$79*$H$408+' Plan Energi 2009'!$AE$79*$H$410,1)</f>
        <v>0</v>
      </c>
      <c r="I682" s="650"/>
      <c r="J682" s="650">
        <f>' Plan Energi 2011'!P$79*$J$408/IF(' Plan Energi 2011'!$X$79*$J$408+' Plan Energi 2011'!$AE$79*$J$410&gt;0,' Plan Energi 2011'!$X$79*$J$408+' Plan Energi 2011'!$AE$79*$J$410,1)</f>
        <v>0</v>
      </c>
      <c r="K682" s="650"/>
      <c r="L682" s="650">
        <f>' Plan Energi 2013'!P$79*$L$408/IF(' Plan Energi 2013'!$X$79*$L$408+' Plan Energi 2013'!$AE$79*$L$410&gt;0,' Plan Energi 2013'!$X$79*$L$408+' Plan Energi 2013'!$AE$79*$L$410,1)</f>
        <v>0</v>
      </c>
      <c r="M682" s="650"/>
      <c r="N682" s="650">
        <f>' Plan Energi 2015'!P$79*$N$408/IF(' Plan Energi 2015'!$X$79*$N$408+' Plan Energi 2015'!$AE$79*$N$410&gt;0,' Plan Energi 2015'!$X$79*$N$408+' Plan Energi 2015'!$AE$79*$N$410,1)</f>
        <v>0</v>
      </c>
      <c r="O682" s="650"/>
      <c r="P682" s="650">
        <f>' Plan Energi 2017'!P$79*$P$408/IF(' Plan Energi 2017'!$X$79*$P$408+' Plan Energi 2017'!$AE$79*$P$410&gt;0,' Plan Energi 2017'!$X$79*$P$408+' Plan Energi 2017'!$AE$79*$P$410,1)</f>
        <v>0</v>
      </c>
      <c r="Q682" s="650"/>
      <c r="R682" s="650">
        <f>' Plan Energi 2019'!P$79*$R$408/IF(' Plan Energi 2019'!$X$79*$R$408+' Plan Energi 2019'!$AE$79*$R$410&gt;0,' Plan Energi 2019'!$X$79*$R$408+' Plan Energi 2019'!$AE$79*$R$410,1)</f>
        <v>0</v>
      </c>
      <c r="S682" s="650"/>
      <c r="T682" s="726">
        <f>Transport!R61</f>
        <v>0</v>
      </c>
      <c r="U682" s="650"/>
      <c r="V682" s="726">
        <f>Transport!T61</f>
        <v>0</v>
      </c>
      <c r="W682" s="650"/>
      <c r="X682" s="604"/>
    </row>
    <row r="683" spans="1:24" x14ac:dyDescent="0.25">
      <c r="A683" s="604" t="s">
        <v>628</v>
      </c>
      <c r="B683" s="744"/>
      <c r="C683" s="744"/>
      <c r="D683" s="744"/>
      <c r="E683" s="744"/>
      <c r="F683" s="744"/>
      <c r="G683" s="744"/>
      <c r="H683" s="744"/>
      <c r="I683" s="744"/>
      <c r="J683" s="744"/>
      <c r="K683" s="744"/>
      <c r="L683" s="744"/>
      <c r="M683" s="744"/>
      <c r="N683" s="744"/>
      <c r="O683" s="744"/>
      <c r="P683" s="744"/>
      <c r="Q683" s="744"/>
      <c r="R683" s="744"/>
      <c r="S683" s="744"/>
      <c r="T683" s="726">
        <f>Transport!R62</f>
        <v>0</v>
      </c>
      <c r="U683" s="650"/>
      <c r="V683" s="726"/>
      <c r="W683" s="650"/>
      <c r="X683" s="604"/>
    </row>
    <row r="684" spans="1:24" x14ac:dyDescent="0.25">
      <c r="A684" s="604" t="s">
        <v>27</v>
      </c>
      <c r="B684" s="650">
        <f>' Plan Energi 2030-S'!AE$79*$B$408/IF(' Plan Energi 2030-S'!$X$79*$B$408+' Plan Energi 2030-S'!$AE$79*$B$410&gt;0,' Plan Energi 2030-S'!$X$79*$B$408+' Plan Energi 2030-S'!$AE$79*$B$410,1)</f>
        <v>0</v>
      </c>
      <c r="C684" s="650"/>
      <c r="D684" s="650">
        <f>' Plan Energi 2006'!AE$79*$D$408/IF(' Plan Energi 2006'!$X$79*$D$408+' Plan Energi 2006'!$AE$79*$D$410&gt;0,' Plan Energi 2006'!$X$79*$D$408+' Plan Energi 2006'!$AE$79*$D$410,1)</f>
        <v>0</v>
      </c>
      <c r="E684" s="650"/>
      <c r="F684" s="650">
        <f>' Plan Energi 2008'!AE$79*$F$408/IF(' Plan Energi 2008'!$X$79*$F$408+' Plan Energi 2008'!$AE$79*$F$410&gt;0,' Plan Energi 2008'!$X$79*$F$408+' Plan Energi 2008'!$AE$79*$F$410,1)</f>
        <v>0</v>
      </c>
      <c r="G684" s="650"/>
      <c r="H684" s="650">
        <f>' Plan Energi 2009'!AE$79*$H$408/IF(' Plan Energi 2009'!$X$79*$H$408+' Plan Energi 2009'!$AE$79*$H$410&gt;0,' Plan Energi 2009'!$X$79*$H$408+' Plan Energi 2009'!$AE$79*$H$410,1)</f>
        <v>0</v>
      </c>
      <c r="I684" s="650"/>
      <c r="J684" s="650">
        <f>' Plan Energi 2011'!AE$79*$J$408/IF(' Plan Energi 2011'!$X$79*$J$408+' Plan Energi 2011'!$AE$79*$J$410&gt;0,' Plan Energi 2011'!$X$79*$J$408+' Plan Energi 2011'!$AE$79*$J$410,1)</f>
        <v>0</v>
      </c>
      <c r="K684" s="650"/>
      <c r="L684" s="650">
        <f>' Plan Energi 2013'!AE$79*$L$408/IF(' Plan Energi 2013'!$X$79*$L$408+' Plan Energi 2013'!$AE$79*$L$410&gt;0,' Plan Energi 2013'!$X$79*$L$408+' Plan Energi 2013'!$AE$79*$L$410,1)</f>
        <v>0</v>
      </c>
      <c r="M684" s="650"/>
      <c r="N684" s="650">
        <f>' Plan Energi 2015'!AE$79*$N$408/IF(' Plan Energi 2015'!$X$79*$N$408+' Plan Energi 2015'!$AE$79*$N$410&gt;0,' Plan Energi 2015'!$X$79*$N$408+' Plan Energi 2015'!$AE$79*$N$410,1)</f>
        <v>0</v>
      </c>
      <c r="O684" s="650"/>
      <c r="P684" s="650">
        <f>' Plan Energi 2017'!AE$79*$P$408/IF(' Plan Energi 2017'!$X$79*$P$408+' Plan Energi 2017'!$AE$79*$P$410&gt;0,' Plan Energi 2017'!$X$79*$P$408+' Plan Energi 2017'!$AE$79*$P$410,1)</f>
        <v>0</v>
      </c>
      <c r="Q684" s="650"/>
      <c r="R684" s="650">
        <f>' Plan Energi 2019'!AE$79*$R$408/IF(' Plan Energi 2019'!$X$79*$R$408+' Plan Energi 2019'!$AE$79*$R$410&gt;0,' Plan Energi 2019'!$X$79*$R$408+' Plan Energi 2019'!$AE$79*$R$410,1)</f>
        <v>0</v>
      </c>
      <c r="S684" s="650"/>
      <c r="T684" s="726">
        <f>Transport!R63</f>
        <v>0</v>
      </c>
      <c r="U684" s="650"/>
      <c r="V684" s="726">
        <f>Transport!T63</f>
        <v>0</v>
      </c>
      <c r="W684" s="650"/>
      <c r="X684" s="604"/>
    </row>
    <row r="685" spans="1:24" x14ac:dyDescent="0.25">
      <c r="A685" s="629" t="s">
        <v>484</v>
      </c>
      <c r="B685" s="650"/>
      <c r="C685" s="650"/>
      <c r="D685" s="650"/>
      <c r="E685" s="650"/>
      <c r="F685" s="650"/>
      <c r="G685" s="650"/>
      <c r="H685" s="650"/>
      <c r="I685" s="650"/>
      <c r="J685" s="650"/>
      <c r="K685" s="650"/>
      <c r="L685" s="650"/>
      <c r="M685" s="650"/>
      <c r="N685" s="650"/>
      <c r="O685" s="650"/>
      <c r="P685" s="650"/>
      <c r="Q685" s="650"/>
      <c r="R685" s="650"/>
      <c r="S685" s="650"/>
      <c r="T685" s="650"/>
      <c r="U685" s="650"/>
      <c r="V685" s="650"/>
      <c r="W685" s="650"/>
      <c r="X685" s="604"/>
    </row>
    <row r="686" spans="1:24" x14ac:dyDescent="0.25">
      <c r="A686" s="654" t="s">
        <v>7</v>
      </c>
      <c r="B686" s="650">
        <f>' Plan Energi 2030-S'!D$80*$B$409/IF(' Plan Energi 2030-S'!$X$80*$B$409+' Plan Energi 2030-S'!$AE$80*$B$410&gt;0,' Plan Energi 2030-S'!$X$80*$B$409+' Plan Energi 2030-S'!$AE$80*$B$410,1)</f>
        <v>0</v>
      </c>
      <c r="C686" s="650"/>
      <c r="D686" s="650">
        <f>' Plan Energi 2006'!D$80*$D$409/IF(' Plan Energi 2006'!$X$80*$D$409+' Plan Energi 2006'!$AE$80*$D$410&gt;0,' Plan Energi 2006'!$X$80*$D$409+' Plan Energi 2006'!$AE$80*$D$410,1)</f>
        <v>0.17602427921092564</v>
      </c>
      <c r="E686" s="650"/>
      <c r="F686" s="650">
        <f>' Plan Energi 2008'!D$80*$F$409/IF(' Plan Energi 2008'!$X$80*$F$409+' Plan Energi 2008'!$AE$80*$F$410&gt;0,' Plan Energi 2008'!$X$80*$F$409+' Plan Energi 2008'!$AE$80*$F$410,1)</f>
        <v>0.14324693042291953</v>
      </c>
      <c r="G686" s="650"/>
      <c r="H686" s="650">
        <f>' Plan Energi 2009'!D$80*$H$409/IF(' Plan Energi 2009'!$X$80*$H$409+' Plan Energi 2009'!$AE$80*$H$410&gt;0,' Plan Energi 2009'!$X$80*$H$409+' Plan Energi 2009'!$AE$80*$H$410,1)</f>
        <v>0.13843888070692192</v>
      </c>
      <c r="I686" s="650"/>
      <c r="J686" s="650">
        <f>' Plan Energi 2011'!D$80*$J$409/IF(' Plan Energi 2011'!$X$80*$J$409+' Plan Energi 2011'!$AE$80*$J$410&gt;0,' Plan Energi 2011'!$X$80*$J$409+' Plan Energi 2011'!$AE$80*$J$410,1)</f>
        <v>0.11478260869565216</v>
      </c>
      <c r="K686" s="650"/>
      <c r="L686" s="650">
        <f>' Plan Energi 2013'!D$80*$L$409/IF(' Plan Energi 2013'!$X$80*$L$409+' Plan Energi 2013'!$AE$80*$L$410&gt;0,' Plan Energi 2013'!$X$80*$L$409+' Plan Energi 2013'!$AE$80*$L$410,1)</f>
        <v>0.12315825938826877</v>
      </c>
      <c r="M686" s="650"/>
      <c r="N686" s="650">
        <f>' Plan Energi 2015'!D$80*$N$409/IF(' Plan Energi 2015'!$X$80*$N$409+' Plan Energi 2015'!$AE$80*$N$410&gt;0,' Plan Energi 2015'!$X$80*$N$409+' Plan Energi 2015'!$AE$80*$N$410,1)</f>
        <v>7.9051383399209481E-3</v>
      </c>
      <c r="O686" s="650"/>
      <c r="P686" s="650">
        <f>' Plan Energi 2017'!D$80*$P$409/IF(' Plan Energi 2017'!$X$80*$P$409+' Plan Energi 2017'!$AE$80*$P$410&gt;0,' Plan Energi 2017'!$X$80*$P$409+' Plan Energi 2017'!$AE$80*$P$410,1)</f>
        <v>0</v>
      </c>
      <c r="Q686" s="650"/>
      <c r="R686" s="650">
        <f>' Plan Energi 2019'!D$80*$R$409/IF(' Plan Energi 2019'!$X$80*$R$409+' Plan Energi 2019'!$AE$80*$R$410&gt;0,' Plan Energi 2019'!$X$80*$R$409+' Plan Energi 2019'!$AE$80*$R$410,1)</f>
        <v>0</v>
      </c>
      <c r="S686" s="650"/>
      <c r="T686" s="726">
        <f>Transport!R65</f>
        <v>0</v>
      </c>
      <c r="U686" s="650"/>
      <c r="V686" s="726">
        <f>Transport!T65</f>
        <v>-5.8980598183211441E-17</v>
      </c>
      <c r="W686" s="650"/>
      <c r="X686" s="604"/>
    </row>
    <row r="687" spans="1:24" x14ac:dyDescent="0.25">
      <c r="A687" s="604" t="s">
        <v>9</v>
      </c>
      <c r="B687" s="650">
        <f>' Plan Energi 2030-S'!F$80*$B$409/IF(' Plan Energi 2030-S'!$X$80*$B$409+' Plan Energi 2030-S'!$AE$80*$B$410&gt;0,' Plan Energi 2030-S'!$X$80*$B$409+' Plan Energi 2030-S'!$AE$80*$B$410,1)</f>
        <v>1</v>
      </c>
      <c r="C687" s="650"/>
      <c r="D687" s="650">
        <f>' Plan Energi 2006'!F$80*$D$409/IF(' Plan Energi 2006'!$X$80*$D$409+' Plan Energi 2006'!$AE$80*$D$410&gt;0,' Plan Energi 2006'!$X$80*$D$409+' Plan Energi 2006'!$AE$80*$D$410,1)</f>
        <v>0.82397572078907433</v>
      </c>
      <c r="E687" s="650"/>
      <c r="F687" s="650">
        <f>' Plan Energi 2008'!F$80*$F$409/IF(' Plan Energi 2008'!$X$80*$F$409+' Plan Energi 2008'!$AE$80*$F$410&gt;0,' Plan Energi 2008'!$X$80*$F$409+' Plan Energi 2008'!$AE$80*$F$410,1)</f>
        <v>0.85675306957708053</v>
      </c>
      <c r="G687" s="650"/>
      <c r="H687" s="650">
        <f>' Plan Energi 2009'!F$80*$H$409/IF(' Plan Energi 2009'!$X$80*$H$409+' Plan Energi 2009'!$AE$80*$H$410&gt;0,' Plan Energi 2009'!$X$80*$H$409+' Plan Energi 2009'!$AE$80*$H$410,1)</f>
        <v>0.86156111929307788</v>
      </c>
      <c r="I687" s="650"/>
      <c r="J687" s="650">
        <f>' Plan Energi 2011'!F$80*$J$409/IF(' Plan Energi 2011'!$X$80*$J$409+' Plan Energi 2011'!$AE$80*$J$410&gt;0,' Plan Energi 2011'!$X$80*$J$409+' Plan Energi 2011'!$AE$80*$J$410,1)</f>
        <v>0.88521739130434784</v>
      </c>
      <c r="K687" s="650"/>
      <c r="L687" s="650">
        <f>' Plan Energi 2013'!F$80*$L$409/IF(' Plan Energi 2013'!$X$80*$L$409+' Plan Energi 2013'!$AE$80*$L$410&gt;0,' Plan Energi 2013'!$X$80*$L$409+' Plan Energi 2013'!$AE$80*$L$410,1)</f>
        <v>0.87684174061173115</v>
      </c>
      <c r="M687" s="650"/>
      <c r="N687" s="650">
        <f>' Plan Energi 2015'!F$80*$N$409/IF(' Plan Energi 2015'!$X$80*$N$409+' Plan Energi 2015'!$AE$80*$N$410&gt;0,' Plan Energi 2015'!$X$80*$N$409+' Plan Energi 2015'!$AE$80*$N$410,1)</f>
        <v>0.99209486166007921</v>
      </c>
      <c r="O687" s="650"/>
      <c r="P687" s="650">
        <f>' Plan Energi 2017'!F$80*$P$409/IF(' Plan Energi 2017'!$X$80*$P$409+' Plan Energi 2017'!$AE$80*$P$410&gt;0,' Plan Energi 2017'!$X$80*$P$409+' Plan Energi 2017'!$AE$80*$P$410,1)</f>
        <v>1</v>
      </c>
      <c r="Q687" s="650"/>
      <c r="R687" s="650">
        <f>' Plan Energi 2019'!F$80*$R$409/IF(' Plan Energi 2019'!$X$80*$R$409+' Plan Energi 2019'!$AE$80*$R$410&gt;0,' Plan Energi 2019'!$X$80*$R$409+' Plan Energi 2019'!$AE$80*$R$410,1)</f>
        <v>1</v>
      </c>
      <c r="S687" s="650"/>
      <c r="T687" s="726">
        <f>Transport!R66</f>
        <v>1</v>
      </c>
      <c r="U687" s="650"/>
      <c r="V687" s="726">
        <f>Transport!T66</f>
        <v>0.98333333333333339</v>
      </c>
      <c r="W687" s="650"/>
      <c r="X687" s="604"/>
    </row>
    <row r="688" spans="1:24" x14ac:dyDescent="0.25">
      <c r="A688" s="604" t="s">
        <v>374</v>
      </c>
      <c r="B688" s="650">
        <f>' Plan Energi 2030-S'!P$80*$B$409/IF(' Plan Energi 2030-S'!$X$80*$B$409+' Plan Energi 2030-S'!$AE$80*$B$410&gt;0,' Plan Energi 2030-S'!$X$80*$B$409+' Plan Energi 2030-S'!$AE$80*$B$410,1)</f>
        <v>0</v>
      </c>
      <c r="C688" s="650"/>
      <c r="D688" s="650">
        <f>' Plan Energi 2006'!P$80*$D$409/IF(' Plan Energi 2006'!$X$80*$D$409+' Plan Energi 2006'!$AE$80*$D$410&gt;0,' Plan Energi 2006'!$X$80*$D$409+' Plan Energi 2006'!$AE$80*$D$410,1)</f>
        <v>0</v>
      </c>
      <c r="E688" s="650"/>
      <c r="F688" s="650">
        <f>' Plan Energi 2008'!P$80*$F$409/IF(' Plan Energi 2008'!$X$80*$F$409+' Plan Energi 2008'!$AE$80*$F$410&gt;0,' Plan Energi 2008'!$X$80*$F$409+' Plan Energi 2008'!$AE$80*$F$410,1)</f>
        <v>0</v>
      </c>
      <c r="G688" s="650"/>
      <c r="H688" s="650">
        <f>' Plan Energi 2009'!P$80*$H$409/IF(' Plan Energi 2009'!$X$80*$H$409+' Plan Energi 2009'!$AE$80*$H$410&gt;0,' Plan Energi 2009'!$X$80*$H$409+' Plan Energi 2009'!$AE$80*$H$410,1)</f>
        <v>0</v>
      </c>
      <c r="I688" s="650"/>
      <c r="J688" s="650">
        <f>' Plan Energi 2011'!P$80*$J$409/IF(' Plan Energi 2011'!$X$80*$J$409+' Plan Energi 2011'!$AE$80*$J$410&gt;0,' Plan Energi 2011'!$X$80*$J$409+' Plan Energi 2011'!$AE$80*$J$410,1)</f>
        <v>0</v>
      </c>
      <c r="K688" s="650"/>
      <c r="L688" s="650">
        <f>' Plan Energi 2013'!P$80*$L$409/IF(' Plan Energi 2013'!$X$80*$L$409+' Plan Energi 2013'!$AE$80*$L$410&gt;0,' Plan Energi 2013'!$X$80*$L$409+' Plan Energi 2013'!$AE$80*$L$410,1)</f>
        <v>0</v>
      </c>
      <c r="M688" s="650"/>
      <c r="N688" s="650">
        <f>' Plan Energi 2015'!P$80*$N$409/IF(' Plan Energi 2015'!$X$80*$N$409+' Plan Energi 2015'!$AE$80*$N$410&gt;0,' Plan Energi 2015'!$X$80*$N$409+' Plan Energi 2015'!$AE$80*$N$410,1)</f>
        <v>0</v>
      </c>
      <c r="O688" s="650"/>
      <c r="P688" s="650">
        <f>' Plan Energi 2017'!P$80*$P$409/IF(' Plan Energi 2017'!$X$80*$P$409+' Plan Energi 2017'!$AE$80*$P$410&gt;0,' Plan Energi 2017'!$X$80*$P$409+' Plan Energi 2017'!$AE$80*$P$410,1)</f>
        <v>0</v>
      </c>
      <c r="Q688" s="650"/>
      <c r="R688" s="650">
        <f>' Plan Energi 2019'!P$80*$R$409/IF(' Plan Energi 2019'!$X$80*$R$409+' Plan Energi 2019'!$AE$80*$R$410&gt;0,' Plan Energi 2019'!$X$80*$R$409+' Plan Energi 2019'!$AE$80*$R$410,1)</f>
        <v>0</v>
      </c>
      <c r="S688" s="650"/>
      <c r="T688" s="726">
        <f>Transport!R67</f>
        <v>0</v>
      </c>
      <c r="U688" s="650"/>
      <c r="V688" s="726">
        <f>Transport!T67</f>
        <v>0</v>
      </c>
      <c r="W688" s="650"/>
      <c r="X688" s="604"/>
    </row>
    <row r="689" spans="1:24" x14ac:dyDescent="0.25">
      <c r="A689" s="604" t="s">
        <v>628</v>
      </c>
      <c r="B689" s="744"/>
      <c r="C689" s="744"/>
      <c r="D689" s="744"/>
      <c r="E689" s="744"/>
      <c r="F689" s="744"/>
      <c r="G689" s="744"/>
      <c r="H689" s="744"/>
      <c r="I689" s="744"/>
      <c r="J689" s="744"/>
      <c r="K689" s="744"/>
      <c r="L689" s="744"/>
      <c r="M689" s="744"/>
      <c r="N689" s="744"/>
      <c r="O689" s="744"/>
      <c r="P689" s="744"/>
      <c r="Q689" s="744"/>
      <c r="R689" s="744"/>
      <c r="S689" s="744"/>
      <c r="T689" s="726">
        <f>Transport!R68</f>
        <v>0</v>
      </c>
      <c r="U689" s="650"/>
      <c r="V689" s="726"/>
      <c r="W689" s="650"/>
      <c r="X689" s="604"/>
    </row>
    <row r="690" spans="1:24" x14ac:dyDescent="0.25">
      <c r="A690" s="604" t="s">
        <v>27</v>
      </c>
      <c r="B690" s="650">
        <f>' Plan Energi 2030-S'!AE$80*$B$409/IF(' Plan Energi 2030-S'!$X$80*$B$409+' Plan Energi 2030-S'!$AE$80*$B$410&gt;0,' Plan Energi 2030-S'!$X$80*$B$409+' Plan Energi 2030-S'!$AE$80*$B$410,1)</f>
        <v>0</v>
      </c>
      <c r="C690" s="650"/>
      <c r="D690" s="650">
        <f>' Plan Energi 2006'!AE$80*$D$409/IF(' Plan Energi 2006'!$X$80*$D$409+' Plan Energi 2006'!$AE$80*$D$410&gt;0,' Plan Energi 2006'!$X$80*$D$409+' Plan Energi 2006'!$AE$80*$D$410,1)</f>
        <v>0</v>
      </c>
      <c r="E690" s="650"/>
      <c r="F690" s="650">
        <f>' Plan Energi 2008'!AE$80*$F$409/IF(' Plan Energi 2008'!$X$80*$F$409+' Plan Energi 2008'!$AE$80*$F$410&gt;0,' Plan Energi 2008'!$X$80*$F$409+' Plan Energi 2008'!$AE$80*$F$410,1)</f>
        <v>0</v>
      </c>
      <c r="G690" s="650"/>
      <c r="H690" s="650">
        <f>' Plan Energi 2009'!AE$80*$H$409/IF(' Plan Energi 2009'!$X$80*$H$409+' Plan Energi 2009'!$AE$80*$H$410&gt;0,' Plan Energi 2009'!$X$80*$H$409+' Plan Energi 2009'!$AE$80*$H$410,1)</f>
        <v>0</v>
      </c>
      <c r="I690" s="650"/>
      <c r="J690" s="650">
        <f>' Plan Energi 2011'!AE$80*$J$409/IF(' Plan Energi 2011'!$X$80*$J$409+' Plan Energi 2011'!$AE$80*$J$410&gt;0,' Plan Energi 2011'!$X$80*$J$409+' Plan Energi 2011'!$AE$80*$J$410,1)</f>
        <v>0</v>
      </c>
      <c r="K690" s="650"/>
      <c r="L690" s="650">
        <f>' Plan Energi 2013'!AE$80*$L$409/IF(' Plan Energi 2013'!$X$80*$L$409+' Plan Energi 2013'!$AE$80*$L$410&gt;0,' Plan Energi 2013'!$X$80*$L$409+' Plan Energi 2013'!$AE$80*$L$410,1)</f>
        <v>0</v>
      </c>
      <c r="M690" s="650"/>
      <c r="N690" s="650">
        <f>' Plan Energi 2015'!AE$80*$N$409/IF(' Plan Energi 2015'!$X$80*$N$409+' Plan Energi 2015'!$AE$80*$N$410&gt;0,' Plan Energi 2015'!$X$80*$N$409+' Plan Energi 2015'!$AE$80*$N$410,1)</f>
        <v>0</v>
      </c>
      <c r="O690" s="650"/>
      <c r="P690" s="650">
        <f>' Plan Energi 2017'!AE$80*$P$409/IF(' Plan Energi 2017'!$X$80*$P$409+' Plan Energi 2017'!$AE$80*$P$410&gt;0,' Plan Energi 2017'!$X$80*$P$409+' Plan Energi 2017'!$AE$80*$P$410,1)</f>
        <v>0</v>
      </c>
      <c r="Q690" s="650"/>
      <c r="R690" s="650">
        <f>' Plan Energi 2019'!AE$80*$R$409/IF(' Plan Energi 2019'!$X$80*$R$409+' Plan Energi 2019'!$AE$80*$R$410&gt;0,' Plan Energi 2019'!$X$80*$R$409+' Plan Energi 2019'!$AE$80*$R$410,1)</f>
        <v>0</v>
      </c>
      <c r="S690" s="650"/>
      <c r="T690" s="726">
        <f>Transport!R69</f>
        <v>0</v>
      </c>
      <c r="U690" s="650"/>
      <c r="V690" s="726">
        <f>Transport!T69</f>
        <v>1.6666666666666666E-2</v>
      </c>
      <c r="W690" s="650"/>
      <c r="X690" s="604"/>
    </row>
    <row r="691" spans="1:24" x14ac:dyDescent="0.25">
      <c r="A691" s="629" t="s">
        <v>481</v>
      </c>
      <c r="B691" s="650"/>
      <c r="C691" s="650"/>
      <c r="D691" s="650"/>
      <c r="E691" s="650"/>
      <c r="F691" s="650"/>
      <c r="G691" s="650"/>
      <c r="H691" s="650"/>
      <c r="I691" s="650"/>
      <c r="J691" s="650"/>
      <c r="K691" s="650"/>
      <c r="L691" s="650"/>
      <c r="M691" s="650"/>
      <c r="N691" s="650"/>
      <c r="O691" s="650"/>
      <c r="P691" s="650"/>
      <c r="Q691" s="650"/>
      <c r="R691" s="650"/>
      <c r="S691" s="650"/>
      <c r="T691" s="650"/>
      <c r="U691" s="650"/>
      <c r="V691" s="650"/>
      <c r="W691" s="650"/>
      <c r="X691" s="604"/>
    </row>
    <row r="692" spans="1:24" x14ac:dyDescent="0.25">
      <c r="A692" s="604" t="s">
        <v>9</v>
      </c>
      <c r="B692" s="650">
        <f>' Plan Energi 2030-S'!F$77*$B$406/IF(' Plan Energi 2030-S'!$X$77*$B$406+' Plan Energi 2030-S'!$AE$77*$B$410&gt;0,' Plan Energi 2030-S'!$X$77*$B$406+' Plan Energi 2030-S'!$AE$77*$B$410,1)</f>
        <v>1</v>
      </c>
      <c r="C692" s="650"/>
      <c r="D692" s="650">
        <f>' Plan Energi 2006'!F$77*$D$406/IF(' Plan Energi 2006'!$X$77*$D$406+' Plan Energi 2006'!$AE$77*$D$410&gt;0,' Plan Energi 2006'!$X$77*$D$406+' Plan Energi 2006'!$AE$77*$D$410,1)</f>
        <v>1</v>
      </c>
      <c r="E692" s="650"/>
      <c r="F692" s="650">
        <f>' Plan Energi 2008'!F$77*$F$406/IF(' Plan Energi 2008'!$X$77*$F$406+' Plan Energi 2008'!$AE$77*$F$410&gt;0,' Plan Energi 2008'!$X$77*$F$406+' Plan Energi 2008'!$AE$77*$F$410,1)</f>
        <v>0.99990000000000012</v>
      </c>
      <c r="G692" s="650"/>
      <c r="H692" s="650">
        <f>' Plan Energi 2009'!F$77*$H$406/IF(' Plan Energi 2009'!$X$77*$H$406+' Plan Energi 2009'!$AE$77*$H$410&gt;0,' Plan Energi 2009'!$X$77*$H$406+' Plan Energi 2009'!$AE$77*$H$410,1)</f>
        <v>0.99840000000000018</v>
      </c>
      <c r="I692" s="650"/>
      <c r="J692" s="650">
        <f>' Plan Energi 2011'!F$77*$J$406/IF(' Plan Energi 2011'!$X$77*$J$406+' Plan Energi 2011'!$AE$77*$J$410&gt;0,' Plan Energi 2011'!$X$77*$J$406+' Plan Energi 2011'!$AE$77*$J$410,1)</f>
        <v>0.96230000000000004</v>
      </c>
      <c r="K692" s="650"/>
      <c r="L692" s="650">
        <f>' Plan Energi 2013'!F$77*$L$406/IF(' Plan Energi 2013'!$X$77*$L$406+' Plan Energi 2013'!$AE$77*$L$410&gt;0,' Plan Energi 2013'!$X$77*$L$406+' Plan Energi 2013'!$AE$77*$L$410,1)</f>
        <v>1</v>
      </c>
      <c r="M692" s="650"/>
      <c r="N692" s="650">
        <f>' Plan Energi 2015'!F$77*$N$406/IF(' Plan Energi 2015'!$X$77*$N$406+' Plan Energi 2015'!$AE$77*$N$410&gt;0,' Plan Energi 2015'!$X$77*$N$406+' Plan Energi 2015'!$AE$77*$N$410,1)</f>
        <v>1</v>
      </c>
      <c r="O692" s="650"/>
      <c r="P692" s="650">
        <f>' Plan Energi 2017'!F$77*$P$406/IF(' Plan Energi 2017'!$X$77*$P$406+' Plan Energi 2017'!$AE$77*$P$410&gt;0,' Plan Energi 2017'!$X$77*$P$406+' Plan Energi 2017'!$AE$77*$P$410,1)</f>
        <v>1</v>
      </c>
      <c r="Q692" s="650"/>
      <c r="R692" s="650">
        <f>' Plan Energi 2019'!F$77*$R$406/IF(' Plan Energi 2019'!$X$77*$R$406+' Plan Energi 2019'!$AE$77*$R$410&gt;0,' Plan Energi 2019'!$X$77*$R$406+' Plan Energi 2019'!$AE$77*$R$410,1)</f>
        <v>1</v>
      </c>
      <c r="S692" s="650"/>
      <c r="T692" s="726">
        <f>Transport!R71</f>
        <v>1</v>
      </c>
      <c r="U692" s="650"/>
      <c r="V692" s="726">
        <f>Transport!T71</f>
        <v>1</v>
      </c>
      <c r="W692" s="650"/>
      <c r="X692" s="604"/>
    </row>
    <row r="693" spans="1:24" x14ac:dyDescent="0.25">
      <c r="A693" s="604" t="s">
        <v>11</v>
      </c>
      <c r="B693" s="650">
        <f>' Plan Energi 2030-S'!H$77*$B$406/IF(' Plan Energi 2030-S'!$X$77*$B$406+' Plan Energi 2030-S'!$AE$77*$B$410&gt;0,' Plan Energi 2030-S'!$X$77*$B$406+' Plan Energi 2030-S'!$AE$77*$B$410,1)</f>
        <v>0</v>
      </c>
      <c r="C693" s="650"/>
      <c r="D693" s="650">
        <f>' Plan Energi 2006'!H$77*$D$406/IF(' Plan Energi 2006'!$X$77*$D$406+' Plan Energi 2006'!$AE$77*$D$410&gt;0,' Plan Energi 2006'!$X$77*$D$406+' Plan Energi 2006'!$AE$77*$D$410,1)</f>
        <v>0</v>
      </c>
      <c r="E693" s="650"/>
      <c r="F693" s="650">
        <f>' Plan Energi 2008'!H$77*$F$406/IF(' Plan Energi 2008'!$X$77*$F$406+' Plan Energi 2008'!$AE$77*$F$410&gt;0,' Plan Energi 2008'!$X$77*$F$406+' Plan Energi 2008'!$AE$77*$F$410,1)</f>
        <v>0</v>
      </c>
      <c r="G693" s="650"/>
      <c r="H693" s="650">
        <f>' Plan Energi 2009'!H$77*$H$406/IF(' Plan Energi 2009'!$X$77*$H$406+' Plan Energi 2009'!$AE$77*$H$410&gt;0,' Plan Energi 2009'!$X$77*$H$406+' Plan Energi 2009'!$AE$77*$H$410,1)</f>
        <v>0</v>
      </c>
      <c r="I693" s="650"/>
      <c r="J693" s="650">
        <f>' Plan Energi 2011'!H$77*$J$406/IF(' Plan Energi 2011'!$X$77*$J$406+' Plan Energi 2011'!$AE$77*$J$410&gt;0,' Plan Energi 2011'!$X$77*$J$406+' Plan Energi 2011'!$AE$77*$J$410,1)</f>
        <v>0</v>
      </c>
      <c r="K693" s="650"/>
      <c r="L693" s="650">
        <f>' Plan Energi 2013'!H$77*$L$406/IF(' Plan Energi 2013'!$X$77*$L$406+' Plan Energi 2013'!$AE$77*$L$410&gt;0,' Plan Energi 2013'!$X$77*$L$406+' Plan Energi 2013'!$AE$77*$L$410,1)</f>
        <v>0</v>
      </c>
      <c r="M693" s="650"/>
      <c r="N693" s="650">
        <f>' Plan Energi 2015'!H$77*$N$406/IF(' Plan Energi 2015'!$X$77*$N$406+' Plan Energi 2015'!$AE$77*$N$410&gt;0,' Plan Energi 2015'!$X$77*$N$406+' Plan Energi 2015'!$AE$77*$N$410,1)</f>
        <v>0</v>
      </c>
      <c r="O693" s="650"/>
      <c r="P693" s="650">
        <f>' Plan Energi 2017'!H$77*$P$406/IF(' Plan Energi 2017'!$X$77*$P$406+' Plan Energi 2017'!$AE$77*$P$410&gt;0,' Plan Energi 2017'!$X$77*$P$406+' Plan Energi 2017'!$AE$77*$P$410,1)</f>
        <v>0</v>
      </c>
      <c r="Q693" s="650"/>
      <c r="R693" s="650">
        <f>' Plan Energi 2019'!H$77*$R$406/IF(' Plan Energi 2019'!$X$77*$R$406+' Plan Energi 2019'!$AE$77*$R$410&gt;0,' Plan Energi 2019'!$X$77*$R$406+' Plan Energi 2019'!$AE$77*$R$410,1)</f>
        <v>0</v>
      </c>
      <c r="S693" s="650"/>
      <c r="T693" s="726">
        <f>Transport!R72</f>
        <v>0</v>
      </c>
      <c r="U693" s="650"/>
      <c r="V693" s="726">
        <f>Transport!T72</f>
        <v>0</v>
      </c>
      <c r="W693" s="650"/>
      <c r="X693" s="604"/>
    </row>
    <row r="694" spans="1:24" x14ac:dyDescent="0.25">
      <c r="A694" s="604" t="s">
        <v>26</v>
      </c>
      <c r="B694" s="650">
        <f>' Plan Energi 2030-S'!V$77*$B$406/IF(' Plan Energi 2030-S'!$X$77*$B$406+' Plan Energi 2030-S'!$AE$77*$B$410&gt;0,' Plan Energi 2030-S'!$X$77*$B$406+' Plan Energi 2030-S'!$AE$77*$B$410,1)</f>
        <v>0</v>
      </c>
      <c r="C694" s="650"/>
      <c r="D694" s="650">
        <f>' Plan Energi 2006'!V$77*$D$406/IF(' Plan Energi 2006'!$X$77*$D$406+' Plan Energi 2006'!$AE$77*$D$410&gt;0,' Plan Energi 2006'!$X$77*$D$406+' Plan Energi 2006'!$AE$77*$D$410,1)</f>
        <v>0</v>
      </c>
      <c r="E694" s="650"/>
      <c r="F694" s="650">
        <f>' Plan Energi 2008'!V$77*$F$406/IF(' Plan Energi 2008'!$X$77*$F$406+' Plan Energi 2008'!$AE$77*$F$410&gt;0,' Plan Energi 2008'!$X$77*$F$406+' Plan Energi 2008'!$AE$77*$F$410,1)</f>
        <v>0</v>
      </c>
      <c r="G694" s="650"/>
      <c r="H694" s="650">
        <f>' Plan Energi 2009'!V$77*$H$406/IF(' Plan Energi 2009'!$X$77*$H$406+' Plan Energi 2009'!$AE$77*$H$410&gt;0,' Plan Energi 2009'!$X$77*$H$406+' Plan Energi 2009'!$AE$77*$H$410,1)</f>
        <v>0</v>
      </c>
      <c r="I694" s="650"/>
      <c r="J694" s="650">
        <f>' Plan Energi 2011'!V$77*$J$406/IF(' Plan Energi 2011'!$X$77*$J$406+' Plan Energi 2011'!$AE$77*$J$410&gt;0,' Plan Energi 2011'!$X$77*$J$406+' Plan Energi 2011'!$AE$77*$J$410,1)</f>
        <v>0</v>
      </c>
      <c r="K694" s="650"/>
      <c r="L694" s="650">
        <f>' Plan Energi 2013'!V$77*$L$406/IF(' Plan Energi 2013'!$X$77*$L$406+' Plan Energi 2013'!$AE$77*$L$410&gt;0,' Plan Energi 2013'!$X$77*$L$406+' Plan Energi 2013'!$AE$77*$L$410,1)</f>
        <v>0</v>
      </c>
      <c r="M694" s="650"/>
      <c r="N694" s="650">
        <f>' Plan Energi 2015'!V$77*$N$406/IF(' Plan Energi 2015'!$X$77*$N$406+' Plan Energi 2015'!$AE$77*$N$410&gt;0,' Plan Energi 2015'!$X$77*$N$406+' Plan Energi 2015'!$AE$77*$N$410,1)</f>
        <v>0</v>
      </c>
      <c r="O694" s="650"/>
      <c r="P694" s="650">
        <f>' Plan Energi 2017'!V$77*$P$406/IF(' Plan Energi 2017'!$X$77*$P$406+' Plan Energi 2017'!$AE$77*$P$410&gt;0,' Plan Energi 2017'!$X$77*$P$406+' Plan Energi 2017'!$AE$77*$P$410,1)</f>
        <v>0</v>
      </c>
      <c r="Q694" s="650"/>
      <c r="R694" s="650">
        <f>' Plan Energi 2019'!V$77*$R$406/IF(' Plan Energi 2019'!$X$77*$R$406+' Plan Energi 2019'!$AE$77*$R$410&gt;0,' Plan Energi 2019'!$X$77*$R$406+' Plan Energi 2019'!$AE$77*$R$410,1)</f>
        <v>0</v>
      </c>
      <c r="S694" s="650"/>
      <c r="T694" s="726">
        <f>Transport!R73</f>
        <v>0</v>
      </c>
      <c r="U694" s="650"/>
      <c r="V694" s="726">
        <f>Transport!T73</f>
        <v>0</v>
      </c>
      <c r="W694" s="650"/>
      <c r="X694" s="604"/>
    </row>
    <row r="695" spans="1:24" x14ac:dyDescent="0.25">
      <c r="A695" s="604" t="s">
        <v>373</v>
      </c>
      <c r="B695" s="650">
        <f>' Plan Energi 2030-S'!O$77*$B$406/IF(' Plan Energi 2030-S'!$X$77*$B$406+' Plan Energi 2030-S'!$AE$77*$B$410&gt;0,' Plan Energi 2030-S'!$X$77*$B$406+' Plan Energi 2030-S'!$AE$77*$B$410,1)</f>
        <v>0</v>
      </c>
      <c r="C695" s="650"/>
      <c r="D695" s="650">
        <f>' Plan Energi 2006'!O$77*$D$406/IF(' Plan Energi 2006'!$X$77*$D$406+' Plan Energi 2006'!$AE$77*$D$410&gt;0,' Plan Energi 2006'!$X$77*$D$406+' Plan Energi 2006'!$AE$77*$D$410,1)</f>
        <v>0</v>
      </c>
      <c r="E695" s="650"/>
      <c r="F695" s="650">
        <f>' Plan Energi 2008'!O$77*$F$406/IF(' Plan Energi 2008'!$X$77*$F$406+' Plan Energi 2008'!$AE$77*$F$410&gt;0,' Plan Energi 2008'!$X$77*$F$406+' Plan Energi 2008'!$AE$77*$F$410,1)</f>
        <v>0</v>
      </c>
      <c r="G695" s="650"/>
      <c r="H695" s="650">
        <f>' Plan Energi 2009'!O$77*$H$406/IF(' Plan Energi 2009'!$X$77*$H$406+' Plan Energi 2009'!$AE$77*$H$410&gt;0,' Plan Energi 2009'!$X$77*$H$406+' Plan Energi 2009'!$AE$77*$H$410,1)</f>
        <v>0</v>
      </c>
      <c r="I695" s="650"/>
      <c r="J695" s="650">
        <f>' Plan Energi 2011'!O$77*$J$406/IF(' Plan Energi 2011'!$X$77*$J$406+' Plan Energi 2011'!$AE$77*$J$410&gt;0,' Plan Energi 2011'!$X$77*$J$406+' Plan Energi 2011'!$AE$77*$J$410,1)</f>
        <v>0</v>
      </c>
      <c r="K695" s="650"/>
      <c r="L695" s="650">
        <f>' Plan Energi 2013'!O$77*$L$406/IF(' Plan Energi 2013'!$X$77*$L$406+' Plan Energi 2013'!$AE$77*$L$410&gt;0,' Plan Energi 2013'!$X$77*$L$406+' Plan Energi 2013'!$AE$77*$L$410,1)</f>
        <v>0</v>
      </c>
      <c r="M695" s="650"/>
      <c r="N695" s="650">
        <f>' Plan Energi 2015'!O$77*$N$406/IF(' Plan Energi 2015'!$X$77*$N$406+' Plan Energi 2015'!$AE$77*$N$410&gt;0,' Plan Energi 2015'!$X$77*$N$406+' Plan Energi 2015'!$AE$77*$N$410,1)</f>
        <v>0</v>
      </c>
      <c r="O695" s="650"/>
      <c r="P695" s="650">
        <f>' Plan Energi 2017'!O$77*$P$406/IF(' Plan Energi 2017'!$X$77*$P$406+' Plan Energi 2017'!$AE$77*$P$410&gt;0,' Plan Energi 2017'!$X$77*$P$406+' Plan Energi 2017'!$AE$77*$P$410,1)</f>
        <v>0</v>
      </c>
      <c r="Q695" s="650"/>
      <c r="R695" s="650">
        <f>' Plan Energi 2019'!O$77*$R$406/IF(' Plan Energi 2019'!$X$77*$R$406+' Plan Energi 2019'!$AE$77*$R$410&gt;0,' Plan Energi 2019'!$X$77*$R$406+' Plan Energi 2019'!$AE$77*$R$410,1)</f>
        <v>0</v>
      </c>
      <c r="S695" s="650"/>
      <c r="T695" s="726">
        <f>Transport!R74</f>
        <v>0</v>
      </c>
      <c r="U695" s="650"/>
      <c r="V695" s="726">
        <f>Transport!T74</f>
        <v>0</v>
      </c>
      <c r="W695" s="650"/>
      <c r="X695" s="604"/>
    </row>
    <row r="696" spans="1:24" x14ac:dyDescent="0.25">
      <c r="A696" s="604" t="s">
        <v>3</v>
      </c>
      <c r="B696" s="650">
        <f>' Plan Energi 2030-S'!I$77*$B$406/IF(' Plan Energi 2030-S'!$X$77*$B$406+' Plan Energi 2030-S'!$AE$77*$B$410&gt;0,' Plan Energi 2030-S'!$X$77*$B$406+' Plan Energi 2030-S'!$AE$77*$B$410,1)</f>
        <v>0</v>
      </c>
      <c r="C696" s="650"/>
      <c r="D696" s="650">
        <f>' Plan Energi 2006'!I$77*$D$406/IF(' Plan Energi 2006'!$X$77*$D$406+' Plan Energi 2006'!$AE$77*$D$410&gt;0,' Plan Energi 2006'!$X$77*$D$406+' Plan Energi 2006'!$AE$77*$D$410,1)</f>
        <v>0</v>
      </c>
      <c r="E696" s="650"/>
      <c r="F696" s="650">
        <f>' Plan Energi 2008'!I$77*$F$406/IF(' Plan Energi 2008'!$X$77*$F$406+' Plan Energi 2008'!$AE$77*$F$410&gt;0,' Plan Energi 2008'!$X$77*$F$406+' Plan Energi 2008'!$AE$77*$F$410,1)</f>
        <v>0</v>
      </c>
      <c r="G696" s="650"/>
      <c r="H696" s="650">
        <f>' Plan Energi 2009'!I$77*$H$406/IF(' Plan Energi 2009'!$X$77*$H$406+' Plan Energi 2009'!$AE$77*$H$410&gt;0,' Plan Energi 2009'!$X$77*$H$406+' Plan Energi 2009'!$AE$77*$H$410,1)</f>
        <v>0</v>
      </c>
      <c r="I696" s="650"/>
      <c r="J696" s="650">
        <f>' Plan Energi 2011'!I$77*$J$406/IF(' Plan Energi 2011'!$X$77*$J$406+' Plan Energi 2011'!$AE$77*$J$410&gt;0,' Plan Energi 2011'!$X$77*$J$406+' Plan Energi 2011'!$AE$77*$J$410,1)</f>
        <v>0</v>
      </c>
      <c r="K696" s="650"/>
      <c r="L696" s="650">
        <f>' Plan Energi 2013'!I$77*$L$406/IF(' Plan Energi 2013'!$X$77*$L$406+' Plan Energi 2013'!$AE$77*$L$410&gt;0,' Plan Energi 2013'!$X$77*$L$406+' Plan Energi 2013'!$AE$77*$L$410,1)</f>
        <v>0</v>
      </c>
      <c r="M696" s="650"/>
      <c r="N696" s="650">
        <f>' Plan Energi 2015'!I$77*$N$406/IF(' Plan Energi 2015'!$X$77*$N$406+' Plan Energi 2015'!$AE$77*$N$410&gt;0,' Plan Energi 2015'!$X$77*$N$406+' Plan Energi 2015'!$AE$77*$N$410,1)</f>
        <v>0</v>
      </c>
      <c r="O696" s="650"/>
      <c r="P696" s="650">
        <f>' Plan Energi 2017'!I$77*$P$406/IF(' Plan Energi 2017'!$X$77*$P$406+' Plan Energi 2017'!$AE$77*$P$410&gt;0,' Plan Energi 2017'!$X$77*$P$406+' Plan Energi 2017'!$AE$77*$P$410,1)</f>
        <v>0</v>
      </c>
      <c r="Q696" s="650"/>
      <c r="R696" s="650">
        <f>' Plan Energi 2019'!I$77*$R$406/IF(' Plan Energi 2019'!$X$77*$R$406+' Plan Energi 2019'!$AE$77*$R$410&gt;0,' Plan Energi 2019'!$X$77*$R$406+' Plan Energi 2019'!$AE$77*$R$410,1)</f>
        <v>0</v>
      </c>
      <c r="S696" s="650"/>
      <c r="T696" s="726">
        <f>Transport!R75</f>
        <v>0</v>
      </c>
      <c r="U696" s="650"/>
      <c r="V696" s="726">
        <f>Transport!T75</f>
        <v>0</v>
      </c>
      <c r="W696" s="650"/>
      <c r="X696" s="604"/>
    </row>
    <row r="697" spans="1:24" x14ac:dyDescent="0.25">
      <c r="A697" s="604" t="s">
        <v>374</v>
      </c>
      <c r="B697" s="650">
        <f>' Plan Energi 2030-S'!P$77*$B$406/IF(' Plan Energi 2030-S'!$X$77*$B$406+' Plan Energi 2030-S'!$AE$77*$B$410&gt;0,' Plan Energi 2030-S'!$X$77*$B$406+' Plan Energi 2030-S'!$AE$77*$B$410,1)</f>
        <v>0</v>
      </c>
      <c r="C697" s="650"/>
      <c r="D697" s="650">
        <f>' Plan Energi 2006'!P$77*$D$406/IF(' Plan Energi 2006'!$X$77*$D$406+' Plan Energi 2006'!$AE$77*$D$410&gt;0,' Plan Energi 2006'!$X$77*$D$406+' Plan Energi 2006'!$AE$77*$D$410,1)</f>
        <v>0</v>
      </c>
      <c r="E697" s="650"/>
      <c r="F697" s="650">
        <f>' Plan Energi 2008'!P$77*$F$406/IF(' Plan Energi 2008'!$X$77*$F$406+' Plan Energi 2008'!$AE$77*$F$410&gt;0,' Plan Energi 2008'!$X$77*$F$406+' Plan Energi 2008'!$AE$77*$F$410,1)</f>
        <v>1E-4</v>
      </c>
      <c r="G697" s="650"/>
      <c r="H697" s="650">
        <f>' Plan Energi 2009'!P$77*$H$406/IF(' Plan Energi 2009'!$X$77*$H$406+' Plan Energi 2009'!$AE$77*$H$410&gt;0,' Plan Energi 2009'!$X$77*$H$406+' Plan Energi 2009'!$AE$77*$H$410,1)</f>
        <v>1.6000000000000005E-3</v>
      </c>
      <c r="I697" s="650"/>
      <c r="J697" s="650">
        <f>' Plan Energi 2011'!P$77*$J$406/IF(' Plan Energi 2011'!$X$77*$J$406+' Plan Energi 2011'!$AE$77*$J$410&gt;0,' Plan Energi 2011'!$X$77*$J$406+' Plan Energi 2011'!$AE$77*$J$410,1)</f>
        <v>3.7700000000000004E-2</v>
      </c>
      <c r="K697" s="650"/>
      <c r="L697" s="650">
        <f>' Plan Energi 2013'!P$77*$L$406/IF(' Plan Energi 2013'!$X$77*$L$406+' Plan Energi 2013'!$AE$77*$L$410&gt;0,' Plan Energi 2013'!$X$77*$L$406+' Plan Energi 2013'!$AE$77*$L$410,1)</f>
        <v>0</v>
      </c>
      <c r="M697" s="650"/>
      <c r="N697" s="650">
        <f>' Plan Energi 2015'!P$77*$N$406/IF(' Plan Energi 2015'!$X$77*$N$406+' Plan Energi 2015'!$AE$77*$N$410&gt;0,' Plan Energi 2015'!$X$77*$N$406+' Plan Energi 2015'!$AE$77*$N$410,1)</f>
        <v>0</v>
      </c>
      <c r="O697" s="650"/>
      <c r="P697" s="650">
        <f>' Plan Energi 2017'!P$77*$P$406/IF(' Plan Energi 2017'!$X$77*$P$406+' Plan Energi 2017'!$AE$77*$P$410&gt;0,' Plan Energi 2017'!$X$77*$P$406+' Plan Energi 2017'!$AE$77*$P$410,1)</f>
        <v>0</v>
      </c>
      <c r="Q697" s="650"/>
      <c r="R697" s="650">
        <f>' Plan Energi 2019'!P$77*$R$406/IF(' Plan Energi 2019'!$X$77*$R$406+' Plan Energi 2019'!$AE$77*$R$410&gt;0,' Plan Energi 2019'!$X$77*$R$406+' Plan Energi 2019'!$AE$77*$R$410,1)</f>
        <v>0</v>
      </c>
      <c r="S697" s="650"/>
      <c r="T697" s="726">
        <f>Transport!R76</f>
        <v>0</v>
      </c>
      <c r="U697" s="650"/>
      <c r="V697" s="726">
        <f>Transport!T76</f>
        <v>0</v>
      </c>
      <c r="W697" s="650"/>
      <c r="X697" s="604"/>
    </row>
    <row r="698" spans="1:24" x14ac:dyDescent="0.25">
      <c r="A698" s="604" t="s">
        <v>27</v>
      </c>
      <c r="B698" s="650">
        <f>' Plan Energi 2030-S'!AE$77*$B$406/IF(' Plan Energi 2030-S'!$X$77*$B$406+' Plan Energi 2030-S'!$AE$77*$B$410&gt;0,' Plan Energi 2030-S'!$X$77*$B$406+' Plan Energi 2030-S'!$AE$77*$B$410,1)</f>
        <v>0</v>
      </c>
      <c r="C698" s="650"/>
      <c r="D698" s="650">
        <f>' Plan Energi 2006'!AE$77*$D$406/IF(' Plan Energi 2006'!$X$77*$D$406+' Plan Energi 2006'!$AE$77*$D$410&gt;0,' Plan Energi 2006'!$X$77*$D$406+' Plan Energi 2006'!$AE$77*$D$410,1)</f>
        <v>0</v>
      </c>
      <c r="E698" s="650"/>
      <c r="F698" s="650">
        <f>' Plan Energi 2008'!AE$77*$F$406/IF(' Plan Energi 2008'!$X$77*$F$406+' Plan Energi 2008'!$AE$77*$F$410&gt;0,' Plan Energi 2008'!$X$77*$F$406+' Plan Energi 2008'!$AE$77*$F$410,1)</f>
        <v>0</v>
      </c>
      <c r="G698" s="650"/>
      <c r="H698" s="650">
        <f>' Plan Energi 2009'!AE$77*$H$406/IF(' Plan Energi 2009'!$X$77*$H$406+' Plan Energi 2009'!$AE$77*$H$410&gt;0,' Plan Energi 2009'!$X$77*$H$406+' Plan Energi 2009'!$AE$77*$H$410,1)</f>
        <v>0</v>
      </c>
      <c r="I698" s="650"/>
      <c r="J698" s="650">
        <f>' Plan Energi 2011'!AE$77*$J$406/IF(' Plan Energi 2011'!$X$77*$J$406+' Plan Energi 2011'!$AE$77*$J$410&gt;0,' Plan Energi 2011'!$X$77*$J$406+' Plan Energi 2011'!$AE$77*$J$410,1)</f>
        <v>0</v>
      </c>
      <c r="K698" s="650"/>
      <c r="L698" s="650">
        <f>' Plan Energi 2013'!AE$77*$L$406/IF(' Plan Energi 2013'!$X$77*$L$406+' Plan Energi 2013'!$AE$77*$L$410&gt;0,' Plan Energi 2013'!$X$77*$L$406+' Plan Energi 2013'!$AE$77*$L$410,1)</f>
        <v>0</v>
      </c>
      <c r="M698" s="650"/>
      <c r="N698" s="650">
        <f>' Plan Energi 2015'!AE$77*$N$406/IF(' Plan Energi 2015'!$X$77*$N$406+' Plan Energi 2015'!$AE$77*$N$410&gt;0,' Plan Energi 2015'!$X$77*$N$406+' Plan Energi 2015'!$AE$77*$N$410,1)</f>
        <v>0</v>
      </c>
      <c r="O698" s="650"/>
      <c r="P698" s="650">
        <f>' Plan Energi 2017'!AE$77*$P$406/IF(' Plan Energi 2017'!$X$77*$P$406+' Plan Energi 2017'!$AE$77*$P$410&gt;0,' Plan Energi 2017'!$X$77*$P$406+' Plan Energi 2017'!$AE$77*$P$410,1)</f>
        <v>0</v>
      </c>
      <c r="Q698" s="650"/>
      <c r="R698" s="650">
        <f>' Plan Energi 2019'!AE$77*$R$406/IF(' Plan Energi 2019'!$X$77*$R$406+' Plan Energi 2019'!$AE$77*$R$410&gt;0,' Plan Energi 2019'!$X$77*$R$406+' Plan Energi 2019'!$AE$77*$R$410,1)</f>
        <v>0</v>
      </c>
      <c r="S698" s="650"/>
      <c r="T698" s="726">
        <f>Transport!R77</f>
        <v>0</v>
      </c>
      <c r="U698" s="650"/>
      <c r="V698" s="726">
        <f>Transport!T77</f>
        <v>0</v>
      </c>
      <c r="W698" s="650"/>
      <c r="X698" s="604"/>
    </row>
    <row r="699" spans="1:24" x14ac:dyDescent="0.25">
      <c r="A699" s="629" t="s">
        <v>631</v>
      </c>
      <c r="B699" s="604"/>
      <c r="C699" s="604"/>
      <c r="D699" s="604"/>
      <c r="E699" s="604"/>
      <c r="F699" s="604"/>
      <c r="G699" s="604"/>
      <c r="H699" s="604"/>
      <c r="I699" s="604"/>
      <c r="J699" s="604"/>
      <c r="K699" s="604"/>
      <c r="L699" s="604"/>
      <c r="M699" s="604"/>
      <c r="N699" s="604"/>
      <c r="O699" s="604"/>
      <c r="P699" s="604"/>
      <c r="Q699" s="604"/>
      <c r="R699" s="604"/>
      <c r="S699" s="604"/>
      <c r="T699" s="604"/>
      <c r="U699" s="604"/>
      <c r="V699" s="604"/>
      <c r="W699" s="604"/>
      <c r="X699" s="604"/>
    </row>
    <row r="700" spans="1:24" x14ac:dyDescent="0.25">
      <c r="A700" s="745" t="s">
        <v>529</v>
      </c>
      <c r="B700" s="604"/>
      <c r="C700" s="604"/>
      <c r="D700" s="604"/>
      <c r="E700" s="604"/>
      <c r="F700" s="604"/>
      <c r="G700" s="604"/>
      <c r="H700" s="604"/>
      <c r="I700" s="604"/>
      <c r="J700" s="604"/>
      <c r="K700" s="604"/>
      <c r="L700" s="604"/>
      <c r="M700" s="604"/>
      <c r="N700" s="604"/>
      <c r="O700" s="604"/>
      <c r="P700" s="604"/>
      <c r="Q700" s="604"/>
      <c r="R700" s="604"/>
      <c r="S700" s="604"/>
      <c r="T700" s="604"/>
      <c r="U700" s="604"/>
      <c r="V700" s="604"/>
      <c r="W700" s="604"/>
      <c r="X700" s="604"/>
    </row>
    <row r="701" spans="1:24" x14ac:dyDescent="0.25">
      <c r="A701" s="746" t="s">
        <v>633</v>
      </c>
      <c r="B701" s="604"/>
      <c r="C701" s="604"/>
      <c r="D701" s="604"/>
      <c r="E701" s="604"/>
      <c r="F701" s="604"/>
      <c r="G701" s="604"/>
      <c r="H701" s="604"/>
      <c r="I701" s="604"/>
      <c r="J701" s="604"/>
      <c r="K701" s="604"/>
      <c r="L701" s="604"/>
      <c r="M701" s="604"/>
      <c r="N701" s="604"/>
      <c r="O701" s="604"/>
      <c r="P701" s="604"/>
      <c r="Q701" s="604"/>
      <c r="R701" s="604"/>
      <c r="S701" s="604"/>
      <c r="T701" s="747">
        <f>Raffinaderi!J10</f>
        <v>0</v>
      </c>
      <c r="U701" s="604"/>
      <c r="V701" s="747">
        <f>Raffinaderi!K10</f>
        <v>0</v>
      </c>
      <c r="W701" s="604"/>
      <c r="X701" s="604"/>
    </row>
    <row r="702" spans="1:24" x14ac:dyDescent="0.25">
      <c r="A702" s="673" t="s">
        <v>634</v>
      </c>
      <c r="B702" s="604"/>
      <c r="C702" s="604"/>
      <c r="D702" s="604"/>
      <c r="E702" s="604"/>
      <c r="F702" s="604"/>
      <c r="G702" s="604"/>
      <c r="H702" s="604"/>
      <c r="I702" s="604"/>
      <c r="J702" s="604"/>
      <c r="K702" s="604"/>
      <c r="L702" s="604"/>
      <c r="M702" s="604"/>
      <c r="N702" s="604"/>
      <c r="O702" s="604"/>
      <c r="P702" s="604"/>
      <c r="Q702" s="604"/>
      <c r="R702" s="604"/>
      <c r="S702" s="604"/>
      <c r="T702" s="748">
        <f>Raffinaderi!J11</f>
        <v>0</v>
      </c>
      <c r="U702" s="604"/>
      <c r="V702" s="748">
        <f>Raffinaderi!K11</f>
        <v>0</v>
      </c>
      <c r="W702" s="604"/>
      <c r="X702" s="604"/>
    </row>
    <row r="703" spans="1:24" x14ac:dyDescent="0.25">
      <c r="A703" s="673" t="s">
        <v>635</v>
      </c>
      <c r="B703" s="604"/>
      <c r="C703" s="604"/>
      <c r="D703" s="604"/>
      <c r="E703" s="604"/>
      <c r="F703" s="604"/>
      <c r="G703" s="604"/>
      <c r="H703" s="604"/>
      <c r="I703" s="604"/>
      <c r="J703" s="604"/>
      <c r="K703" s="604"/>
      <c r="L703" s="604"/>
      <c r="M703" s="604"/>
      <c r="N703" s="604"/>
      <c r="O703" s="604"/>
      <c r="P703" s="604"/>
      <c r="Q703" s="604"/>
      <c r="R703" s="604"/>
      <c r="S703" s="604"/>
      <c r="T703" s="748">
        <f>Raffinaderi!J12</f>
        <v>0</v>
      </c>
      <c r="U703" s="604"/>
      <c r="V703" s="748">
        <f>Raffinaderi!K12</f>
        <v>0</v>
      </c>
      <c r="W703" s="604"/>
      <c r="X703" s="604"/>
    </row>
    <row r="704" spans="1:24" x14ac:dyDescent="0.25">
      <c r="A704" s="673" t="s">
        <v>636</v>
      </c>
      <c r="B704" s="604"/>
      <c r="C704" s="604"/>
      <c r="D704" s="604"/>
      <c r="E704" s="604"/>
      <c r="F704" s="604"/>
      <c r="G704" s="604"/>
      <c r="H704" s="604"/>
      <c r="I704" s="604"/>
      <c r="J704" s="604"/>
      <c r="K704" s="604"/>
      <c r="L704" s="604"/>
      <c r="M704" s="604"/>
      <c r="N704" s="604"/>
      <c r="O704" s="604"/>
      <c r="P704" s="604"/>
      <c r="Q704" s="604"/>
      <c r="R704" s="604"/>
      <c r="S704" s="604"/>
      <c r="T704" s="748">
        <f>Raffinaderi!J13</f>
        <v>0</v>
      </c>
      <c r="U704" s="604"/>
      <c r="V704" s="748">
        <f>Raffinaderi!K13</f>
        <v>0</v>
      </c>
      <c r="W704" s="604"/>
      <c r="X704" s="604"/>
    </row>
    <row r="705" spans="1:24" x14ac:dyDescent="0.25">
      <c r="A705" s="673" t="s">
        <v>637</v>
      </c>
      <c r="B705" s="604"/>
      <c r="C705" s="604"/>
      <c r="D705" s="604"/>
      <c r="E705" s="604"/>
      <c r="F705" s="604"/>
      <c r="G705" s="604"/>
      <c r="H705" s="604"/>
      <c r="I705" s="604"/>
      <c r="J705" s="604"/>
      <c r="K705" s="604"/>
      <c r="L705" s="604"/>
      <c r="M705" s="604"/>
      <c r="N705" s="604"/>
      <c r="O705" s="604"/>
      <c r="P705" s="604"/>
      <c r="Q705" s="604"/>
      <c r="R705" s="604"/>
      <c r="S705" s="604"/>
      <c r="T705" s="748">
        <f>Raffinaderi!J14</f>
        <v>0.5</v>
      </c>
      <c r="U705" s="604"/>
      <c r="V705" s="748">
        <f>Raffinaderi!K14</f>
        <v>0.5</v>
      </c>
      <c r="W705" s="604"/>
      <c r="X705" s="604"/>
    </row>
    <row r="706" spans="1:24" x14ac:dyDescent="0.25">
      <c r="A706" s="673" t="s">
        <v>638</v>
      </c>
      <c r="B706" s="604"/>
      <c r="C706" s="604"/>
      <c r="D706" s="604"/>
      <c r="E706" s="604"/>
      <c r="F706" s="604"/>
      <c r="G706" s="604"/>
      <c r="H706" s="604"/>
      <c r="I706" s="604"/>
      <c r="J706" s="604"/>
      <c r="K706" s="604"/>
      <c r="L706" s="604"/>
      <c r="M706" s="604"/>
      <c r="N706" s="604"/>
      <c r="O706" s="604"/>
      <c r="P706" s="604"/>
      <c r="Q706" s="604"/>
      <c r="R706" s="604"/>
      <c r="S706" s="604"/>
      <c r="T706" s="748">
        <f>Raffinaderi!J15</f>
        <v>0</v>
      </c>
      <c r="U706" s="604"/>
      <c r="V706" s="748">
        <f>Raffinaderi!K15</f>
        <v>0</v>
      </c>
      <c r="W706" s="604"/>
      <c r="X706" s="604"/>
    </row>
    <row r="707" spans="1:24" x14ac:dyDescent="0.25">
      <c r="A707" s="673" t="s">
        <v>639</v>
      </c>
      <c r="B707" s="604"/>
      <c r="C707" s="604"/>
      <c r="D707" s="604"/>
      <c r="E707" s="604"/>
      <c r="F707" s="604"/>
      <c r="G707" s="604"/>
      <c r="H707" s="604"/>
      <c r="I707" s="604"/>
      <c r="J707" s="604"/>
      <c r="K707" s="604"/>
      <c r="L707" s="604"/>
      <c r="M707" s="604"/>
      <c r="N707" s="604"/>
      <c r="O707" s="604"/>
      <c r="P707" s="604"/>
      <c r="Q707" s="604"/>
      <c r="R707" s="604"/>
      <c r="S707" s="604"/>
      <c r="T707" s="748">
        <f>Raffinaderi!J16</f>
        <v>0.5</v>
      </c>
      <c r="U707" s="604"/>
      <c r="V707" s="748">
        <f>Raffinaderi!K16</f>
        <v>0.5</v>
      </c>
      <c r="W707" s="604"/>
      <c r="X707" s="604"/>
    </row>
    <row r="708" spans="1:24" x14ac:dyDescent="0.25">
      <c r="A708" s="749" t="s">
        <v>640</v>
      </c>
      <c r="B708" s="604"/>
      <c r="C708" s="604"/>
      <c r="D708" s="604"/>
      <c r="E708" s="604"/>
      <c r="F708" s="604"/>
      <c r="G708" s="604"/>
      <c r="H708" s="604"/>
      <c r="I708" s="604"/>
      <c r="J708" s="604"/>
      <c r="K708" s="604"/>
      <c r="L708" s="604"/>
      <c r="M708" s="604"/>
      <c r="N708" s="604"/>
      <c r="O708" s="604"/>
      <c r="P708" s="604"/>
      <c r="Q708" s="604"/>
      <c r="R708" s="604"/>
      <c r="S708" s="604"/>
      <c r="T708" s="748">
        <f>Raffinaderi!J17</f>
        <v>0.9</v>
      </c>
      <c r="U708" s="604"/>
      <c r="V708" s="748">
        <f>Raffinaderi!K17</f>
        <v>0.9</v>
      </c>
      <c r="W708" s="604"/>
      <c r="X708" s="604"/>
    </row>
    <row r="709" spans="1:24" x14ac:dyDescent="0.25">
      <c r="A709" s="750" t="s">
        <v>646</v>
      </c>
      <c r="B709" s="604"/>
      <c r="C709" s="604"/>
      <c r="D709" s="604"/>
      <c r="E709" s="604"/>
      <c r="F709" s="604"/>
      <c r="G709" s="604"/>
      <c r="H709" s="604"/>
      <c r="I709" s="604"/>
      <c r="J709" s="604"/>
      <c r="K709" s="604"/>
      <c r="L709" s="604"/>
      <c r="M709" s="604"/>
      <c r="N709" s="604"/>
      <c r="O709" s="604"/>
      <c r="P709" s="604"/>
      <c r="Q709" s="604"/>
      <c r="R709" s="604"/>
      <c r="S709" s="604"/>
      <c r="T709" s="747">
        <f>Raffinaderi!J18</f>
        <v>0</v>
      </c>
      <c r="U709" s="604"/>
      <c r="V709" s="747">
        <f>Raffinaderi!K18</f>
        <v>0</v>
      </c>
      <c r="W709" s="604"/>
      <c r="X709" s="604"/>
    </row>
    <row r="710" spans="1:24" x14ac:dyDescent="0.25">
      <c r="A710" s="673" t="s">
        <v>641</v>
      </c>
      <c r="B710" s="604"/>
      <c r="C710" s="604"/>
      <c r="D710" s="604"/>
      <c r="E710" s="604"/>
      <c r="F710" s="604"/>
      <c r="G710" s="604"/>
      <c r="H710" s="604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  <c r="S710" s="604"/>
      <c r="T710" s="748">
        <f>Raffinaderi!J19</f>
        <v>0.5</v>
      </c>
      <c r="U710" s="604"/>
      <c r="V710" s="748">
        <f>Raffinaderi!K19</f>
        <v>0.5</v>
      </c>
      <c r="W710" s="604"/>
      <c r="X710" s="604"/>
    </row>
    <row r="711" spans="1:24" x14ac:dyDescent="0.25">
      <c r="A711" s="751" t="s">
        <v>647</v>
      </c>
      <c r="B711" s="604"/>
      <c r="C711" s="604"/>
      <c r="D711" s="604"/>
      <c r="E711" s="604"/>
      <c r="F711" s="604"/>
      <c r="G711" s="604"/>
      <c r="H711" s="604"/>
      <c r="I711" s="604"/>
      <c r="J711" s="604"/>
      <c r="K711" s="604"/>
      <c r="L711" s="604"/>
      <c r="M711" s="604"/>
      <c r="N711" s="604"/>
      <c r="O711" s="604"/>
      <c r="P711" s="604"/>
      <c r="Q711" s="604"/>
      <c r="R711" s="604"/>
      <c r="S711" s="604"/>
      <c r="T711" s="748">
        <f>Raffinaderi!J20</f>
        <v>1</v>
      </c>
      <c r="U711" s="604"/>
      <c r="V711" s="748">
        <f>Raffinaderi!K20</f>
        <v>1</v>
      </c>
      <c r="W711" s="604"/>
      <c r="X711" s="604"/>
    </row>
    <row r="712" spans="1:24" x14ac:dyDescent="0.25">
      <c r="A712" s="751" t="s">
        <v>648</v>
      </c>
      <c r="B712" s="604"/>
      <c r="C712" s="604"/>
      <c r="D712" s="604"/>
      <c r="E712" s="604"/>
      <c r="F712" s="604"/>
      <c r="G712" s="604"/>
      <c r="H712" s="604"/>
      <c r="I712" s="604"/>
      <c r="J712" s="604"/>
      <c r="K712" s="604"/>
      <c r="L712" s="604"/>
      <c r="M712" s="604"/>
      <c r="N712" s="604"/>
      <c r="O712" s="604"/>
      <c r="P712" s="604"/>
      <c r="Q712" s="604"/>
      <c r="R712" s="604"/>
      <c r="S712" s="604"/>
      <c r="T712" s="748">
        <f>Raffinaderi!J21</f>
        <v>0</v>
      </c>
      <c r="U712" s="604"/>
      <c r="V712" s="748">
        <f>Raffinaderi!K21</f>
        <v>0</v>
      </c>
      <c r="W712" s="604"/>
      <c r="X712" s="604"/>
    </row>
    <row r="713" spans="1:24" x14ac:dyDescent="0.25">
      <c r="A713" s="752" t="s">
        <v>649</v>
      </c>
      <c r="B713" s="604"/>
      <c r="C713" s="604"/>
      <c r="D713" s="604"/>
      <c r="E713" s="604"/>
      <c r="F713" s="604"/>
      <c r="G713" s="604"/>
      <c r="H713" s="604"/>
      <c r="I713" s="604"/>
      <c r="J713" s="604"/>
      <c r="K713" s="604"/>
      <c r="L713" s="604"/>
      <c r="M713" s="604"/>
      <c r="N713" s="604"/>
      <c r="O713" s="604"/>
      <c r="P713" s="604"/>
      <c r="Q713" s="604"/>
      <c r="R713" s="604"/>
      <c r="S713" s="604"/>
      <c r="T713" s="748">
        <f>Raffinaderi!J22</f>
        <v>0</v>
      </c>
      <c r="U713" s="604"/>
      <c r="V713" s="748">
        <f>Raffinaderi!K22</f>
        <v>0</v>
      </c>
      <c r="W713" s="604"/>
      <c r="X713" s="604"/>
    </row>
    <row r="714" spans="1:24" x14ac:dyDescent="0.25">
      <c r="A714" s="752" t="s">
        <v>650</v>
      </c>
      <c r="B714" s="604"/>
      <c r="C714" s="604"/>
      <c r="D714" s="604"/>
      <c r="E714" s="604"/>
      <c r="F714" s="604"/>
      <c r="G714" s="604"/>
      <c r="H714" s="604"/>
      <c r="I714" s="604"/>
      <c r="J714" s="604"/>
      <c r="K714" s="604"/>
      <c r="L714" s="604"/>
      <c r="M714" s="604"/>
      <c r="N714" s="604"/>
      <c r="O714" s="604"/>
      <c r="P714" s="604"/>
      <c r="Q714" s="604"/>
      <c r="R714" s="604"/>
      <c r="S714" s="604"/>
      <c r="T714" s="748">
        <f>Raffinaderi!J23</f>
        <v>0</v>
      </c>
      <c r="U714" s="604"/>
      <c r="V714" s="748">
        <f>Raffinaderi!K23</f>
        <v>0</v>
      </c>
      <c r="W714" s="604"/>
      <c r="X714" s="604"/>
    </row>
    <row r="715" spans="1:24" x14ac:dyDescent="0.25">
      <c r="A715" s="752" t="s">
        <v>651</v>
      </c>
      <c r="B715" s="604"/>
      <c r="C715" s="604"/>
      <c r="D715" s="604"/>
      <c r="E715" s="604"/>
      <c r="F715" s="604"/>
      <c r="G715" s="604"/>
      <c r="H715" s="604"/>
      <c r="I715" s="604"/>
      <c r="J715" s="604"/>
      <c r="K715" s="604"/>
      <c r="L715" s="604"/>
      <c r="M715" s="604"/>
      <c r="N715" s="604"/>
      <c r="O715" s="604"/>
      <c r="P715" s="604"/>
      <c r="Q715" s="604"/>
      <c r="R715" s="604"/>
      <c r="S715" s="604"/>
      <c r="T715" s="748">
        <f>Raffinaderi!J24</f>
        <v>0</v>
      </c>
      <c r="U715" s="604"/>
      <c r="V715" s="748">
        <f>Raffinaderi!K24</f>
        <v>0</v>
      </c>
      <c r="W715" s="604"/>
      <c r="X715" s="604"/>
    </row>
    <row r="716" spans="1:24" x14ac:dyDescent="0.25">
      <c r="A716" s="751" t="s">
        <v>652</v>
      </c>
      <c r="B716" s="604"/>
      <c r="C716" s="604"/>
      <c r="D716" s="604"/>
      <c r="E716" s="604"/>
      <c r="F716" s="604"/>
      <c r="G716" s="604"/>
      <c r="H716" s="604"/>
      <c r="I716" s="604"/>
      <c r="J716" s="604"/>
      <c r="K716" s="604"/>
      <c r="L716" s="604"/>
      <c r="M716" s="604"/>
      <c r="N716" s="604"/>
      <c r="O716" s="604"/>
      <c r="P716" s="604"/>
      <c r="Q716" s="604"/>
      <c r="R716" s="604"/>
      <c r="S716" s="604"/>
      <c r="T716" s="748">
        <f>Raffinaderi!J25</f>
        <v>0</v>
      </c>
      <c r="U716" s="604"/>
      <c r="V716" s="748">
        <f>Raffinaderi!K25</f>
        <v>0</v>
      </c>
      <c r="W716" s="604"/>
      <c r="X716" s="604"/>
    </row>
    <row r="717" spans="1:24" x14ac:dyDescent="0.25">
      <c r="A717" s="751" t="s">
        <v>653</v>
      </c>
      <c r="B717" s="604"/>
      <c r="C717" s="604"/>
      <c r="D717" s="604"/>
      <c r="E717" s="604"/>
      <c r="F717" s="604"/>
      <c r="G717" s="604"/>
      <c r="H717" s="604"/>
      <c r="I717" s="604"/>
      <c r="J717" s="604"/>
      <c r="K717" s="604"/>
      <c r="L717" s="604"/>
      <c r="M717" s="604"/>
      <c r="N717" s="604"/>
      <c r="O717" s="604"/>
      <c r="P717" s="604"/>
      <c r="Q717" s="604"/>
      <c r="R717" s="604"/>
      <c r="S717" s="604"/>
      <c r="T717" s="748">
        <f>Raffinaderi!J26</f>
        <v>0</v>
      </c>
      <c r="U717" s="604"/>
      <c r="V717" s="748">
        <f>Raffinaderi!K26</f>
        <v>0</v>
      </c>
      <c r="W717" s="604"/>
      <c r="X717" s="604"/>
    </row>
    <row r="718" spans="1:24" x14ac:dyDescent="0.25">
      <c r="A718" s="752" t="s">
        <v>654</v>
      </c>
      <c r="B718" s="604"/>
      <c r="C718" s="604"/>
      <c r="D718" s="604"/>
      <c r="E718" s="604"/>
      <c r="F718" s="604"/>
      <c r="G718" s="604"/>
      <c r="H718" s="604"/>
      <c r="I718" s="604"/>
      <c r="J718" s="604"/>
      <c r="K718" s="604"/>
      <c r="L718" s="604"/>
      <c r="M718" s="604"/>
      <c r="N718" s="604"/>
      <c r="O718" s="604"/>
      <c r="P718" s="604"/>
      <c r="Q718" s="604"/>
      <c r="R718" s="604"/>
      <c r="S718" s="604"/>
      <c r="T718" s="748">
        <f>Raffinaderi!J27</f>
        <v>0</v>
      </c>
      <c r="U718" s="604"/>
      <c r="V718" s="748">
        <f>Raffinaderi!K27</f>
        <v>0</v>
      </c>
      <c r="W718" s="604"/>
      <c r="X718" s="604"/>
    </row>
    <row r="719" spans="1:24" x14ac:dyDescent="0.25">
      <c r="A719" s="673" t="s">
        <v>642</v>
      </c>
      <c r="B719" s="604"/>
      <c r="C719" s="604"/>
      <c r="D719" s="604"/>
      <c r="E719" s="604"/>
      <c r="F719" s="604"/>
      <c r="G719" s="604"/>
      <c r="H719" s="604"/>
      <c r="I719" s="604"/>
      <c r="J719" s="604"/>
      <c r="K719" s="604"/>
      <c r="L719" s="604"/>
      <c r="M719" s="604"/>
      <c r="N719" s="604"/>
      <c r="O719" s="604"/>
      <c r="P719" s="604"/>
      <c r="Q719" s="604"/>
      <c r="R719" s="604"/>
      <c r="S719" s="604"/>
      <c r="T719" s="748">
        <f>Raffinaderi!J28</f>
        <v>0.5</v>
      </c>
      <c r="U719" s="604"/>
      <c r="V719" s="748">
        <f>Raffinaderi!K28</f>
        <v>0.5</v>
      </c>
      <c r="W719" s="604"/>
      <c r="X719" s="604"/>
    </row>
    <row r="720" spans="1:24" x14ac:dyDescent="0.25">
      <c r="A720" s="749" t="s">
        <v>643</v>
      </c>
      <c r="B720" s="604"/>
      <c r="C720" s="604"/>
      <c r="D720" s="604"/>
      <c r="E720" s="604"/>
      <c r="F720" s="604"/>
      <c r="G720" s="604"/>
      <c r="H720" s="604"/>
      <c r="I720" s="604"/>
      <c r="J720" s="604"/>
      <c r="K720" s="604"/>
      <c r="L720" s="604"/>
      <c r="M720" s="604"/>
      <c r="N720" s="604"/>
      <c r="O720" s="604"/>
      <c r="P720" s="604"/>
      <c r="Q720" s="604"/>
      <c r="R720" s="604"/>
      <c r="S720" s="604"/>
      <c r="T720" s="748">
        <f>Raffinaderi!J29</f>
        <v>0.5</v>
      </c>
      <c r="U720" s="604"/>
      <c r="V720" s="748">
        <f>Raffinaderi!K29</f>
        <v>0.5</v>
      </c>
      <c r="W720" s="604"/>
      <c r="X720" s="604"/>
    </row>
    <row r="721" spans="1:24" x14ac:dyDescent="0.25">
      <c r="A721" s="604"/>
      <c r="B721" s="604"/>
      <c r="C721" s="604"/>
      <c r="D721" s="604"/>
      <c r="E721" s="604"/>
      <c r="F721" s="604"/>
      <c r="G721" s="604"/>
      <c r="H721" s="604"/>
      <c r="I721" s="604"/>
      <c r="J721" s="604"/>
      <c r="K721" s="604"/>
      <c r="L721" s="604"/>
      <c r="M721" s="604"/>
      <c r="N721" s="604"/>
      <c r="O721" s="604"/>
      <c r="P721" s="604"/>
      <c r="Q721" s="604"/>
      <c r="R721" s="604"/>
      <c r="S721" s="604"/>
      <c r="T721" s="604"/>
      <c r="U721" s="604"/>
      <c r="V721" s="604"/>
      <c r="W721" s="604"/>
      <c r="X721" s="604"/>
    </row>
  </sheetData>
  <sheetProtection algorithmName="SHA-512" hashValue="hsBom7I+XxUtUhbjYwlq4YanNUVicYkXP7peBwlWk71/pAohXDjH94JoTgB8MB4PMgA+HA/r6icJ7EpPNFDSsQ==" saltValue="nYZwiRQcYLi2fNxquGNwlg==" spinCount="100000" sheet="1" objects="1" scenarios="1"/>
  <protectedRanges>
    <protectedRange algorithmName="SHA-512" hashValue="TPMFhMKoOwseu2qCMP+YaB9pcA07N8pv2OVzJPTOu9lT+lQlurHLgHceZDrsCX99PAgBCYbVXeiFx0Mq3hCJeA==" saltValue="2is35ykDEEVZxeBpjRKgPw==" spinCount="100000" sqref="A1:W1048576" name="Område1"/>
  </protectedRanges>
  <mergeCells count="10">
    <mergeCell ref="P1:Q1"/>
    <mergeCell ref="R1:S1"/>
    <mergeCell ref="V1:W1"/>
    <mergeCell ref="V2:W2"/>
    <mergeCell ref="D1:E1"/>
    <mergeCell ref="L1:M1"/>
    <mergeCell ref="J1:K1"/>
    <mergeCell ref="H1:I1"/>
    <mergeCell ref="F1:G1"/>
    <mergeCell ref="N1:O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N119"/>
  <sheetViews>
    <sheetView workbookViewId="0">
      <selection activeCell="O16" sqref="O16"/>
    </sheetView>
  </sheetViews>
  <sheetFormatPr defaultRowHeight="15" x14ac:dyDescent="0.25"/>
  <cols>
    <col min="1" max="1" width="23" customWidth="1"/>
    <col min="2" max="2" width="15.85546875" customWidth="1"/>
    <col min="3" max="4" width="15.85546875" style="332" customWidth="1"/>
    <col min="5" max="5" width="16.5703125" customWidth="1"/>
    <col min="6" max="6" width="13" customWidth="1"/>
    <col min="7" max="7" width="13.85546875" customWidth="1"/>
    <col min="8" max="8" width="12.140625" customWidth="1"/>
    <col min="9" max="9" width="12.140625" style="332" customWidth="1"/>
    <col min="10" max="10" width="11.85546875" customWidth="1"/>
    <col min="11" max="11" width="13" customWidth="1"/>
  </cols>
  <sheetData>
    <row r="2" spans="1:11" x14ac:dyDescent="0.25">
      <c r="B2">
        <v>2006</v>
      </c>
      <c r="C2" s="332">
        <v>2008</v>
      </c>
      <c r="D2" s="332">
        <v>2009</v>
      </c>
      <c r="E2">
        <v>2011</v>
      </c>
      <c r="F2">
        <v>2013</v>
      </c>
      <c r="G2" s="1">
        <v>2015</v>
      </c>
      <c r="H2">
        <v>2017</v>
      </c>
      <c r="I2" s="332">
        <v>2019</v>
      </c>
      <c r="J2">
        <v>2025</v>
      </c>
      <c r="K2">
        <v>2030</v>
      </c>
    </row>
    <row r="3" spans="1:11" x14ac:dyDescent="0.25">
      <c r="A3" s="271" t="s">
        <v>241</v>
      </c>
      <c r="B3" s="753">
        <f>' Plan Energi 2006'!X72</f>
        <v>732.85</v>
      </c>
      <c r="C3" s="753">
        <f>' Plan Energi 2008'!X72</f>
        <v>645.33000000000004</v>
      </c>
      <c r="D3" s="753">
        <f>' Plan Energi 2009'!X72</f>
        <v>658.9</v>
      </c>
      <c r="E3" s="753">
        <f>' Plan Energi 2011'!X72</f>
        <v>579.48</v>
      </c>
      <c r="F3" s="753">
        <f>' Plan Energi 2013'!X72</f>
        <v>559.55999999999995</v>
      </c>
      <c r="G3" s="274">
        <f>' Plan Energi 2015'!X72</f>
        <v>544</v>
      </c>
      <c r="H3" s="753">
        <f>' Plan Energi 2017'!X72</f>
        <v>541.39</v>
      </c>
      <c r="I3" s="753">
        <f>' Plan Energi 2019'!X72</f>
        <v>541.39</v>
      </c>
      <c r="J3" s="154">
        <f>J53/J37/J26*1000*$B15</f>
        <v>247.15146737024224</v>
      </c>
      <c r="K3" s="154">
        <f>K53/K37/K26*1000*$B15</f>
        <v>449.79593653276066</v>
      </c>
    </row>
    <row r="4" spans="1:11" x14ac:dyDescent="0.25">
      <c r="A4" s="271" t="s">
        <v>243</v>
      </c>
      <c r="B4" s="753">
        <f>' Plan Energi 2006'!X73</f>
        <v>177.89</v>
      </c>
      <c r="C4" s="753">
        <f>' Plan Energi 2008'!X73</f>
        <v>297.32</v>
      </c>
      <c r="D4" s="753">
        <f>' Plan Energi 2009'!X73</f>
        <v>258.17</v>
      </c>
      <c r="E4" s="753">
        <f>' Plan Energi 2011'!X73</f>
        <v>315.31</v>
      </c>
      <c r="F4" s="753">
        <f>' Plan Energi 2013'!X73</f>
        <v>354.00000000000006</v>
      </c>
      <c r="G4" s="274">
        <f>' Plan Energi 2015'!X73</f>
        <v>390</v>
      </c>
      <c r="H4" s="753">
        <f>' Plan Energi 2017'!X73</f>
        <v>411.28</v>
      </c>
      <c r="I4" s="753">
        <f>' Plan Energi 2019'!X73</f>
        <v>411.28</v>
      </c>
      <c r="J4" s="154">
        <f>J54/J38/J27*1000*$B16</f>
        <v>247.15146737024224</v>
      </c>
      <c r="K4" s="154">
        <f>K54/K38/K27*1000*$B16</f>
        <v>341.69835567187022</v>
      </c>
    </row>
    <row r="5" spans="1:11" x14ac:dyDescent="0.25">
      <c r="A5" s="271" t="s">
        <v>244</v>
      </c>
      <c r="B5" s="753">
        <f>' Plan Energi 2006'!X74</f>
        <v>186</v>
      </c>
      <c r="C5" s="753">
        <f>' Plan Energi 2008'!X74</f>
        <v>174.13</v>
      </c>
      <c r="D5" s="753">
        <f>' Plan Energi 2009'!X74</f>
        <v>197.51</v>
      </c>
      <c r="E5" s="753">
        <f>' Plan Energi 2011'!X74</f>
        <v>198.12299999999999</v>
      </c>
      <c r="F5" s="753">
        <f>' Plan Energi 2013'!X74</f>
        <v>160.85000000000002</v>
      </c>
      <c r="G5" s="274">
        <f>' Plan Energi 2015'!X74</f>
        <v>163.52000000000001</v>
      </c>
      <c r="H5" s="753">
        <f>' Plan Energi 2017'!X74</f>
        <v>170.73</v>
      </c>
      <c r="I5" s="753">
        <f>' Plan Energi 2019'!X74</f>
        <v>170.73</v>
      </c>
      <c r="J5" s="154">
        <f>J72/J45/J28*$C17*1000</f>
        <v>139.41025793239135</v>
      </c>
      <c r="K5" s="154">
        <f>K72/K45/K28*$C17*1000</f>
        <v>133.33463977831863</v>
      </c>
    </row>
    <row r="6" spans="1:11" x14ac:dyDescent="0.25">
      <c r="A6" s="271" t="s">
        <v>246</v>
      </c>
      <c r="B6" s="753">
        <f>' Plan Energi 2006'!X75</f>
        <v>16</v>
      </c>
      <c r="C6" s="753">
        <f>' Plan Energi 2008'!X75</f>
        <v>16.059999999999999</v>
      </c>
      <c r="D6" s="753">
        <f>' Plan Energi 2009'!X75</f>
        <v>12.27</v>
      </c>
      <c r="E6" s="753">
        <f>' Plan Energi 2011'!X75</f>
        <v>17.89</v>
      </c>
      <c r="F6" s="753">
        <f>' Plan Energi 2013'!X75</f>
        <v>26.49</v>
      </c>
      <c r="G6" s="274">
        <f>' Plan Energi 2015'!X75</f>
        <v>29.03</v>
      </c>
      <c r="H6" s="753">
        <f>' Plan Energi 2017'!X75</f>
        <v>49.100000000000009</v>
      </c>
      <c r="I6" s="753">
        <f>' Plan Energi 2019'!X75</f>
        <v>49.100000000000009</v>
      </c>
      <c r="J6" s="154">
        <f>J55/J39/J29*$B18*1000</f>
        <v>80.977097354665446</v>
      </c>
      <c r="K6" s="154">
        <f>K55/K39/K29*$B18*1000</f>
        <v>27.0038880809063</v>
      </c>
    </row>
    <row r="7" spans="1:11" x14ac:dyDescent="0.25">
      <c r="A7" s="271" t="s">
        <v>248</v>
      </c>
      <c r="B7" s="753">
        <f>' Plan Energi 2006'!X76</f>
        <v>437.26</v>
      </c>
      <c r="C7" s="753">
        <f>' Plan Energi 2008'!X76</f>
        <v>362.14</v>
      </c>
      <c r="D7" s="753">
        <f>' Plan Energi 2009'!X76</f>
        <v>369.88999999999993</v>
      </c>
      <c r="E7" s="753">
        <f>' Plan Energi 2011'!X76</f>
        <v>356.36</v>
      </c>
      <c r="F7" s="753">
        <f>' Plan Energi 2013'!X76</f>
        <v>301.44999999999993</v>
      </c>
      <c r="G7" s="274">
        <f>' Plan Energi 2015'!X76</f>
        <v>320</v>
      </c>
      <c r="H7" s="753">
        <f>' Plan Energi 2017'!X76</f>
        <v>330.70000000000005</v>
      </c>
      <c r="I7" s="753">
        <f>' Plan Energi 2019'!X76</f>
        <v>330.70000000000005</v>
      </c>
      <c r="J7" s="154">
        <f>J73/J46/J30*$C19*1000</f>
        <v>319.13155800340968</v>
      </c>
      <c r="K7" s="154">
        <f>K73/K46/K30*$C19*1000</f>
        <v>314.95861654823671</v>
      </c>
    </row>
    <row r="8" spans="1:11" x14ac:dyDescent="0.25">
      <c r="A8" s="271" t="s">
        <v>285</v>
      </c>
      <c r="B8" s="753">
        <f>' Plan Energi 2006'!X77</f>
        <v>30.5</v>
      </c>
      <c r="C8" s="753">
        <f>' Plan Energi 2008'!X77</f>
        <v>36.4</v>
      </c>
      <c r="D8" s="753">
        <f>' Plan Energi 2009'!X77</f>
        <v>36.399999999999991</v>
      </c>
      <c r="E8" s="753">
        <f>' Plan Energi 2011'!X77</f>
        <v>36.1</v>
      </c>
      <c r="F8" s="753">
        <f>' Plan Energi 2013'!X77</f>
        <v>37.601499644211493</v>
      </c>
      <c r="G8" s="274">
        <f>' Plan Energi 2015'!X77</f>
        <v>36.1</v>
      </c>
      <c r="H8" s="753">
        <f>' Plan Energi 2017'!X77</f>
        <v>34.909999999999997</v>
      </c>
      <c r="I8" s="753">
        <f>' Plan Energi 2019'!X77</f>
        <v>34.909999999999997</v>
      </c>
      <c r="J8" s="154">
        <f>J74/J47/J31*$C20*1000</f>
        <v>37.057668457480908</v>
      </c>
      <c r="K8" s="154">
        <f>K74/K47/K31*$C20*1000</f>
        <v>35.873141299289912</v>
      </c>
    </row>
    <row r="9" spans="1:11" x14ac:dyDescent="0.25">
      <c r="A9" s="272" t="s">
        <v>250</v>
      </c>
      <c r="B9" s="753">
        <f>' Plan Energi 2006'!X78</f>
        <v>27.8</v>
      </c>
      <c r="C9" s="753">
        <f>' Plan Energi 2008'!X78</f>
        <v>28.9</v>
      </c>
      <c r="D9" s="753">
        <f>' Plan Energi 2009'!X78</f>
        <v>28</v>
      </c>
      <c r="E9" s="753">
        <f>' Plan Energi 2011'!X78</f>
        <v>30.4</v>
      </c>
      <c r="F9" s="753">
        <f>' Plan Energi 2013'!X78</f>
        <v>30.107094424259472</v>
      </c>
      <c r="G9" s="274">
        <f>' Plan Energi 2015'!X78</f>
        <v>30.107094424259472</v>
      </c>
      <c r="H9" s="753">
        <f>' Plan Energi 2017'!X78</f>
        <v>29.17</v>
      </c>
      <c r="I9" s="753">
        <f>' Plan Energi 2019'!X78</f>
        <v>29.17</v>
      </c>
      <c r="J9" s="154">
        <f>(J56/J40*$B21+J75/J48*$C21)/J32*1000</f>
        <v>12.695462545142787</v>
      </c>
      <c r="K9" s="154">
        <f>(K56/K40*$B21+K75/K48*$C21)/K32*1000</f>
        <v>11.253182057746061</v>
      </c>
    </row>
    <row r="10" spans="1:11" x14ac:dyDescent="0.25">
      <c r="A10" s="272" t="s">
        <v>252</v>
      </c>
      <c r="B10" s="753">
        <f>' Plan Energi 2006'!X79</f>
        <v>353.4</v>
      </c>
      <c r="C10" s="753">
        <f>' Plan Energi 2008'!X79</f>
        <v>360</v>
      </c>
      <c r="D10" s="753">
        <f>' Plan Energi 2009'!X79</f>
        <v>319</v>
      </c>
      <c r="E10" s="753">
        <f>' Plan Energi 2011'!X79</f>
        <v>344.6</v>
      </c>
      <c r="F10" s="753">
        <f>' Plan Energi 2013'!X79</f>
        <v>335.85091276807952</v>
      </c>
      <c r="G10" s="274">
        <f>' Plan Energi 2015'!X79</f>
        <v>349.1</v>
      </c>
      <c r="H10" s="753">
        <f>' Plan Energi 2017'!X79</f>
        <v>385.78</v>
      </c>
      <c r="I10" s="753">
        <f>' Plan Energi 2019'!X79</f>
        <v>385.78</v>
      </c>
      <c r="J10" s="154">
        <f>(J76/J49*$C22+J57/J41*$B22)/J33*1000</f>
        <v>370.60948554746267</v>
      </c>
      <c r="K10" s="154">
        <f>(K76/K49*$C22+K57/K41*$B22)/K33*1000</f>
        <v>332.51220217188029</v>
      </c>
    </row>
    <row r="11" spans="1:11" ht="15.75" thickBot="1" x14ac:dyDescent="0.3">
      <c r="A11" s="273" t="s">
        <v>254</v>
      </c>
      <c r="B11" s="753">
        <f>' Plan Energi 2006'!X80</f>
        <v>65.899999999999991</v>
      </c>
      <c r="C11" s="753">
        <f>' Plan Energi 2008'!X80</f>
        <v>73.3</v>
      </c>
      <c r="D11" s="753">
        <f>' Plan Energi 2009'!X80</f>
        <v>67.900000000000006</v>
      </c>
      <c r="E11" s="753">
        <f>' Plan Energi 2011'!X80</f>
        <v>57.5</v>
      </c>
      <c r="F11" s="753">
        <f>' Plan Energi 2013'!X80</f>
        <v>56.580870091678406</v>
      </c>
      <c r="G11" s="274">
        <f>' Plan Energi 2015'!X80</f>
        <v>50.6</v>
      </c>
      <c r="H11" s="753">
        <f>' Plan Energi 2017'!X80</f>
        <v>54.99</v>
      </c>
      <c r="I11" s="753">
        <f>' Plan Energi 2019'!X80</f>
        <v>54.99</v>
      </c>
      <c r="J11" s="154">
        <f>(J58/J41*$B23+J77/J50*$C23)/J34*1000</f>
        <v>24.322080450645409</v>
      </c>
      <c r="K11" s="154">
        <f>(K58/K41*$B23+K77/K50*$C23)/K34*1000</f>
        <v>22.843309397972348</v>
      </c>
    </row>
    <row r="12" spans="1:11" s="332" customFormat="1" x14ac:dyDescent="0.25">
      <c r="A12" s="275" t="s">
        <v>614</v>
      </c>
      <c r="B12" s="753">
        <f>SUM(B3:B11)</f>
        <v>2027.6</v>
      </c>
      <c r="C12" s="753">
        <f t="shared" ref="C12:K12" si="0">SUM(C3:C11)</f>
        <v>1993.5800000000002</v>
      </c>
      <c r="D12" s="753">
        <f t="shared" si="0"/>
        <v>1948.04</v>
      </c>
      <c r="E12" s="753">
        <f t="shared" si="0"/>
        <v>1935.7629999999999</v>
      </c>
      <c r="F12" s="753">
        <f t="shared" si="0"/>
        <v>1862.4903769282289</v>
      </c>
      <c r="G12" s="753">
        <f t="shared" si="0"/>
        <v>1912.4570944242591</v>
      </c>
      <c r="H12" s="753">
        <f t="shared" si="0"/>
        <v>2008.05</v>
      </c>
      <c r="I12" s="753">
        <f t="shared" si="0"/>
        <v>2008.05</v>
      </c>
      <c r="J12" s="758">
        <f t="shared" si="0"/>
        <v>1478.5065450316829</v>
      </c>
      <c r="K12" s="758">
        <f t="shared" si="0"/>
        <v>1669.2732715389811</v>
      </c>
    </row>
    <row r="14" spans="1:11" x14ac:dyDescent="0.25">
      <c r="A14" s="276" t="s">
        <v>611</v>
      </c>
      <c r="B14" s="270" t="s">
        <v>609</v>
      </c>
      <c r="C14" s="270" t="s">
        <v>610</v>
      </c>
      <c r="D14" s="329"/>
      <c r="E14" s="329"/>
    </row>
    <row r="15" spans="1:11" x14ac:dyDescent="0.25">
      <c r="A15" s="235" t="s">
        <v>241</v>
      </c>
      <c r="B15" s="232">
        <v>1</v>
      </c>
      <c r="C15" s="232"/>
      <c r="D15" s="232"/>
      <c r="E15" s="232"/>
    </row>
    <row r="16" spans="1:11" x14ac:dyDescent="0.25">
      <c r="A16" s="235" t="s">
        <v>243</v>
      </c>
      <c r="B16" s="232">
        <v>1</v>
      </c>
      <c r="C16" s="232"/>
      <c r="D16" s="232"/>
      <c r="E16" s="232"/>
    </row>
    <row r="17" spans="1:11" x14ac:dyDescent="0.25">
      <c r="A17" s="235" t="s">
        <v>244</v>
      </c>
      <c r="B17" s="232"/>
      <c r="C17" s="232">
        <v>1</v>
      </c>
      <c r="D17" s="232"/>
      <c r="E17" s="232"/>
    </row>
    <row r="18" spans="1:11" x14ac:dyDescent="0.25">
      <c r="A18" s="235" t="s">
        <v>246</v>
      </c>
      <c r="B18" s="232">
        <v>1</v>
      </c>
      <c r="C18" s="232"/>
      <c r="D18" s="232"/>
      <c r="E18" s="232"/>
    </row>
    <row r="19" spans="1:11" x14ac:dyDescent="0.25">
      <c r="A19" s="235" t="s">
        <v>248</v>
      </c>
      <c r="B19" s="232"/>
      <c r="C19" s="232">
        <v>1</v>
      </c>
      <c r="D19" s="232"/>
      <c r="E19" s="232"/>
    </row>
    <row r="20" spans="1:11" x14ac:dyDescent="0.25">
      <c r="A20" s="235" t="s">
        <v>285</v>
      </c>
      <c r="B20" s="232"/>
      <c r="C20" s="232">
        <v>1</v>
      </c>
      <c r="D20" s="232"/>
      <c r="E20" s="232"/>
    </row>
    <row r="21" spans="1:11" x14ac:dyDescent="0.25">
      <c r="A21" s="257" t="s">
        <v>250</v>
      </c>
      <c r="B21" s="232">
        <v>0.9</v>
      </c>
      <c r="C21" s="232">
        <v>0.1</v>
      </c>
      <c r="D21" s="232"/>
      <c r="E21" s="232"/>
    </row>
    <row r="22" spans="1:11" x14ac:dyDescent="0.25">
      <c r="A22" s="257" t="s">
        <v>252</v>
      </c>
      <c r="B22" s="232">
        <v>0.95</v>
      </c>
      <c r="C22" s="232">
        <v>0.05</v>
      </c>
      <c r="D22" s="232"/>
      <c r="E22" s="232"/>
    </row>
    <row r="23" spans="1:11" ht="15.75" thickBot="1" x14ac:dyDescent="0.3">
      <c r="A23" s="258" t="s">
        <v>254</v>
      </c>
      <c r="B23" s="232">
        <v>0.5</v>
      </c>
      <c r="C23" s="232">
        <v>0.5</v>
      </c>
      <c r="D23" s="232"/>
      <c r="E23" s="232"/>
    </row>
    <row r="25" spans="1:11" x14ac:dyDescent="0.25">
      <c r="A25" s="276" t="s">
        <v>613</v>
      </c>
      <c r="B25">
        <v>2006</v>
      </c>
      <c r="C25" s="332">
        <v>2008</v>
      </c>
      <c r="D25" s="332">
        <v>2009</v>
      </c>
      <c r="E25">
        <v>2011</v>
      </c>
      <c r="F25">
        <v>2013</v>
      </c>
      <c r="G25">
        <v>2015</v>
      </c>
      <c r="H25">
        <v>2017</v>
      </c>
      <c r="I25" s="332">
        <v>2019</v>
      </c>
      <c r="J25">
        <v>2025</v>
      </c>
      <c r="K25">
        <v>2030</v>
      </c>
    </row>
    <row r="26" spans="1:11" x14ac:dyDescent="0.25">
      <c r="A26" s="235" t="s">
        <v>241</v>
      </c>
      <c r="B26">
        <v>450</v>
      </c>
      <c r="C26" s="332">
        <v>450</v>
      </c>
      <c r="D26" s="332">
        <v>450</v>
      </c>
      <c r="E26" s="332">
        <v>450</v>
      </c>
      <c r="F26" s="332">
        <v>450</v>
      </c>
      <c r="G26" s="332">
        <v>450</v>
      </c>
      <c r="H26" s="332">
        <v>450</v>
      </c>
      <c r="I26" s="332">
        <v>450</v>
      </c>
      <c r="J26" s="154">
        <f>J111*J92+J111/J108*J107*J91</f>
        <v>540</v>
      </c>
      <c r="K26" s="154">
        <f>K111*K92+K111/K108*K107*K91</f>
        <v>604.28571428571422</v>
      </c>
    </row>
    <row r="27" spans="1:11" x14ac:dyDescent="0.25">
      <c r="A27" s="235" t="s">
        <v>243</v>
      </c>
      <c r="B27" s="231">
        <v>450</v>
      </c>
      <c r="C27" s="332">
        <v>450</v>
      </c>
      <c r="D27" s="332">
        <v>450</v>
      </c>
      <c r="E27" s="332">
        <v>450</v>
      </c>
      <c r="F27" s="332">
        <v>450</v>
      </c>
      <c r="G27" s="332">
        <v>450</v>
      </c>
      <c r="H27" s="332">
        <v>450</v>
      </c>
      <c r="I27" s="332">
        <v>450</v>
      </c>
      <c r="J27" s="154">
        <f>J112*J92+J112/J108*J107*J91</f>
        <v>540</v>
      </c>
      <c r="K27" s="154">
        <f>K112*K92+K112/K108*K107*K91</f>
        <v>604.28571428571422</v>
      </c>
    </row>
    <row r="28" spans="1:11" x14ac:dyDescent="0.25">
      <c r="A28" s="235" t="s">
        <v>244</v>
      </c>
      <c r="B28">
        <v>250</v>
      </c>
      <c r="C28" s="332">
        <v>250</v>
      </c>
      <c r="D28" s="332">
        <v>250</v>
      </c>
      <c r="E28" s="332">
        <v>250</v>
      </c>
      <c r="F28" s="332">
        <v>250</v>
      </c>
      <c r="G28" s="332">
        <v>250</v>
      </c>
      <c r="H28" s="332">
        <v>250</v>
      </c>
      <c r="I28" s="332">
        <v>250</v>
      </c>
      <c r="J28" s="154">
        <f>J113*J102+J113/J108*J107*J101</f>
        <v>325</v>
      </c>
      <c r="K28" s="154">
        <f>K113*K102+K113/K108*K107*K101</f>
        <v>357.14285714285711</v>
      </c>
    </row>
    <row r="29" spans="1:11" x14ac:dyDescent="0.25">
      <c r="A29" s="235" t="s">
        <v>246</v>
      </c>
      <c r="B29">
        <v>96</v>
      </c>
      <c r="C29" s="332">
        <v>96</v>
      </c>
      <c r="D29" s="332">
        <v>96</v>
      </c>
      <c r="E29" s="332">
        <v>96</v>
      </c>
      <c r="F29" s="332">
        <v>96</v>
      </c>
      <c r="G29" s="332">
        <v>96</v>
      </c>
      <c r="H29" s="332">
        <v>96</v>
      </c>
      <c r="I29" s="332">
        <v>96</v>
      </c>
      <c r="J29" s="154">
        <f>J114*J94+J114/J108*J107*J93</f>
        <v>134.4</v>
      </c>
      <c r="K29" s="154">
        <f>K114*K94+K114/K108*K107*K93</f>
        <v>194.74285714285713</v>
      </c>
    </row>
    <row r="30" spans="1:11" x14ac:dyDescent="0.25">
      <c r="A30" s="235" t="s">
        <v>248</v>
      </c>
      <c r="B30">
        <v>65</v>
      </c>
      <c r="C30" s="332">
        <v>65</v>
      </c>
      <c r="D30" s="332">
        <v>65</v>
      </c>
      <c r="E30" s="332">
        <v>65</v>
      </c>
      <c r="F30" s="332">
        <v>65</v>
      </c>
      <c r="G30" s="332">
        <v>65</v>
      </c>
      <c r="H30" s="332">
        <v>65</v>
      </c>
      <c r="I30" s="332">
        <v>65</v>
      </c>
      <c r="J30" s="154">
        <f>J115*J104+J115/J108*J107*J103</f>
        <v>71.5</v>
      </c>
      <c r="K30" s="154">
        <f>K115*K104+K115/K108*K107*K103</f>
        <v>76.142857142857139</v>
      </c>
    </row>
    <row r="31" spans="1:11" x14ac:dyDescent="0.25">
      <c r="A31" s="235" t="s">
        <v>285</v>
      </c>
      <c r="B31">
        <v>250</v>
      </c>
      <c r="C31" s="332">
        <v>250</v>
      </c>
      <c r="D31" s="332">
        <v>250</v>
      </c>
      <c r="E31" s="332">
        <v>250</v>
      </c>
      <c r="F31" s="332">
        <v>250</v>
      </c>
      <c r="G31" s="332">
        <v>250</v>
      </c>
      <c r="H31" s="332">
        <v>250</v>
      </c>
      <c r="I31" s="332">
        <v>250</v>
      </c>
      <c r="J31" s="154">
        <f>J116*J106+J116/J108*J107*J105</f>
        <v>250</v>
      </c>
      <c r="K31" s="154">
        <f>K116*K106+K116/K108*K107*K105</f>
        <v>271.42857142857144</v>
      </c>
    </row>
    <row r="32" spans="1:11" x14ac:dyDescent="0.25">
      <c r="A32" s="257" t="s">
        <v>250</v>
      </c>
      <c r="B32">
        <v>2</v>
      </c>
      <c r="C32" s="332">
        <v>2</v>
      </c>
      <c r="D32" s="332">
        <v>2</v>
      </c>
      <c r="E32" s="332">
        <v>2</v>
      </c>
      <c r="F32" s="332">
        <v>2</v>
      </c>
      <c r="G32" s="332">
        <v>2</v>
      </c>
      <c r="H32" s="332">
        <v>2</v>
      </c>
      <c r="I32" s="332">
        <v>2</v>
      </c>
      <c r="J32" s="154">
        <f>J117*J96+J117/J108*J107*J95</f>
        <v>4</v>
      </c>
      <c r="K32" s="154">
        <f>K117*K96+K117/K108*K107*K95</f>
        <v>4.7428571428571438</v>
      </c>
    </row>
    <row r="33" spans="1:11" x14ac:dyDescent="0.25">
      <c r="A33" s="257" t="s">
        <v>252</v>
      </c>
      <c r="B33">
        <v>1</v>
      </c>
      <c r="C33" s="332">
        <v>1</v>
      </c>
      <c r="D33" s="332">
        <v>1</v>
      </c>
      <c r="E33" s="332">
        <v>1</v>
      </c>
      <c r="F33" s="332">
        <v>1</v>
      </c>
      <c r="G33" s="332">
        <v>1</v>
      </c>
      <c r="H33" s="332">
        <v>1</v>
      </c>
      <c r="I33" s="332">
        <v>1</v>
      </c>
      <c r="J33" s="154">
        <f>J118*J98+J118/J108*J107*J97</f>
        <v>1</v>
      </c>
      <c r="K33" s="154">
        <f>K118*K98+K118/K108*K107*K97</f>
        <v>1.1714285714285715</v>
      </c>
    </row>
    <row r="34" spans="1:11" ht="15.75" thickBot="1" x14ac:dyDescent="0.3">
      <c r="A34" s="258" t="s">
        <v>254</v>
      </c>
      <c r="B34">
        <v>1</v>
      </c>
      <c r="C34" s="332">
        <v>1</v>
      </c>
      <c r="D34" s="332">
        <v>1</v>
      </c>
      <c r="E34" s="332">
        <v>1</v>
      </c>
      <c r="F34" s="332">
        <v>1</v>
      </c>
      <c r="G34" s="332">
        <v>1</v>
      </c>
      <c r="H34" s="332">
        <v>1</v>
      </c>
      <c r="I34" s="332">
        <v>1</v>
      </c>
      <c r="J34" s="154">
        <f>J119*J100+J119/J108*J107*J99</f>
        <v>1.2000000000000002</v>
      </c>
      <c r="K34" s="154">
        <f>K119*K100+K119/K108*K107*K99</f>
        <v>1.342857142857143</v>
      </c>
    </row>
    <row r="36" spans="1:11" x14ac:dyDescent="0.25">
      <c r="A36" s="276" t="s">
        <v>612</v>
      </c>
      <c r="B36" s="332">
        <v>2006</v>
      </c>
      <c r="C36" s="332">
        <v>2008</v>
      </c>
      <c r="D36" s="332">
        <v>2009</v>
      </c>
      <c r="E36" s="231">
        <v>2011</v>
      </c>
      <c r="F36" s="231">
        <v>2013</v>
      </c>
      <c r="G36" s="231">
        <v>2015</v>
      </c>
      <c r="H36" s="231">
        <v>2017</v>
      </c>
      <c r="I36" s="332">
        <v>2019</v>
      </c>
      <c r="J36" s="231">
        <v>2025</v>
      </c>
      <c r="K36" s="231">
        <v>2030</v>
      </c>
    </row>
    <row r="37" spans="1:11" x14ac:dyDescent="0.25">
      <c r="A37" s="235" t="s">
        <v>241</v>
      </c>
      <c r="B37" s="19">
        <v>1.5</v>
      </c>
      <c r="C37" s="19">
        <v>1.5</v>
      </c>
      <c r="D37" s="19">
        <v>1.5</v>
      </c>
      <c r="E37" s="19">
        <v>1.5</v>
      </c>
      <c r="F37" s="19">
        <v>1.5</v>
      </c>
      <c r="G37" s="19">
        <v>1.5</v>
      </c>
      <c r="H37" s="19">
        <v>1.5</v>
      </c>
      <c r="I37" s="19">
        <v>1.5</v>
      </c>
      <c r="J37" s="757">
        <v>1.5</v>
      </c>
      <c r="K37" s="757">
        <v>1.5</v>
      </c>
    </row>
    <row r="38" spans="1:11" x14ac:dyDescent="0.25">
      <c r="A38" s="235" t="s">
        <v>243</v>
      </c>
      <c r="B38" s="19">
        <v>1.5</v>
      </c>
      <c r="C38" s="19">
        <v>1.5</v>
      </c>
      <c r="D38" s="19">
        <v>1.5</v>
      </c>
      <c r="E38" s="19">
        <v>1.5</v>
      </c>
      <c r="F38" s="19">
        <v>1.5</v>
      </c>
      <c r="G38" s="19">
        <v>1.5</v>
      </c>
      <c r="H38" s="19">
        <v>1.5</v>
      </c>
      <c r="I38" s="19">
        <v>1.5</v>
      </c>
      <c r="J38" s="757">
        <v>1.5</v>
      </c>
      <c r="K38" s="757">
        <v>1.5</v>
      </c>
    </row>
    <row r="39" spans="1:11" x14ac:dyDescent="0.25">
      <c r="A39" s="235" t="s">
        <v>246</v>
      </c>
      <c r="B39" s="19">
        <v>48</v>
      </c>
      <c r="C39" s="19">
        <v>48</v>
      </c>
      <c r="D39" s="19">
        <v>48</v>
      </c>
      <c r="E39" s="19">
        <v>48</v>
      </c>
      <c r="F39" s="19">
        <v>48</v>
      </c>
      <c r="G39" s="19">
        <v>48</v>
      </c>
      <c r="H39" s="19">
        <v>48</v>
      </c>
      <c r="I39" s="19">
        <v>48</v>
      </c>
      <c r="J39" s="757">
        <v>48</v>
      </c>
      <c r="K39" s="757">
        <v>48</v>
      </c>
    </row>
    <row r="40" spans="1:11" x14ac:dyDescent="0.25">
      <c r="A40" s="257" t="s">
        <v>250</v>
      </c>
      <c r="B40" s="19">
        <v>52</v>
      </c>
      <c r="C40" s="19">
        <v>52</v>
      </c>
      <c r="D40" s="19">
        <v>52</v>
      </c>
      <c r="E40" s="19">
        <v>52</v>
      </c>
      <c r="F40" s="19">
        <v>52</v>
      </c>
      <c r="G40" s="19">
        <v>52</v>
      </c>
      <c r="H40" s="19">
        <v>52</v>
      </c>
      <c r="I40" s="19">
        <v>52</v>
      </c>
      <c r="J40" s="757">
        <v>52</v>
      </c>
      <c r="K40" s="757">
        <v>52</v>
      </c>
    </row>
    <row r="41" spans="1:11" x14ac:dyDescent="0.25">
      <c r="A41" s="257" t="s">
        <v>252</v>
      </c>
      <c r="B41" s="19">
        <v>180</v>
      </c>
      <c r="C41" s="19">
        <v>180</v>
      </c>
      <c r="D41" s="19">
        <v>180</v>
      </c>
      <c r="E41" s="19">
        <v>180</v>
      </c>
      <c r="F41" s="19">
        <v>180</v>
      </c>
      <c r="G41" s="19">
        <v>180</v>
      </c>
      <c r="H41" s="19">
        <v>180</v>
      </c>
      <c r="I41" s="19">
        <v>180</v>
      </c>
      <c r="J41" s="757">
        <v>180</v>
      </c>
      <c r="K41" s="757">
        <v>180</v>
      </c>
    </row>
    <row r="42" spans="1:11" ht="15.75" thickBot="1" x14ac:dyDescent="0.3">
      <c r="A42" s="258" t="s">
        <v>254</v>
      </c>
      <c r="B42" s="19">
        <v>180</v>
      </c>
      <c r="C42" s="19">
        <v>180</v>
      </c>
      <c r="D42" s="19">
        <v>180</v>
      </c>
      <c r="E42" s="19">
        <v>180</v>
      </c>
      <c r="F42" s="19">
        <v>180</v>
      </c>
      <c r="G42" s="19">
        <v>180</v>
      </c>
      <c r="H42" s="19">
        <v>180</v>
      </c>
      <c r="I42" s="19">
        <v>180</v>
      </c>
      <c r="J42" s="757">
        <v>180</v>
      </c>
      <c r="K42" s="757">
        <v>180</v>
      </c>
    </row>
    <row r="44" spans="1:11" s="231" customFormat="1" x14ac:dyDescent="0.25">
      <c r="A44" s="276" t="s">
        <v>617</v>
      </c>
      <c r="B44" s="332">
        <v>2006</v>
      </c>
      <c r="C44" s="332">
        <v>2008</v>
      </c>
      <c r="D44" s="332">
        <v>2009</v>
      </c>
      <c r="E44" s="231">
        <v>2011</v>
      </c>
      <c r="F44" s="231">
        <v>2013</v>
      </c>
      <c r="G44" s="231">
        <v>2015</v>
      </c>
      <c r="H44" s="231">
        <v>2017</v>
      </c>
      <c r="I44" s="332">
        <v>2019</v>
      </c>
      <c r="J44" s="231">
        <v>2025</v>
      </c>
      <c r="K44" s="231">
        <v>2030</v>
      </c>
    </row>
    <row r="45" spans="1:11" s="231" customFormat="1" x14ac:dyDescent="0.25">
      <c r="A45" s="235" t="s">
        <v>244</v>
      </c>
      <c r="B45" s="19">
        <v>4</v>
      </c>
      <c r="C45" s="19">
        <v>4</v>
      </c>
      <c r="D45" s="19">
        <v>4</v>
      </c>
      <c r="E45" s="19">
        <v>4</v>
      </c>
      <c r="F45" s="19">
        <v>4</v>
      </c>
      <c r="G45" s="19">
        <v>4</v>
      </c>
      <c r="H45" s="19">
        <v>4</v>
      </c>
      <c r="I45" s="19">
        <v>4</v>
      </c>
      <c r="J45" s="757">
        <v>4</v>
      </c>
      <c r="K45" s="757">
        <v>4</v>
      </c>
    </row>
    <row r="46" spans="1:11" s="231" customFormat="1" x14ac:dyDescent="0.25">
      <c r="A46" s="235" t="s">
        <v>248</v>
      </c>
      <c r="B46" s="19">
        <v>15</v>
      </c>
      <c r="C46" s="19">
        <v>15</v>
      </c>
      <c r="D46" s="19">
        <v>15</v>
      </c>
      <c r="E46" s="19">
        <v>15</v>
      </c>
      <c r="F46" s="19">
        <v>15</v>
      </c>
      <c r="G46" s="19">
        <v>15</v>
      </c>
      <c r="H46" s="19">
        <v>15</v>
      </c>
      <c r="I46" s="19">
        <v>15</v>
      </c>
      <c r="J46" s="757">
        <v>15</v>
      </c>
      <c r="K46" s="757">
        <v>15</v>
      </c>
    </row>
    <row r="47" spans="1:11" s="231" customFormat="1" x14ac:dyDescent="0.25">
      <c r="A47" s="235" t="s">
        <v>285</v>
      </c>
      <c r="B47" s="19">
        <v>4</v>
      </c>
      <c r="C47" s="19">
        <v>4</v>
      </c>
      <c r="D47" s="19">
        <v>4</v>
      </c>
      <c r="E47" s="19">
        <v>4</v>
      </c>
      <c r="F47" s="19">
        <v>4</v>
      </c>
      <c r="G47" s="19">
        <v>4</v>
      </c>
      <c r="H47" s="19">
        <v>4</v>
      </c>
      <c r="I47" s="19">
        <v>4</v>
      </c>
      <c r="J47" s="757">
        <v>4</v>
      </c>
      <c r="K47" s="757">
        <v>4</v>
      </c>
    </row>
    <row r="48" spans="1:11" s="231" customFormat="1" x14ac:dyDescent="0.25">
      <c r="A48" s="257" t="s">
        <v>250</v>
      </c>
      <c r="B48" s="19">
        <v>1000</v>
      </c>
      <c r="C48" s="19">
        <v>1000</v>
      </c>
      <c r="D48" s="19">
        <v>1000</v>
      </c>
      <c r="E48" s="19">
        <v>1000</v>
      </c>
      <c r="F48" s="19">
        <v>1000</v>
      </c>
      <c r="G48" s="19">
        <v>1000</v>
      </c>
      <c r="H48" s="19">
        <v>1000</v>
      </c>
      <c r="I48" s="19">
        <v>1000</v>
      </c>
      <c r="J48" s="757">
        <v>1000</v>
      </c>
      <c r="K48" s="757">
        <v>1000</v>
      </c>
    </row>
    <row r="49" spans="1:14" s="231" customFormat="1" x14ac:dyDescent="0.25">
      <c r="A49" s="257" t="s">
        <v>252</v>
      </c>
      <c r="B49" s="19">
        <v>1000</v>
      </c>
      <c r="C49" s="19">
        <v>1000</v>
      </c>
      <c r="D49" s="19">
        <v>1000</v>
      </c>
      <c r="E49" s="19">
        <v>1000</v>
      </c>
      <c r="F49" s="19">
        <v>1000</v>
      </c>
      <c r="G49" s="19">
        <v>1000</v>
      </c>
      <c r="H49" s="19">
        <v>1000</v>
      </c>
      <c r="I49" s="19">
        <v>1000</v>
      </c>
      <c r="J49" s="757">
        <v>1000</v>
      </c>
      <c r="K49" s="757">
        <v>1000</v>
      </c>
    </row>
    <row r="50" spans="1:14" s="231" customFormat="1" ht="15.75" thickBot="1" x14ac:dyDescent="0.3">
      <c r="A50" s="258" t="s">
        <v>254</v>
      </c>
      <c r="B50" s="19">
        <v>2500</v>
      </c>
      <c r="C50" s="19">
        <v>2500</v>
      </c>
      <c r="D50" s="19">
        <v>2500</v>
      </c>
      <c r="E50" s="19">
        <v>2500</v>
      </c>
      <c r="F50" s="19">
        <v>2500</v>
      </c>
      <c r="G50" s="19">
        <v>2500</v>
      </c>
      <c r="H50" s="19">
        <v>2500</v>
      </c>
      <c r="I50" s="19">
        <v>2500</v>
      </c>
      <c r="J50" s="757">
        <v>2500</v>
      </c>
      <c r="K50" s="757">
        <v>2500</v>
      </c>
    </row>
    <row r="51" spans="1:14" s="231" customFormat="1" x14ac:dyDescent="0.25">
      <c r="C51" s="332"/>
      <c r="D51" s="332"/>
      <c r="I51" s="332"/>
    </row>
    <row r="52" spans="1:14" x14ac:dyDescent="0.25">
      <c r="A52" s="276" t="s">
        <v>619</v>
      </c>
      <c r="B52" s="332">
        <v>2006</v>
      </c>
      <c r="C52" s="332">
        <v>2008</v>
      </c>
      <c r="D52" s="332">
        <v>2009</v>
      </c>
      <c r="E52" s="231">
        <v>2011</v>
      </c>
      <c r="F52" s="231">
        <v>2013</v>
      </c>
      <c r="G52" s="231">
        <v>2015</v>
      </c>
      <c r="H52" s="231">
        <v>2017</v>
      </c>
      <c r="I52" s="332">
        <v>2019</v>
      </c>
      <c r="J52" s="231">
        <v>2025</v>
      </c>
      <c r="K52" s="231">
        <v>2030</v>
      </c>
    </row>
    <row r="53" spans="1:14" x14ac:dyDescent="0.25">
      <c r="A53" s="235" t="s">
        <v>241</v>
      </c>
      <c r="B53" s="154">
        <f>(B3*$B$15*B26*1000*B37)/1000000</f>
        <v>494.67374999999998</v>
      </c>
      <c r="C53" s="154">
        <f t="shared" ref="C53:H53" si="1">(C3*$B$15*C26*1000*C37)/1000000</f>
        <v>435.59775000000002</v>
      </c>
      <c r="D53" s="154">
        <f t="shared" si="1"/>
        <v>444.75749999999999</v>
      </c>
      <c r="E53" s="154">
        <f t="shared" si="1"/>
        <v>391.149</v>
      </c>
      <c r="F53" s="154">
        <f t="shared" si="1"/>
        <v>377.70299999999992</v>
      </c>
      <c r="G53" s="154">
        <f t="shared" si="1"/>
        <v>367.2</v>
      </c>
      <c r="H53" s="154">
        <f t="shared" si="1"/>
        <v>365.43824999999998</v>
      </c>
      <c r="I53" s="154">
        <f t="shared" ref="I53" si="2">(I3*$B$15*I26*1000*I37)/1000000</f>
        <v>365.43824999999998</v>
      </c>
      <c r="J53" s="154">
        <f>J$59*J63</f>
        <v>200.19268856989623</v>
      </c>
      <c r="K53" s="154">
        <f>K$59*K63</f>
        <v>407.70788818576659</v>
      </c>
      <c r="N53">
        <v>1000000</v>
      </c>
    </row>
    <row r="54" spans="1:14" x14ac:dyDescent="0.25">
      <c r="A54" s="235" t="s">
        <v>243</v>
      </c>
      <c r="B54" s="154">
        <f>(B4*$B$16*B27*1000*B38)/1000000</f>
        <v>120.07575</v>
      </c>
      <c r="C54" s="154">
        <f t="shared" ref="C54:H54" si="3">(C4*$B$16*C27*1000*C38)/1000000</f>
        <v>200.691</v>
      </c>
      <c r="D54" s="154">
        <f t="shared" si="3"/>
        <v>174.26474999999999</v>
      </c>
      <c r="E54" s="154">
        <f t="shared" si="3"/>
        <v>212.83425</v>
      </c>
      <c r="F54" s="154">
        <f t="shared" si="3"/>
        <v>238.95000000000005</v>
      </c>
      <c r="G54" s="154">
        <f t="shared" si="3"/>
        <v>263.25</v>
      </c>
      <c r="H54" s="154">
        <f t="shared" si="3"/>
        <v>277.61399999999998</v>
      </c>
      <c r="I54" s="154">
        <f t="shared" ref="I54" si="4">(I4*$B$16*I27*1000*I38)/1000000</f>
        <v>277.61399999999998</v>
      </c>
      <c r="J54" s="154">
        <f t="shared" ref="J54:K58" si="5">J$59*J64</f>
        <v>200.19268856989623</v>
      </c>
      <c r="K54" s="154">
        <f t="shared" si="5"/>
        <v>309.72515239114517</v>
      </c>
    </row>
    <row r="55" spans="1:14" x14ac:dyDescent="0.25">
      <c r="A55" s="235" t="s">
        <v>246</v>
      </c>
      <c r="B55" s="154">
        <f>(B6*$B$18*B29*B39*1000)/1000000</f>
        <v>73.727999999999994</v>
      </c>
      <c r="C55" s="154">
        <f t="shared" ref="C55:H55" si="6">(C6*$B$18*C29*C39*1000)/1000000</f>
        <v>74.004479999999987</v>
      </c>
      <c r="D55" s="154">
        <f t="shared" si="6"/>
        <v>56.54016</v>
      </c>
      <c r="E55" s="154">
        <f t="shared" si="6"/>
        <v>82.437119999999993</v>
      </c>
      <c r="F55" s="154">
        <f t="shared" si="6"/>
        <v>122.06592000000001</v>
      </c>
      <c r="G55" s="154">
        <f t="shared" si="6"/>
        <v>133.77023999999997</v>
      </c>
      <c r="H55" s="154">
        <f t="shared" si="6"/>
        <v>226.25280000000004</v>
      </c>
      <c r="I55" s="154">
        <f t="shared" ref="I55" si="7">(I6*$B$18*I29*I39*1000)/1000000</f>
        <v>226.25280000000004</v>
      </c>
      <c r="J55" s="154">
        <f t="shared" si="5"/>
        <v>522.39945045441777</v>
      </c>
      <c r="K55" s="154">
        <f t="shared" si="5"/>
        <v>252.42308730439859</v>
      </c>
    </row>
    <row r="56" spans="1:14" x14ac:dyDescent="0.25">
      <c r="A56" s="257" t="s">
        <v>250</v>
      </c>
      <c r="B56" s="154">
        <f>(B9*$B$21*B32*B40*1000)/1000000</f>
        <v>2.6020799999999999</v>
      </c>
      <c r="C56" s="154">
        <f t="shared" ref="C56:H56" si="8">(C9*$B$21*C32*C40*1000)/1000000</f>
        <v>2.7050399999999999</v>
      </c>
      <c r="D56" s="154">
        <f t="shared" si="8"/>
        <v>2.6207999999999996</v>
      </c>
      <c r="E56" s="154">
        <f t="shared" si="8"/>
        <v>2.84544</v>
      </c>
      <c r="F56" s="154">
        <f t="shared" si="8"/>
        <v>2.8180240381106869</v>
      </c>
      <c r="G56" s="154">
        <f t="shared" si="8"/>
        <v>2.8180240381106869</v>
      </c>
      <c r="H56" s="154">
        <f t="shared" si="8"/>
        <v>2.7303120000000005</v>
      </c>
      <c r="I56" s="154">
        <f t="shared" ref="I56" si="9">(I9*$B$21*I32*I40*1000)/1000000</f>
        <v>2.7303120000000005</v>
      </c>
      <c r="J56" s="154">
        <f t="shared" si="5"/>
        <v>2.8982812054277187</v>
      </c>
      <c r="K56" s="154">
        <f t="shared" si="5"/>
        <v>3.0461226749204746</v>
      </c>
    </row>
    <row r="57" spans="1:14" x14ac:dyDescent="0.25">
      <c r="A57" s="257" t="s">
        <v>252</v>
      </c>
      <c r="B57" s="154">
        <f>(B10*$B$22*B33*B41*1000)/1000000</f>
        <v>60.431399999999989</v>
      </c>
      <c r="C57" s="154">
        <f t="shared" ref="C57:I57" si="10">(C10*$B$22*C33*C41*1000)/1000000</f>
        <v>61.56</v>
      </c>
      <c r="D57" s="154">
        <f t="shared" si="10"/>
        <v>54.548999999999999</v>
      </c>
      <c r="E57" s="154">
        <f t="shared" si="10"/>
        <v>58.926600000000001</v>
      </c>
      <c r="F57" s="154">
        <f t="shared" si="10"/>
        <v>57.430506083341598</v>
      </c>
      <c r="G57" s="154">
        <f t="shared" si="10"/>
        <v>59.696100000000001</v>
      </c>
      <c r="H57" s="154">
        <f t="shared" si="10"/>
        <v>65.968379999999996</v>
      </c>
      <c r="I57" s="154">
        <f t="shared" si="10"/>
        <v>65.968379999999996</v>
      </c>
      <c r="J57" s="154">
        <f t="shared" si="5"/>
        <v>70.026764672504001</v>
      </c>
      <c r="K57" s="154">
        <f t="shared" si="5"/>
        <v>73.598833446789342</v>
      </c>
    </row>
    <row r="58" spans="1:14" ht="15.75" thickBot="1" x14ac:dyDescent="0.3">
      <c r="A58" s="258" t="s">
        <v>254</v>
      </c>
      <c r="B58" s="154">
        <f>(B11*$B$23*B34*B42*1000)/1000000</f>
        <v>5.9309999999999992</v>
      </c>
      <c r="C58" s="154">
        <f t="shared" ref="C58:H58" si="11">(C11*$B$23*C34*C42*1000)/1000000</f>
        <v>6.5970000000000004</v>
      </c>
      <c r="D58" s="154">
        <f t="shared" si="11"/>
        <v>6.1110000000000007</v>
      </c>
      <c r="E58" s="154">
        <f t="shared" si="11"/>
        <v>5.1749999999999998</v>
      </c>
      <c r="F58" s="154">
        <f t="shared" si="11"/>
        <v>5.092278308251057</v>
      </c>
      <c r="G58" s="154">
        <f t="shared" si="11"/>
        <v>4.5540000000000003</v>
      </c>
      <c r="H58" s="154">
        <f t="shared" si="11"/>
        <v>4.9490999999999996</v>
      </c>
      <c r="I58" s="154">
        <f t="shared" ref="I58" si="12">(I11*$B$23*I34*I42*1000)/1000000</f>
        <v>4.9490999999999996</v>
      </c>
      <c r="J58" s="154">
        <f t="shared" si="5"/>
        <v>5.2535693773394092</v>
      </c>
      <c r="K58" s="154">
        <f t="shared" si="5"/>
        <v>5.5215542144813172</v>
      </c>
    </row>
    <row r="59" spans="1:14" s="231" customFormat="1" x14ac:dyDescent="0.25">
      <c r="A59" s="275" t="s">
        <v>614</v>
      </c>
      <c r="B59" s="154">
        <f>SUM(B53:B58)</f>
        <v>757.44197999999994</v>
      </c>
      <c r="C59" s="154">
        <f t="shared" ref="C59:D59" si="13">SUM(C53:C58)</f>
        <v>781.15526999999997</v>
      </c>
      <c r="D59" s="154">
        <f t="shared" si="13"/>
        <v>738.84321</v>
      </c>
      <c r="E59" s="154">
        <f t="shared" ref="E59:H59" si="14">SUM(E53:E58)</f>
        <v>753.36741000000006</v>
      </c>
      <c r="F59" s="154">
        <f t="shared" si="14"/>
        <v>804.05972842970334</v>
      </c>
      <c r="G59" s="154">
        <f t="shared" si="14"/>
        <v>831.28836403811067</v>
      </c>
      <c r="H59" s="154">
        <f t="shared" si="14"/>
        <v>942.95284200000003</v>
      </c>
      <c r="I59" s="154">
        <f t="shared" ref="I59" si="15">SUM(I53:I58)</f>
        <v>942.95284200000003</v>
      </c>
      <c r="J59" s="154">
        <f>I59*(1+J60)^(J52-I52)</f>
        <v>1000.9634428494811</v>
      </c>
      <c r="K59" s="154">
        <f>I59*(1+K60)^(K52-I52)</f>
        <v>1052.0226382175015</v>
      </c>
    </row>
    <row r="60" spans="1:14" s="332" customFormat="1" x14ac:dyDescent="0.25">
      <c r="A60" s="275" t="s">
        <v>808</v>
      </c>
      <c r="B60" s="154"/>
      <c r="C60" s="331">
        <f>(C59-B59)/B59/(C52-B52)</f>
        <v>1.5653535601499159E-2</v>
      </c>
      <c r="D60" s="331">
        <f t="shared" ref="D60:I60" si="16">(D59-C59)/C59/(D52-C52)</f>
        <v>-5.4166004666396192E-2</v>
      </c>
      <c r="E60" s="331">
        <f t="shared" si="16"/>
        <v>9.82901365500812E-3</v>
      </c>
      <c r="F60" s="331">
        <f t="shared" si="16"/>
        <v>3.3643822228587826E-2</v>
      </c>
      <c r="G60" s="331">
        <f t="shared" si="16"/>
        <v>1.6931973238843694E-2</v>
      </c>
      <c r="H60" s="331">
        <f t="shared" si="16"/>
        <v>6.7163503540132591E-2</v>
      </c>
      <c r="I60" s="331">
        <f t="shared" si="16"/>
        <v>0</v>
      </c>
      <c r="J60" s="755">
        <v>0.01</v>
      </c>
      <c r="K60" s="755">
        <v>0.01</v>
      </c>
    </row>
    <row r="62" spans="1:14" s="231" customFormat="1" x14ac:dyDescent="0.25">
      <c r="A62" s="276" t="s">
        <v>615</v>
      </c>
      <c r="B62" s="332">
        <v>2006</v>
      </c>
      <c r="C62" s="332">
        <v>2008</v>
      </c>
      <c r="D62" s="332">
        <v>2009</v>
      </c>
      <c r="E62" s="231">
        <v>2011</v>
      </c>
      <c r="F62" s="231">
        <v>2013</v>
      </c>
      <c r="G62" s="231">
        <v>2015</v>
      </c>
      <c r="H62" s="231">
        <v>2017</v>
      </c>
      <c r="I62" s="332">
        <v>2019</v>
      </c>
      <c r="J62" s="231">
        <v>2025</v>
      </c>
      <c r="K62" s="231">
        <v>2030</v>
      </c>
    </row>
    <row r="63" spans="1:14" s="231" customFormat="1" x14ac:dyDescent="0.25">
      <c r="A63" s="235" t="s">
        <v>241</v>
      </c>
      <c r="B63" s="232">
        <f>B53/IF(B59=0,1,B59)</f>
        <v>0.65308467587180741</v>
      </c>
      <c r="C63" s="232">
        <f t="shared" ref="C63:H63" si="17">C53/IF(C59=0,1,C59)</f>
        <v>0.55763273542275404</v>
      </c>
      <c r="D63" s="232">
        <f t="shared" si="17"/>
        <v>0.60196465769780838</v>
      </c>
      <c r="E63" s="232">
        <f t="shared" si="17"/>
        <v>0.51920085048542242</v>
      </c>
      <c r="F63" s="232">
        <f t="shared" si="17"/>
        <v>0.46974495382033227</v>
      </c>
      <c r="G63" s="232">
        <f t="shared" si="17"/>
        <v>0.44172397435742961</v>
      </c>
      <c r="H63" s="232">
        <f t="shared" si="17"/>
        <v>0.38754668709084816</v>
      </c>
      <c r="I63" s="232">
        <f t="shared" ref="I63" si="18">I53/IF(I59=0,1,I59)</f>
        <v>0.38754668709084816</v>
      </c>
      <c r="J63" s="755">
        <v>0.2</v>
      </c>
      <c r="K63" s="755">
        <v>0.38754668709084816</v>
      </c>
    </row>
    <row r="64" spans="1:14" s="231" customFormat="1" x14ac:dyDescent="0.25">
      <c r="A64" s="235" t="s">
        <v>243</v>
      </c>
      <c r="B64" s="232">
        <f>B54/IF(B$59=0,1,B$59)</f>
        <v>0.15852798388597369</v>
      </c>
      <c r="C64" s="232">
        <f t="shared" ref="C64:H64" si="19">C54/IF(C$59=0,1,C$59)</f>
        <v>0.25691563215082708</v>
      </c>
      <c r="D64" s="232">
        <f t="shared" si="19"/>
        <v>0.23586161128827318</v>
      </c>
      <c r="E64" s="232">
        <f t="shared" si="19"/>
        <v>0.28251056148022113</v>
      </c>
      <c r="F64" s="232">
        <f t="shared" si="19"/>
        <v>0.29717941534848397</v>
      </c>
      <c r="G64" s="232">
        <f t="shared" si="19"/>
        <v>0.31667711396948078</v>
      </c>
      <c r="H64" s="232">
        <f t="shared" si="19"/>
        <v>0.29440920864205844</v>
      </c>
      <c r="I64" s="232">
        <f t="shared" ref="I64" si="20">I54/IF(I$59=0,1,I$59)</f>
        <v>0.29440920864205844</v>
      </c>
      <c r="J64" s="755">
        <v>0.2</v>
      </c>
      <c r="K64" s="755">
        <v>0.29440920864205844</v>
      </c>
    </row>
    <row r="65" spans="1:11" s="231" customFormat="1" x14ac:dyDescent="0.25">
      <c r="A65" s="235" t="s">
        <v>246</v>
      </c>
      <c r="B65" s="232">
        <f>B55/IF(B$59=0,1,B$59)</f>
        <v>9.7338148593242746E-2</v>
      </c>
      <c r="C65" s="232">
        <f t="shared" ref="C65:H65" si="21">C55/IF(C$59=0,1,C$59)</f>
        <v>9.4737221704975491E-2</v>
      </c>
      <c r="D65" s="232">
        <f t="shared" si="21"/>
        <v>7.652524816462751E-2</v>
      </c>
      <c r="E65" s="232">
        <f t="shared" si="21"/>
        <v>0.1094248555296545</v>
      </c>
      <c r="F65" s="232">
        <f t="shared" si="21"/>
        <v>0.15181200560608835</v>
      </c>
      <c r="G65" s="232">
        <f t="shared" si="21"/>
        <v>0.16091917773297165</v>
      </c>
      <c r="H65" s="232">
        <f t="shared" si="21"/>
        <v>0.23994073714239894</v>
      </c>
      <c r="I65" s="232">
        <f t="shared" ref="I65" si="22">I55/IF(I$59=0,1,I$59)</f>
        <v>0.23994073714239894</v>
      </c>
      <c r="J65" s="759">
        <f>1-J63-J64-J66-J67-J68</f>
        <v>0.52189663287530574</v>
      </c>
      <c r="K65" s="759">
        <f>1-K63-K64-K66-K67-K68</f>
        <v>0.23994073714239894</v>
      </c>
    </row>
    <row r="66" spans="1:11" s="231" customFormat="1" x14ac:dyDescent="0.25">
      <c r="A66" s="257" t="s">
        <v>250</v>
      </c>
      <c r="B66" s="232">
        <f>B56/IF(B$59=0,1,B$59)</f>
        <v>3.435352236484173E-3</v>
      </c>
      <c r="C66" s="232">
        <f t="shared" ref="C66:H66" si="23">C56/IF(C$59=0,1,C$59)</f>
        <v>3.4628710883560961E-3</v>
      </c>
      <c r="D66" s="232">
        <f t="shared" si="23"/>
        <v>3.5471666579977093E-3</v>
      </c>
      <c r="E66" s="232">
        <f t="shared" si="23"/>
        <v>3.7769618943298859E-3</v>
      </c>
      <c r="F66" s="232">
        <f t="shared" si="23"/>
        <v>3.5047446582285322E-3</v>
      </c>
      <c r="G66" s="232">
        <f t="shared" si="23"/>
        <v>3.3899476523666264E-3</v>
      </c>
      <c r="H66" s="232">
        <f t="shared" si="23"/>
        <v>2.8954915647838946E-3</v>
      </c>
      <c r="I66" s="232">
        <f t="shared" ref="I66" si="24">I56/IF(I$59=0,1,I$59)</f>
        <v>2.8954915647838946E-3</v>
      </c>
      <c r="J66" s="755">
        <v>2.8954915647838946E-3</v>
      </c>
      <c r="K66" s="755">
        <v>2.8954915647838946E-3</v>
      </c>
    </row>
    <row r="67" spans="1:11" s="231" customFormat="1" x14ac:dyDescent="0.25">
      <c r="A67" s="257" t="s">
        <v>252</v>
      </c>
      <c r="B67" s="232">
        <f>B57/IF(B$59=0,1,B$59)</f>
        <v>7.9783536687522916E-2</v>
      </c>
      <c r="C67" s="232">
        <f t="shared" ref="C67:H67" si="25">C57/IF(C$59=0,1,C$59)</f>
        <v>7.8806355617366569E-2</v>
      </c>
      <c r="D67" s="232">
        <f t="shared" si="25"/>
        <v>7.3830278551250406E-2</v>
      </c>
      <c r="E67" s="232">
        <f t="shared" si="25"/>
        <v>7.8217612306855686E-2</v>
      </c>
      <c r="F67" s="232">
        <f t="shared" si="25"/>
        <v>7.1425671567336285E-2</v>
      </c>
      <c r="G67" s="232">
        <f t="shared" si="25"/>
        <v>7.1811542880279286E-2</v>
      </c>
      <c r="H67" s="232">
        <f t="shared" si="25"/>
        <v>6.9959362824636356E-2</v>
      </c>
      <c r="I67" s="232">
        <f t="shared" ref="I67" si="26">I57/IF(I$59=0,1,I$59)</f>
        <v>6.9959362824636356E-2</v>
      </c>
      <c r="J67" s="755">
        <v>6.9959362824636356E-2</v>
      </c>
      <c r="K67" s="755">
        <v>6.9959362824636356E-2</v>
      </c>
    </row>
    <row r="68" spans="1:11" s="231" customFormat="1" ht="15.75" thickBot="1" x14ac:dyDescent="0.3">
      <c r="A68" s="258" t="s">
        <v>254</v>
      </c>
      <c r="B68" s="232">
        <f>B58/IF(B$59=0,1,B$59)</f>
        <v>7.8303027249691116E-3</v>
      </c>
      <c r="C68" s="232">
        <f t="shared" ref="C68:H68" si="27">C58/IF(C$59=0,1,C$59)</f>
        <v>8.4451840157207161E-3</v>
      </c>
      <c r="D68" s="232">
        <f t="shared" si="27"/>
        <v>8.2710376400427377E-3</v>
      </c>
      <c r="E68" s="232">
        <f t="shared" si="27"/>
        <v>6.869158303516208E-3</v>
      </c>
      <c r="F68" s="232">
        <f t="shared" si="27"/>
        <v>6.3332089995305121E-3</v>
      </c>
      <c r="G68" s="232">
        <f t="shared" si="27"/>
        <v>5.4782434074720438E-3</v>
      </c>
      <c r="H68" s="232">
        <f t="shared" si="27"/>
        <v>5.2485127352741986E-3</v>
      </c>
      <c r="I68" s="232">
        <f t="shared" ref="I68" si="28">I58/IF(I$59=0,1,I$59)</f>
        <v>5.2485127352741986E-3</v>
      </c>
      <c r="J68" s="755">
        <v>5.2485127352741986E-3</v>
      </c>
      <c r="K68" s="755">
        <v>5.2485127352741986E-3</v>
      </c>
    </row>
    <row r="69" spans="1:11" s="231" customFormat="1" x14ac:dyDescent="0.25">
      <c r="A69" s="275" t="s">
        <v>614</v>
      </c>
      <c r="B69" s="232">
        <f>SUM(B63:B68)</f>
        <v>1</v>
      </c>
      <c r="C69" s="232">
        <f t="shared" ref="C69:I69" si="29">SUM(C63:C68)</f>
        <v>1</v>
      </c>
      <c r="D69" s="232">
        <f t="shared" si="29"/>
        <v>1</v>
      </c>
      <c r="E69" s="232">
        <f t="shared" si="29"/>
        <v>0.99999999999999978</v>
      </c>
      <c r="F69" s="232">
        <f t="shared" si="29"/>
        <v>0.99999999999999989</v>
      </c>
      <c r="G69" s="232">
        <f t="shared" si="29"/>
        <v>1</v>
      </c>
      <c r="H69" s="232">
        <f t="shared" si="29"/>
        <v>0.99999999999999989</v>
      </c>
      <c r="I69" s="232">
        <f t="shared" si="29"/>
        <v>0.99999999999999989</v>
      </c>
      <c r="J69" s="232">
        <f t="shared" ref="J69" si="30">SUM(J63:J68)</f>
        <v>1.0000000000000002</v>
      </c>
      <c r="K69" s="232">
        <f t="shared" ref="K69" si="31">SUM(K63:K68)</f>
        <v>0.99999999999999989</v>
      </c>
    </row>
    <row r="70" spans="1:11" s="231" customFormat="1" x14ac:dyDescent="0.25">
      <c r="A70" s="276"/>
      <c r="C70" s="332"/>
      <c r="D70" s="332"/>
      <c r="I70" s="332"/>
    </row>
    <row r="71" spans="1:11" x14ac:dyDescent="0.25">
      <c r="A71" s="276" t="s">
        <v>620</v>
      </c>
      <c r="B71" s="332">
        <v>2006</v>
      </c>
      <c r="C71" s="332">
        <v>2008</v>
      </c>
      <c r="D71" s="332">
        <v>2009</v>
      </c>
      <c r="E71" s="231">
        <v>2011</v>
      </c>
      <c r="F71" s="231">
        <v>2013</v>
      </c>
      <c r="G71" s="231">
        <v>2015</v>
      </c>
      <c r="H71" s="231">
        <v>2017</v>
      </c>
      <c r="I71" s="332">
        <v>2019</v>
      </c>
      <c r="J71" s="231">
        <v>2025</v>
      </c>
      <c r="K71" s="231">
        <v>2030</v>
      </c>
    </row>
    <row r="72" spans="1:11" x14ac:dyDescent="0.25">
      <c r="A72" s="235" t="s">
        <v>244</v>
      </c>
      <c r="B72" s="754">
        <f>(B5*$C$17*B28*1000*B45)/1000000</f>
        <v>186</v>
      </c>
      <c r="C72" s="754">
        <f t="shared" ref="C72:H72" si="32">(C5*$C$17*C28*1000*C45)/1000000</f>
        <v>174.13</v>
      </c>
      <c r="D72" s="754">
        <f t="shared" si="32"/>
        <v>197.51</v>
      </c>
      <c r="E72" s="754">
        <f t="shared" si="32"/>
        <v>198.12299999999999</v>
      </c>
      <c r="F72" s="754">
        <f t="shared" si="32"/>
        <v>160.85000000000002</v>
      </c>
      <c r="G72" s="754">
        <f t="shared" si="32"/>
        <v>163.52000000000001</v>
      </c>
      <c r="H72" s="754">
        <f t="shared" si="32"/>
        <v>170.73</v>
      </c>
      <c r="I72" s="754">
        <f t="shared" ref="I72" si="33">(I5*$C$17*I28*1000*I45)/1000000</f>
        <v>170.73</v>
      </c>
      <c r="J72" s="754">
        <f>J$78*J82</f>
        <v>181.23333531210875</v>
      </c>
      <c r="K72" s="754">
        <f>K$78*K82</f>
        <v>190.47805682616948</v>
      </c>
    </row>
    <row r="73" spans="1:11" x14ac:dyDescent="0.25">
      <c r="A73" s="235" t="s">
        <v>248</v>
      </c>
      <c r="B73" s="754">
        <f>(B7*$C$19*B30*1000*B46)/1000000</f>
        <v>426.32849999999996</v>
      </c>
      <c r="C73" s="754">
        <f t="shared" ref="C73:H73" si="34">(C7*$C$19*C30*1000*C46)/1000000</f>
        <v>353.0865</v>
      </c>
      <c r="D73" s="754">
        <f t="shared" si="34"/>
        <v>360.64274999999992</v>
      </c>
      <c r="E73" s="754">
        <f t="shared" si="34"/>
        <v>347.45100000000002</v>
      </c>
      <c r="F73" s="754">
        <f t="shared" si="34"/>
        <v>293.91374999999994</v>
      </c>
      <c r="G73" s="754">
        <f t="shared" si="34"/>
        <v>312</v>
      </c>
      <c r="H73" s="754">
        <f t="shared" si="34"/>
        <v>322.43250000000006</v>
      </c>
      <c r="I73" s="754">
        <f t="shared" ref="I73" si="35">(I7*$C$19*I30*1000*I46)/1000000</f>
        <v>322.43250000000006</v>
      </c>
      <c r="J73" s="754">
        <f t="shared" ref="J73:K77" si="36">J$78*J83</f>
        <v>342.26859595865687</v>
      </c>
      <c r="K73" s="754">
        <f t="shared" si="36"/>
        <v>359.72773418616458</v>
      </c>
    </row>
    <row r="74" spans="1:11" x14ac:dyDescent="0.25">
      <c r="A74" s="235" t="s">
        <v>285</v>
      </c>
      <c r="B74" s="754">
        <f>(B8*$C$20*B31*1000*B47)/1000000</f>
        <v>30.5</v>
      </c>
      <c r="C74" s="754">
        <f t="shared" ref="C74:H74" si="37">(C8*$C$20*C31*1000*C47)/1000000</f>
        <v>36.4</v>
      </c>
      <c r="D74" s="754">
        <f t="shared" si="37"/>
        <v>36.399999999999991</v>
      </c>
      <c r="E74" s="754">
        <f t="shared" si="37"/>
        <v>36.1</v>
      </c>
      <c r="F74" s="754">
        <f t="shared" si="37"/>
        <v>37.601499644211493</v>
      </c>
      <c r="G74" s="754">
        <f t="shared" si="37"/>
        <v>36.1</v>
      </c>
      <c r="H74" s="754">
        <f t="shared" si="37"/>
        <v>34.909999999999997</v>
      </c>
      <c r="I74" s="754">
        <f t="shared" ref="I74" si="38">(I8*$C$20*I31*1000*I47)/1000000</f>
        <v>34.909999999999997</v>
      </c>
      <c r="J74" s="754">
        <f t="shared" si="36"/>
        <v>37.057668457480908</v>
      </c>
      <c r="K74" s="754">
        <f t="shared" si="36"/>
        <v>38.947981982086191</v>
      </c>
    </row>
    <row r="75" spans="1:11" x14ac:dyDescent="0.25">
      <c r="A75" s="257" t="s">
        <v>250</v>
      </c>
      <c r="B75" s="754">
        <f>(B9*$C$21*B32*1000*B48)/1000000</f>
        <v>5.5600000000000005</v>
      </c>
      <c r="C75" s="754">
        <f t="shared" ref="C75:H75" si="39">(C9*$C$21*C32*1000*C48)/1000000</f>
        <v>5.78</v>
      </c>
      <c r="D75" s="754">
        <f t="shared" si="39"/>
        <v>5.6000000000000005</v>
      </c>
      <c r="E75" s="754">
        <f t="shared" si="39"/>
        <v>6.08</v>
      </c>
      <c r="F75" s="754">
        <f t="shared" si="39"/>
        <v>6.0214188848518946</v>
      </c>
      <c r="G75" s="754">
        <f t="shared" si="39"/>
        <v>6.0214188848518946</v>
      </c>
      <c r="H75" s="754">
        <f t="shared" si="39"/>
        <v>5.8340000000000005</v>
      </c>
      <c r="I75" s="754">
        <f t="shared" ref="I75" si="40">(I9*$C$21*I32*1000*I48)/1000000</f>
        <v>5.8340000000000005</v>
      </c>
      <c r="J75" s="754">
        <f t="shared" si="36"/>
        <v>6.192908558606236</v>
      </c>
      <c r="K75" s="754">
        <f t="shared" si="36"/>
        <v>6.5088091344454577</v>
      </c>
    </row>
    <row r="76" spans="1:11" x14ac:dyDescent="0.25">
      <c r="A76" s="257" t="s">
        <v>252</v>
      </c>
      <c r="B76" s="754">
        <f>(B10*$C$22*B33*1000*B49)/1000000</f>
        <v>17.669999999999995</v>
      </c>
      <c r="C76" s="754">
        <f t="shared" ref="C76:H76" si="41">(C10*$C$22*C33*1000*C49)/1000000</f>
        <v>18</v>
      </c>
      <c r="D76" s="754">
        <f t="shared" si="41"/>
        <v>15.950000000000001</v>
      </c>
      <c r="E76" s="754">
        <f t="shared" si="41"/>
        <v>17.23</v>
      </c>
      <c r="F76" s="754">
        <f t="shared" si="41"/>
        <v>16.792545638403976</v>
      </c>
      <c r="G76" s="754">
        <f t="shared" si="41"/>
        <v>17.455000000000005</v>
      </c>
      <c r="H76" s="754">
        <f t="shared" si="41"/>
        <v>19.289000000000001</v>
      </c>
      <c r="I76" s="754">
        <f t="shared" ref="I76" si="42">(I10*$C$22*I33*1000*I49)/1000000</f>
        <v>19.289000000000001</v>
      </c>
      <c r="J76" s="754">
        <f t="shared" si="36"/>
        <v>20.475662184942692</v>
      </c>
      <c r="K76" s="754">
        <f t="shared" si="36"/>
        <v>21.52012673882729</v>
      </c>
    </row>
    <row r="77" spans="1:11" ht="15.75" thickBot="1" x14ac:dyDescent="0.3">
      <c r="A77" s="258" t="s">
        <v>254</v>
      </c>
      <c r="B77" s="754">
        <f>(B11*$C$23*B34*1000*B50)/1000000</f>
        <v>82.374999999999986</v>
      </c>
      <c r="C77" s="754">
        <f t="shared" ref="C77:H77" si="43">(C11*$C$23*C34*1000*C50)/1000000</f>
        <v>91.625</v>
      </c>
      <c r="D77" s="754">
        <f t="shared" si="43"/>
        <v>84.875</v>
      </c>
      <c r="E77" s="754">
        <f t="shared" si="43"/>
        <v>71.875</v>
      </c>
      <c r="F77" s="754">
        <f t="shared" si="43"/>
        <v>70.726087614598001</v>
      </c>
      <c r="G77" s="754">
        <f t="shared" si="43"/>
        <v>63.25</v>
      </c>
      <c r="H77" s="754">
        <f t="shared" si="43"/>
        <v>68.737499999999997</v>
      </c>
      <c r="I77" s="754">
        <f t="shared" ref="I77" si="44">(I11*$C$23*I34*1000*I50)/1000000</f>
        <v>68.737499999999997</v>
      </c>
      <c r="J77" s="754">
        <f t="shared" si="36"/>
        <v>72.966241351936247</v>
      </c>
      <c r="K77" s="754">
        <f t="shared" si="36"/>
        <v>76.688252978907187</v>
      </c>
    </row>
    <row r="78" spans="1:11" x14ac:dyDescent="0.25">
      <c r="A78" s="277" t="s">
        <v>616</v>
      </c>
      <c r="B78" s="154">
        <f>SUM(B72:B77)</f>
        <v>748.43349999999987</v>
      </c>
      <c r="C78" s="154">
        <f t="shared" ref="C78:I78" si="45">SUM(C72:C77)</f>
        <v>679.02149999999995</v>
      </c>
      <c r="D78" s="154">
        <f t="shared" si="45"/>
        <v>700.97775000000001</v>
      </c>
      <c r="E78" s="154">
        <f t="shared" si="45"/>
        <v>676.85900000000015</v>
      </c>
      <c r="F78" s="154">
        <f t="shared" si="45"/>
        <v>585.90530178206529</v>
      </c>
      <c r="G78" s="154">
        <f t="shared" si="45"/>
        <v>598.34641888485191</v>
      </c>
      <c r="H78" s="154">
        <f t="shared" si="45"/>
        <v>621.93299999999988</v>
      </c>
      <c r="I78" s="154">
        <f t="shared" si="45"/>
        <v>621.93299999999988</v>
      </c>
      <c r="J78" s="154">
        <f>I78*(1+J79)^(J71-I71)</f>
        <v>660.19441182373168</v>
      </c>
      <c r="K78" s="154">
        <f>I78*(1+K79)^(K71-I71)</f>
        <v>693.87096184660015</v>
      </c>
    </row>
    <row r="79" spans="1:11" x14ac:dyDescent="0.25">
      <c r="A79" s="277" t="s">
        <v>808</v>
      </c>
      <c r="B79" s="331"/>
      <c r="C79" s="331">
        <f>(C78-B78)/B78/(C71-B71)</f>
        <v>-4.6371521317525158E-2</v>
      </c>
      <c r="D79" s="331">
        <f t="shared" ref="D79:I79" si="46">(D78-C78)/C78/(D71-C71)</f>
        <v>3.2335132245444466E-2</v>
      </c>
      <c r="E79" s="331">
        <f t="shared" si="46"/>
        <v>-1.720364876060607E-2</v>
      </c>
      <c r="F79" s="331">
        <f t="shared" si="46"/>
        <v>-6.7188068872493997E-2</v>
      </c>
      <c r="G79" s="331">
        <f t="shared" si="46"/>
        <v>1.0617003349300847E-2</v>
      </c>
      <c r="H79" s="331">
        <f t="shared" si="46"/>
        <v>1.9709803861704952E-2</v>
      </c>
      <c r="I79" s="331">
        <f t="shared" si="46"/>
        <v>0</v>
      </c>
      <c r="J79" s="756">
        <v>0.01</v>
      </c>
      <c r="K79" s="756">
        <v>0.01</v>
      </c>
    </row>
    <row r="80" spans="1:11" s="332" customFormat="1" x14ac:dyDescent="0.25"/>
    <row r="81" spans="1:11" x14ac:dyDescent="0.25">
      <c r="A81" s="276" t="s">
        <v>618</v>
      </c>
      <c r="B81" s="332">
        <v>2006</v>
      </c>
      <c r="C81" s="332">
        <v>2008</v>
      </c>
      <c r="D81" s="332">
        <v>2009</v>
      </c>
      <c r="E81" s="231">
        <v>2011</v>
      </c>
      <c r="F81" s="231">
        <v>2013</v>
      </c>
      <c r="G81" s="231">
        <v>2015</v>
      </c>
      <c r="H81" s="231">
        <v>2017</v>
      </c>
      <c r="I81" s="332">
        <v>2019</v>
      </c>
      <c r="J81" s="231">
        <v>2025</v>
      </c>
      <c r="K81" s="231">
        <v>2030</v>
      </c>
    </row>
    <row r="82" spans="1:11" x14ac:dyDescent="0.25">
      <c r="A82" s="235" t="s">
        <v>244</v>
      </c>
      <c r="B82" s="232">
        <f t="shared" ref="B82:B87" si="47">B72/IF(B$78=0,1,B$78)</f>
        <v>0.24851907350486052</v>
      </c>
      <c r="C82" s="232">
        <f t="shared" ref="C82:H82" si="48">C72/IF(C$78=0,1,C$78)</f>
        <v>0.25644254268826538</v>
      </c>
      <c r="D82" s="232">
        <f t="shared" si="48"/>
        <v>0.28176357951447101</v>
      </c>
      <c r="E82" s="232">
        <f t="shared" si="48"/>
        <v>0.29270941215230933</v>
      </c>
      <c r="F82" s="232">
        <f t="shared" si="48"/>
        <v>0.27453241933596662</v>
      </c>
      <c r="G82" s="232">
        <f t="shared" si="48"/>
        <v>0.27328650233213553</v>
      </c>
      <c r="H82" s="232">
        <f t="shared" si="48"/>
        <v>0.27451510050117944</v>
      </c>
      <c r="I82" s="232">
        <f t="shared" ref="I82" si="49">I72/IF(I$78=0,1,I$78)</f>
        <v>0.27451510050117944</v>
      </c>
      <c r="J82" s="755">
        <v>0.27451510050117944</v>
      </c>
      <c r="K82" s="755">
        <v>0.27451510050117944</v>
      </c>
    </row>
    <row r="83" spans="1:11" x14ac:dyDescent="0.25">
      <c r="A83" s="235" t="s">
        <v>248</v>
      </c>
      <c r="B83" s="232">
        <f t="shared" si="47"/>
        <v>0.56962776251998348</v>
      </c>
      <c r="C83" s="232">
        <f t="shared" ref="C83:H83" si="50">C73/IF(C$78=0,1,C$78)</f>
        <v>0.51999310772928398</v>
      </c>
      <c r="D83" s="232">
        <f t="shared" si="50"/>
        <v>0.51448530285019733</v>
      </c>
      <c r="E83" s="232">
        <f t="shared" si="50"/>
        <v>0.51332847757066091</v>
      </c>
      <c r="F83" s="232">
        <f t="shared" si="50"/>
        <v>0.50164036595341266</v>
      </c>
      <c r="G83" s="232">
        <f t="shared" si="50"/>
        <v>0.52143706413665769</v>
      </c>
      <c r="H83" s="232">
        <f t="shared" si="50"/>
        <v>0.51843606948015319</v>
      </c>
      <c r="I83" s="232">
        <f t="shared" ref="I83" si="51">I73/IF(I$78=0,1,I$78)</f>
        <v>0.51843606948015319</v>
      </c>
      <c r="J83" s="759">
        <f>1-J82-J84-J85-J86-J87</f>
        <v>0.51843606948015297</v>
      </c>
      <c r="K83" s="759">
        <f>1-K82-K84-K85-K86-K87</f>
        <v>0.51843606948015297</v>
      </c>
    </row>
    <row r="84" spans="1:11" x14ac:dyDescent="0.25">
      <c r="A84" s="235" t="s">
        <v>285</v>
      </c>
      <c r="B84" s="232">
        <f t="shared" si="47"/>
        <v>4.075178355859272E-2</v>
      </c>
      <c r="C84" s="232">
        <f t="shared" ref="C84:H84" si="52">C74/IF(C$78=0,1,C$78)</f>
        <v>5.360655001351209E-2</v>
      </c>
      <c r="D84" s="232">
        <f t="shared" si="52"/>
        <v>5.192746845388458E-2</v>
      </c>
      <c r="E84" s="232">
        <f t="shared" si="52"/>
        <v>5.3334594058733052E-2</v>
      </c>
      <c r="F84" s="232">
        <f t="shared" si="52"/>
        <v>6.4176752676318727E-2</v>
      </c>
      <c r="G84" s="232">
        <f t="shared" si="52"/>
        <v>6.0332942356837643E-2</v>
      </c>
      <c r="H84" s="232">
        <f t="shared" si="52"/>
        <v>5.6131448242817156E-2</v>
      </c>
      <c r="I84" s="232">
        <f t="shared" ref="I84" si="53">I74/IF(I$78=0,1,I$78)</f>
        <v>5.6131448242817156E-2</v>
      </c>
      <c r="J84" s="755">
        <v>5.6131448242817156E-2</v>
      </c>
      <c r="K84" s="755">
        <v>5.6131448242817156E-2</v>
      </c>
    </row>
    <row r="85" spans="1:11" x14ac:dyDescent="0.25">
      <c r="A85" s="257" t="s">
        <v>250</v>
      </c>
      <c r="B85" s="232">
        <f t="shared" si="47"/>
        <v>7.4288497241237882E-3</v>
      </c>
      <c r="C85" s="232">
        <f t="shared" ref="C85:H85" si="54">C75/IF(C$78=0,1,C$78)</f>
        <v>8.5122488757719758E-3</v>
      </c>
      <c r="D85" s="232">
        <f t="shared" si="54"/>
        <v>7.9888413005976301E-3</v>
      </c>
      <c r="E85" s="232">
        <f t="shared" si="54"/>
        <v>8.9826684730497774E-3</v>
      </c>
      <c r="F85" s="232">
        <f t="shared" si="54"/>
        <v>1.0277119641241334E-2</v>
      </c>
      <c r="G85" s="232">
        <f t="shared" si="54"/>
        <v>1.0063432645045511E-2</v>
      </c>
      <c r="H85" s="232">
        <f t="shared" si="54"/>
        <v>9.3804316542135599E-3</v>
      </c>
      <c r="I85" s="232">
        <f t="shared" ref="I85" si="55">I75/IF(I$78=0,1,I$78)</f>
        <v>9.3804316542135599E-3</v>
      </c>
      <c r="J85" s="755">
        <v>9.3804316542135599E-3</v>
      </c>
      <c r="K85" s="755">
        <v>9.3804316542135599E-3</v>
      </c>
    </row>
    <row r="86" spans="1:11" x14ac:dyDescent="0.25">
      <c r="A86" s="257" t="s">
        <v>252</v>
      </c>
      <c r="B86" s="232">
        <f t="shared" si="47"/>
        <v>2.3609311982961744E-2</v>
      </c>
      <c r="C86" s="232">
        <f t="shared" ref="C86:H86" si="56">C76/IF(C$78=0,1,C$78)</f>
        <v>2.6508733523165323E-2</v>
      </c>
      <c r="D86" s="232">
        <f t="shared" si="56"/>
        <v>2.2753931918666464E-2</v>
      </c>
      <c r="E86" s="232">
        <f t="shared" si="56"/>
        <v>2.5455818715567048E-2</v>
      </c>
      <c r="F86" s="232">
        <f t="shared" si="56"/>
        <v>2.8660852849988667E-2</v>
      </c>
      <c r="G86" s="232">
        <f t="shared" si="56"/>
        <v>2.917206395674796E-2</v>
      </c>
      <c r="H86" s="232">
        <f t="shared" si="56"/>
        <v>3.1014594819699235E-2</v>
      </c>
      <c r="I86" s="232">
        <f t="shared" ref="I86" si="57">I76/IF(I$78=0,1,I$78)</f>
        <v>3.1014594819699235E-2</v>
      </c>
      <c r="J86" s="755">
        <v>3.1014594819699235E-2</v>
      </c>
      <c r="K86" s="755">
        <v>3.1014594819699235E-2</v>
      </c>
    </row>
    <row r="87" spans="1:11" ht="15.75" thickBot="1" x14ac:dyDescent="0.3">
      <c r="A87" s="258" t="s">
        <v>254</v>
      </c>
      <c r="B87" s="232">
        <f t="shared" si="47"/>
        <v>0.11006321870947787</v>
      </c>
      <c r="C87" s="232">
        <f t="shared" ref="C87:H87" si="58">C77/IF(C$78=0,1,C$78)</f>
        <v>0.13493681717000125</v>
      </c>
      <c r="D87" s="232">
        <f t="shared" si="58"/>
        <v>0.12108087596218282</v>
      </c>
      <c r="E87" s="232">
        <f t="shared" si="58"/>
        <v>0.10618902902967972</v>
      </c>
      <c r="F87" s="232">
        <f t="shared" si="58"/>
        <v>0.120712489543072</v>
      </c>
      <c r="G87" s="232">
        <f t="shared" si="58"/>
        <v>0.10570799457257564</v>
      </c>
      <c r="H87" s="232">
        <f t="shared" si="58"/>
        <v>0.11052235530193769</v>
      </c>
      <c r="I87" s="232">
        <f t="shared" ref="I87" si="59">I77/IF(I$78=0,1,I$78)</f>
        <v>0.11052235530193769</v>
      </c>
      <c r="J87" s="755">
        <v>0.11052235530193769</v>
      </c>
      <c r="K87" s="755">
        <v>0.11052235530193769</v>
      </c>
    </row>
    <row r="88" spans="1:11" x14ac:dyDescent="0.25">
      <c r="A88" s="277" t="s">
        <v>616</v>
      </c>
      <c r="B88" s="232">
        <f>SUM(B82:B87)</f>
        <v>1.0000000000000002</v>
      </c>
      <c r="C88" s="232">
        <f t="shared" ref="C88:E88" si="60">SUM(C82:C87)</f>
        <v>1</v>
      </c>
      <c r="D88" s="232">
        <f t="shared" si="60"/>
        <v>0.99999999999999989</v>
      </c>
      <c r="E88" s="232">
        <f t="shared" si="60"/>
        <v>0.99999999999999989</v>
      </c>
      <c r="F88" s="232">
        <f t="shared" ref="F88:H88" si="61">SUM(F82:F87)</f>
        <v>1</v>
      </c>
      <c r="G88" s="232">
        <f t="shared" si="61"/>
        <v>1</v>
      </c>
      <c r="H88" s="232">
        <f t="shared" si="61"/>
        <v>1.0000000000000002</v>
      </c>
      <c r="I88" s="232">
        <f t="shared" ref="I88:K88" si="62">SUM(I82:I87)</f>
        <v>1.0000000000000002</v>
      </c>
      <c r="J88" s="232">
        <f t="shared" si="62"/>
        <v>1</v>
      </c>
      <c r="K88" s="232">
        <f t="shared" si="62"/>
        <v>1</v>
      </c>
    </row>
    <row r="89" spans="1:11" s="332" customFormat="1" x14ac:dyDescent="0.25">
      <c r="A89" s="275"/>
      <c r="B89" s="232"/>
      <c r="C89" s="232"/>
      <c r="D89" s="232"/>
      <c r="E89" s="232"/>
      <c r="F89" s="232"/>
      <c r="G89" s="232"/>
      <c r="H89" s="232"/>
      <c r="I89" s="232"/>
      <c r="J89" s="232"/>
      <c r="K89" s="232"/>
    </row>
    <row r="90" spans="1:11" x14ac:dyDescent="0.25">
      <c r="J90" s="154">
        <v>2025</v>
      </c>
      <c r="K90" s="154">
        <v>2030</v>
      </c>
    </row>
    <row r="91" spans="1:11" x14ac:dyDescent="0.25">
      <c r="H91" s="796" t="s">
        <v>809</v>
      </c>
      <c r="I91" s="796"/>
      <c r="J91" s="755">
        <v>0.1</v>
      </c>
      <c r="K91" s="755">
        <v>0.2</v>
      </c>
    </row>
    <row r="92" spans="1:11" x14ac:dyDescent="0.25">
      <c r="H92" s="796" t="s">
        <v>810</v>
      </c>
      <c r="I92" s="796"/>
      <c r="J92" s="232">
        <f>1-J91</f>
        <v>0.9</v>
      </c>
      <c r="K92" s="232">
        <f>1-K91</f>
        <v>0.8</v>
      </c>
    </row>
    <row r="93" spans="1:11" x14ac:dyDescent="0.25">
      <c r="H93" s="796" t="s">
        <v>811</v>
      </c>
      <c r="I93" s="796"/>
      <c r="J93" s="755">
        <v>0.2</v>
      </c>
      <c r="K93" s="755">
        <v>0.6</v>
      </c>
    </row>
    <row r="94" spans="1:11" x14ac:dyDescent="0.25">
      <c r="H94" s="796" t="s">
        <v>812</v>
      </c>
      <c r="I94" s="796"/>
      <c r="J94" s="232">
        <f>1-J93</f>
        <v>0.8</v>
      </c>
      <c r="K94" s="232">
        <f>1-K93</f>
        <v>0.4</v>
      </c>
    </row>
    <row r="95" spans="1:11" x14ac:dyDescent="0.25">
      <c r="H95" s="796" t="s">
        <v>813</v>
      </c>
      <c r="I95" s="796"/>
      <c r="J95" s="755">
        <v>0.5</v>
      </c>
      <c r="K95" s="755">
        <v>0.8</v>
      </c>
    </row>
    <row r="96" spans="1:11" x14ac:dyDescent="0.25">
      <c r="H96" s="796" t="s">
        <v>814</v>
      </c>
      <c r="I96" s="796"/>
      <c r="J96" s="232">
        <f>1-J95</f>
        <v>0.5</v>
      </c>
      <c r="K96" s="232">
        <f>1-K95</f>
        <v>0.19999999999999996</v>
      </c>
    </row>
    <row r="97" spans="8:11" x14ac:dyDescent="0.25">
      <c r="H97" s="796" t="s">
        <v>815</v>
      </c>
      <c r="I97" s="796"/>
      <c r="J97" s="755">
        <v>0</v>
      </c>
      <c r="K97" s="755">
        <v>0.1</v>
      </c>
    </row>
    <row r="98" spans="8:11" x14ac:dyDescent="0.25">
      <c r="H98" s="796" t="s">
        <v>816</v>
      </c>
      <c r="I98" s="796"/>
      <c r="J98" s="232">
        <f>1-J97</f>
        <v>1</v>
      </c>
      <c r="K98" s="232">
        <f>1-K97</f>
        <v>0.9</v>
      </c>
    </row>
    <row r="99" spans="8:11" x14ac:dyDescent="0.25">
      <c r="H99" s="796" t="s">
        <v>817</v>
      </c>
      <c r="I99" s="796"/>
      <c r="J99" s="755">
        <v>0.1</v>
      </c>
      <c r="K99" s="755">
        <v>0.2</v>
      </c>
    </row>
    <row r="100" spans="8:11" x14ac:dyDescent="0.25">
      <c r="H100" s="796" t="s">
        <v>818</v>
      </c>
      <c r="I100" s="796"/>
      <c r="J100" s="232">
        <f>1-J99</f>
        <v>0.9</v>
      </c>
      <c r="K100" s="232">
        <f>1-K99</f>
        <v>0.8</v>
      </c>
    </row>
    <row r="101" spans="8:11" x14ac:dyDescent="0.25">
      <c r="H101" s="796" t="s">
        <v>819</v>
      </c>
      <c r="I101" s="796"/>
      <c r="J101" s="755">
        <v>0.15</v>
      </c>
      <c r="K101" s="755">
        <v>0.25</v>
      </c>
    </row>
    <row r="102" spans="8:11" x14ac:dyDescent="0.25">
      <c r="H102" s="796" t="s">
        <v>820</v>
      </c>
      <c r="I102" s="796"/>
      <c r="J102" s="232">
        <f>1-J101</f>
        <v>0.85</v>
      </c>
      <c r="K102" s="232">
        <f>1-K101</f>
        <v>0.75</v>
      </c>
    </row>
    <row r="103" spans="8:11" x14ac:dyDescent="0.25">
      <c r="H103" s="796" t="s">
        <v>821</v>
      </c>
      <c r="I103" s="796"/>
      <c r="J103" s="755">
        <v>0.05</v>
      </c>
      <c r="K103" s="755">
        <v>0.1</v>
      </c>
    </row>
    <row r="104" spans="8:11" x14ac:dyDescent="0.25">
      <c r="H104" s="796" t="s">
        <v>822</v>
      </c>
      <c r="I104" s="796"/>
      <c r="J104" s="232">
        <f>1-J103</f>
        <v>0.95</v>
      </c>
      <c r="K104" s="232">
        <f>1-K103</f>
        <v>0.9</v>
      </c>
    </row>
    <row r="105" spans="8:11" x14ac:dyDescent="0.25">
      <c r="H105" s="796" t="s">
        <v>823</v>
      </c>
      <c r="I105" s="796"/>
      <c r="J105" s="755">
        <v>0</v>
      </c>
      <c r="K105" s="755">
        <v>0.05</v>
      </c>
    </row>
    <row r="106" spans="8:11" x14ac:dyDescent="0.25">
      <c r="H106" s="796" t="s">
        <v>824</v>
      </c>
      <c r="I106" s="796"/>
      <c r="J106" s="232">
        <f>1-J105</f>
        <v>1</v>
      </c>
      <c r="K106" s="232">
        <f>1-K105</f>
        <v>0.95</v>
      </c>
    </row>
    <row r="107" spans="8:11" x14ac:dyDescent="0.25">
      <c r="H107" s="796" t="s">
        <v>825</v>
      </c>
      <c r="I107" s="796"/>
      <c r="J107" s="755">
        <v>0.9</v>
      </c>
      <c r="K107" s="755">
        <v>0.95</v>
      </c>
    </row>
    <row r="108" spans="8:11" x14ac:dyDescent="0.25">
      <c r="H108" s="796" t="s">
        <v>826</v>
      </c>
      <c r="I108" s="796"/>
      <c r="J108" s="755">
        <v>0.3</v>
      </c>
      <c r="K108" s="755">
        <v>0.35</v>
      </c>
    </row>
    <row r="110" spans="8:11" x14ac:dyDescent="0.25">
      <c r="H110" s="795" t="s">
        <v>827</v>
      </c>
      <c r="I110" s="795"/>
      <c r="J110" s="332">
        <v>2025</v>
      </c>
      <c r="K110" s="332">
        <v>2030</v>
      </c>
    </row>
    <row r="111" spans="8:11" x14ac:dyDescent="0.25">
      <c r="H111" s="794" t="s">
        <v>241</v>
      </c>
      <c r="I111" s="794"/>
      <c r="J111" s="332">
        <v>450</v>
      </c>
      <c r="K111" s="332">
        <v>450</v>
      </c>
    </row>
    <row r="112" spans="8:11" x14ac:dyDescent="0.25">
      <c r="H112" s="794" t="s">
        <v>243</v>
      </c>
      <c r="I112" s="794"/>
      <c r="J112" s="332">
        <v>450</v>
      </c>
      <c r="K112" s="332">
        <v>450</v>
      </c>
    </row>
    <row r="113" spans="8:11" x14ac:dyDescent="0.25">
      <c r="H113" s="794" t="s">
        <v>244</v>
      </c>
      <c r="I113" s="794"/>
      <c r="J113" s="332">
        <v>250</v>
      </c>
      <c r="K113" s="332">
        <v>250</v>
      </c>
    </row>
    <row r="114" spans="8:11" x14ac:dyDescent="0.25">
      <c r="H114" s="794" t="s">
        <v>246</v>
      </c>
      <c r="I114" s="794"/>
      <c r="J114" s="332">
        <v>96</v>
      </c>
      <c r="K114" s="332">
        <v>96</v>
      </c>
    </row>
    <row r="115" spans="8:11" x14ac:dyDescent="0.25">
      <c r="H115" s="794" t="s">
        <v>248</v>
      </c>
      <c r="I115" s="794"/>
      <c r="J115" s="332">
        <v>65</v>
      </c>
      <c r="K115" s="332">
        <v>65</v>
      </c>
    </row>
    <row r="116" spans="8:11" x14ac:dyDescent="0.25">
      <c r="H116" s="794" t="s">
        <v>285</v>
      </c>
      <c r="I116" s="794"/>
      <c r="J116" s="332">
        <v>250</v>
      </c>
      <c r="K116" s="332">
        <v>250</v>
      </c>
    </row>
    <row r="117" spans="8:11" x14ac:dyDescent="0.25">
      <c r="H117" s="794" t="s">
        <v>250</v>
      </c>
      <c r="I117" s="794"/>
      <c r="J117" s="332">
        <v>2</v>
      </c>
      <c r="K117" s="332">
        <v>2</v>
      </c>
    </row>
    <row r="118" spans="8:11" x14ac:dyDescent="0.25">
      <c r="H118" s="794" t="s">
        <v>252</v>
      </c>
      <c r="I118" s="794"/>
      <c r="J118" s="332">
        <v>1</v>
      </c>
      <c r="K118" s="332">
        <v>1</v>
      </c>
    </row>
    <row r="119" spans="8:11" x14ac:dyDescent="0.25">
      <c r="H119" s="794" t="s">
        <v>254</v>
      </c>
      <c r="I119" s="794"/>
      <c r="J119" s="332">
        <v>1</v>
      </c>
      <c r="K119" s="332">
        <v>1</v>
      </c>
    </row>
  </sheetData>
  <mergeCells count="28">
    <mergeCell ref="H96:I96"/>
    <mergeCell ref="H91:I91"/>
    <mergeCell ref="H92:I92"/>
    <mergeCell ref="H93:I93"/>
    <mergeCell ref="H94:I94"/>
    <mergeCell ref="H95:I95"/>
    <mergeCell ref="H108:I108"/>
    <mergeCell ref="H97:I97"/>
    <mergeCell ref="H98:I98"/>
    <mergeCell ref="H99:I99"/>
    <mergeCell ref="H100:I100"/>
    <mergeCell ref="H101:I101"/>
    <mergeCell ref="H102:I102"/>
    <mergeCell ref="H103:I103"/>
    <mergeCell ref="H104:I104"/>
    <mergeCell ref="H105:I105"/>
    <mergeCell ref="H106:I106"/>
    <mergeCell ref="H107:I107"/>
    <mergeCell ref="H117:I117"/>
    <mergeCell ref="H118:I118"/>
    <mergeCell ref="H119:I119"/>
    <mergeCell ref="H110:I110"/>
    <mergeCell ref="H111:I111"/>
    <mergeCell ref="H112:I112"/>
    <mergeCell ref="H113:I113"/>
    <mergeCell ref="H114:I114"/>
    <mergeCell ref="H115:I115"/>
    <mergeCell ref="H116:I116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Y117"/>
  <sheetViews>
    <sheetView zoomScale="78" zoomScaleNormal="78" workbookViewId="0">
      <selection activeCell="J7" sqref="J7"/>
    </sheetView>
  </sheetViews>
  <sheetFormatPr defaultRowHeight="15" x14ac:dyDescent="0.25"/>
  <cols>
    <col min="1" max="24" width="9.140625" style="231"/>
    <col min="25" max="25" width="49.5703125" style="231" customWidth="1"/>
    <col min="26" max="29" width="9.140625" style="231"/>
    <col min="30" max="30" width="12.42578125" style="231" customWidth="1"/>
    <col min="31" max="16384" width="9.140625" style="231"/>
  </cols>
  <sheetData>
    <row r="1" spans="1:45" ht="23.25" x14ac:dyDescent="0.25">
      <c r="A1" s="50" t="s">
        <v>433</v>
      </c>
      <c r="B1" s="160"/>
      <c r="C1" s="160"/>
      <c r="D1" s="804">
        <v>50868</v>
      </c>
      <c r="E1" s="805"/>
      <c r="F1" s="161"/>
      <c r="G1" s="161"/>
      <c r="H1" s="161"/>
      <c r="I1" s="161"/>
      <c r="J1" s="165"/>
      <c r="K1" s="161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51"/>
      <c r="W1" s="51"/>
      <c r="X1" s="51"/>
      <c r="Y1" s="806" t="s">
        <v>434</v>
      </c>
      <c r="Z1" s="51"/>
      <c r="AA1" s="51"/>
      <c r="AB1" s="51"/>
      <c r="AC1" s="51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52"/>
      <c r="AS1" s="52"/>
    </row>
    <row r="2" spans="1:45" ht="23.25" x14ac:dyDescent="0.25">
      <c r="A2" s="53" t="s">
        <v>435</v>
      </c>
      <c r="B2" s="161"/>
      <c r="C2" s="161"/>
      <c r="D2" s="497">
        <v>91.84</v>
      </c>
      <c r="E2" s="54" t="s">
        <v>436</v>
      </c>
      <c r="F2" s="55"/>
      <c r="G2" s="161"/>
      <c r="H2" s="498"/>
      <c r="I2" s="498"/>
      <c r="J2" s="498"/>
      <c r="K2" s="498"/>
      <c r="L2" s="387"/>
      <c r="M2" s="387"/>
      <c r="N2" s="166"/>
      <c r="O2" s="166"/>
      <c r="P2" s="166"/>
      <c r="Q2" s="166"/>
      <c r="R2" s="166"/>
      <c r="S2" s="166"/>
      <c r="T2" s="166"/>
      <c r="U2" s="166"/>
      <c r="V2" s="51"/>
      <c r="W2" s="51"/>
      <c r="X2" s="51"/>
      <c r="Y2" s="806"/>
      <c r="Z2" s="51"/>
      <c r="AA2" s="51"/>
      <c r="AB2" s="51"/>
      <c r="AC2" s="51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52"/>
      <c r="AS2" s="52"/>
    </row>
    <row r="3" spans="1:45" ht="24" customHeight="1" thickBot="1" x14ac:dyDescent="0.3">
      <c r="A3" s="56" t="s">
        <v>437</v>
      </c>
      <c r="B3" s="163"/>
      <c r="C3" s="57"/>
      <c r="D3" s="163" t="s">
        <v>438</v>
      </c>
      <c r="E3" s="164"/>
      <c r="F3" s="161"/>
      <c r="G3" s="161"/>
      <c r="H3" s="499"/>
      <c r="I3" s="498"/>
      <c r="J3" s="498"/>
      <c r="K3" s="498"/>
      <c r="L3" s="387"/>
      <c r="M3" s="387"/>
      <c r="N3" s="166"/>
      <c r="O3" s="166"/>
      <c r="P3" s="166"/>
      <c r="Q3" s="166"/>
      <c r="R3" s="166"/>
      <c r="S3" s="166"/>
      <c r="T3" s="166"/>
      <c r="U3" s="166"/>
      <c r="V3" s="51"/>
      <c r="W3" s="51"/>
      <c r="X3" s="51"/>
      <c r="Y3" s="807" t="s">
        <v>789</v>
      </c>
      <c r="Z3" s="51"/>
      <c r="AA3" s="51"/>
      <c r="AB3" s="51"/>
      <c r="AC3" s="51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52"/>
      <c r="AS3" s="52"/>
    </row>
    <row r="4" spans="1:45" ht="23.25" customHeight="1" x14ac:dyDescent="0.25">
      <c r="A4" s="166"/>
      <c r="B4" s="166"/>
      <c r="C4" s="166"/>
      <c r="D4" s="166"/>
      <c r="E4" s="166"/>
      <c r="F4" s="166"/>
      <c r="G4" s="166"/>
      <c r="H4" s="387"/>
      <c r="I4" s="387"/>
      <c r="J4" s="387"/>
      <c r="K4" s="387"/>
      <c r="L4" s="387"/>
      <c r="M4" s="387"/>
      <c r="N4" s="166"/>
      <c r="O4" s="166"/>
      <c r="P4" s="166"/>
      <c r="Q4" s="166"/>
      <c r="R4" s="166"/>
      <c r="S4" s="166"/>
      <c r="T4" s="166"/>
      <c r="U4" s="166"/>
      <c r="V4" s="51"/>
      <c r="W4" s="51"/>
      <c r="X4" s="51"/>
      <c r="Y4" s="807"/>
      <c r="Z4" s="51"/>
      <c r="AA4" s="51"/>
      <c r="AB4" s="51"/>
      <c r="AC4" s="51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52"/>
      <c r="AS4" s="52"/>
    </row>
    <row r="5" spans="1:45" x14ac:dyDescent="0.25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52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52"/>
      <c r="AS5" s="52"/>
    </row>
    <row r="6" spans="1:45" ht="15.75" x14ac:dyDescent="0.25">
      <c r="A6" s="797" t="s">
        <v>439</v>
      </c>
      <c r="B6" s="797"/>
      <c r="C6" s="797"/>
      <c r="D6" s="797"/>
      <c r="E6" s="797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97"/>
      <c r="Q6" s="797"/>
      <c r="R6" s="797"/>
      <c r="S6" s="797"/>
      <c r="T6" s="797"/>
      <c r="U6" s="797"/>
      <c r="V6" s="797"/>
      <c r="W6" s="797"/>
      <c r="X6" s="797"/>
      <c r="Y6" s="385" t="s">
        <v>440</v>
      </c>
      <c r="Z6" s="797" t="s">
        <v>35</v>
      </c>
      <c r="AA6" s="797"/>
      <c r="AB6" s="797"/>
      <c r="AC6" s="797"/>
      <c r="AD6" s="797" t="s">
        <v>441</v>
      </c>
      <c r="AE6" s="797"/>
      <c r="AF6" s="797" t="s">
        <v>442</v>
      </c>
      <c r="AG6" s="797"/>
      <c r="AH6" s="58"/>
      <c r="AI6" s="797" t="s">
        <v>443</v>
      </c>
      <c r="AJ6" s="797"/>
      <c r="AK6" s="797"/>
      <c r="AL6" s="797"/>
      <c r="AM6" s="797"/>
      <c r="AN6" s="797"/>
      <c r="AO6" s="797"/>
      <c r="AP6" s="797"/>
      <c r="AQ6" s="797"/>
      <c r="AR6" s="52"/>
      <c r="AS6" s="52"/>
    </row>
    <row r="7" spans="1:45" ht="171.75" customHeight="1" thickBot="1" x14ac:dyDescent="0.65">
      <c r="A7" s="167" t="s">
        <v>378</v>
      </c>
      <c r="B7" s="168" t="s">
        <v>379</v>
      </c>
      <c r="C7" s="168" t="s">
        <v>380</v>
      </c>
      <c r="D7" s="168" t="s">
        <v>381</v>
      </c>
      <c r="E7" s="59" t="s">
        <v>383</v>
      </c>
      <c r="F7" s="168" t="s">
        <v>384</v>
      </c>
      <c r="G7" s="168" t="s">
        <v>385</v>
      </c>
      <c r="H7" s="59" t="s">
        <v>387</v>
      </c>
      <c r="I7" s="59" t="s">
        <v>790</v>
      </c>
      <c r="J7" s="59" t="s">
        <v>390</v>
      </c>
      <c r="K7" s="59" t="s">
        <v>392</v>
      </c>
      <c r="L7" s="59" t="s">
        <v>393</v>
      </c>
      <c r="M7" s="59" t="s">
        <v>394</v>
      </c>
      <c r="N7" s="59" t="s">
        <v>396</v>
      </c>
      <c r="O7" s="59" t="s">
        <v>397</v>
      </c>
      <c r="P7" s="59" t="s">
        <v>398</v>
      </c>
      <c r="Q7" s="59" t="s">
        <v>400</v>
      </c>
      <c r="R7" s="59" t="s">
        <v>401</v>
      </c>
      <c r="S7" s="59" t="s">
        <v>402</v>
      </c>
      <c r="T7" s="59" t="s">
        <v>403</v>
      </c>
      <c r="U7" s="59" t="s">
        <v>404</v>
      </c>
      <c r="V7" s="59" t="s">
        <v>405</v>
      </c>
      <c r="W7" s="59" t="s">
        <v>406</v>
      </c>
      <c r="X7" s="60" t="s">
        <v>444</v>
      </c>
      <c r="Y7" s="233"/>
      <c r="Z7" s="61" t="s">
        <v>445</v>
      </c>
      <c r="AA7" s="59" t="s">
        <v>446</v>
      </c>
      <c r="AB7" s="59" t="s">
        <v>447</v>
      </c>
      <c r="AC7" s="60" t="s">
        <v>448</v>
      </c>
      <c r="AD7" s="62" t="s">
        <v>449</v>
      </c>
      <c r="AE7" s="60" t="s">
        <v>450</v>
      </c>
      <c r="AF7" s="62" t="s">
        <v>449</v>
      </c>
      <c r="AG7" s="60" t="s">
        <v>450</v>
      </c>
      <c r="AH7" s="63" t="s">
        <v>451</v>
      </c>
      <c r="AI7" s="64" t="s">
        <v>452</v>
      </c>
      <c r="AJ7" s="59" t="s">
        <v>453</v>
      </c>
      <c r="AK7" s="59" t="s">
        <v>454</v>
      </c>
      <c r="AL7" s="59" t="s">
        <v>455</v>
      </c>
      <c r="AM7" s="59" t="s">
        <v>456</v>
      </c>
      <c r="AN7" s="59" t="s">
        <v>457</v>
      </c>
      <c r="AO7" s="65" t="s">
        <v>458</v>
      </c>
      <c r="AP7" s="65" t="s">
        <v>459</v>
      </c>
      <c r="AQ7" s="60" t="s">
        <v>460</v>
      </c>
      <c r="AR7" s="66"/>
      <c r="AS7" s="66"/>
    </row>
    <row r="8" spans="1:45" x14ac:dyDescent="0.25">
      <c r="A8" s="500"/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2"/>
      <c r="O8" s="501"/>
      <c r="P8" s="501"/>
      <c r="Q8" s="501"/>
      <c r="R8" s="501"/>
      <c r="S8" s="501"/>
      <c r="T8" s="501"/>
      <c r="U8" s="501"/>
      <c r="V8" s="501"/>
      <c r="W8" s="501"/>
      <c r="X8" s="503">
        <f t="shared" ref="X8:X71" si="0">SUM(A8:W8)</f>
        <v>0</v>
      </c>
      <c r="Y8" s="235" t="s">
        <v>307</v>
      </c>
      <c r="Z8" s="504"/>
      <c r="AA8" s="502">
        <v>44</v>
      </c>
      <c r="AB8" s="502"/>
      <c r="AC8" s="505"/>
      <c r="AD8" s="506">
        <f t="shared" ref="AD8:AD13" si="1">-AE8/$D$2%</f>
        <v>-39.594551789673744</v>
      </c>
      <c r="AE8" s="507">
        <f>AH8/AA8%</f>
        <v>36.363636363636367</v>
      </c>
      <c r="AF8" s="506"/>
      <c r="AG8" s="505"/>
      <c r="AH8" s="67">
        <f t="shared" ref="AH8:AH14" si="2">SUM(AI8:AQ8)</f>
        <v>16</v>
      </c>
      <c r="AI8" s="508">
        <v>16</v>
      </c>
      <c r="AJ8" s="138"/>
      <c r="AK8" s="138"/>
      <c r="AL8" s="138"/>
      <c r="AM8" s="138"/>
      <c r="AN8" s="138"/>
      <c r="AO8" s="138"/>
      <c r="AP8" s="138"/>
      <c r="AQ8" s="509"/>
      <c r="AR8" s="52"/>
      <c r="AS8" s="52"/>
    </row>
    <row r="9" spans="1:45" x14ac:dyDescent="0.25">
      <c r="A9" s="500"/>
      <c r="B9" s="501"/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502"/>
      <c r="O9" s="501"/>
      <c r="P9" s="501"/>
      <c r="Q9" s="501"/>
      <c r="R9" s="501"/>
      <c r="S9" s="501"/>
      <c r="T9" s="501"/>
      <c r="U9" s="501"/>
      <c r="V9" s="501"/>
      <c r="W9" s="501"/>
      <c r="X9" s="503">
        <f t="shared" si="0"/>
        <v>0</v>
      </c>
      <c r="Y9" s="235" t="s">
        <v>314</v>
      </c>
      <c r="Z9" s="504"/>
      <c r="AA9" s="502"/>
      <c r="AB9" s="502">
        <v>90</v>
      </c>
      <c r="AC9" s="505"/>
      <c r="AD9" s="506">
        <f t="shared" si="1"/>
        <v>-5.2022841656988001</v>
      </c>
      <c r="AE9" s="507">
        <f>AH9/AB9%</f>
        <v>4.7777777777777777</v>
      </c>
      <c r="AF9" s="506"/>
      <c r="AG9" s="505"/>
      <c r="AH9" s="67">
        <f t="shared" si="2"/>
        <v>4.3</v>
      </c>
      <c r="AI9" s="510">
        <v>4.3</v>
      </c>
      <c r="AJ9" s="510"/>
      <c r="AK9" s="138"/>
      <c r="AL9" s="138"/>
      <c r="AM9" s="138"/>
      <c r="AN9" s="138"/>
      <c r="AO9" s="138"/>
      <c r="AP9" s="138"/>
      <c r="AQ9" s="509"/>
      <c r="AR9" s="52"/>
      <c r="AS9" s="52"/>
    </row>
    <row r="10" spans="1:45" x14ac:dyDescent="0.25">
      <c r="A10" s="500"/>
      <c r="B10" s="501"/>
      <c r="C10" s="501"/>
      <c r="D10" s="501"/>
      <c r="E10" s="501"/>
      <c r="F10" s="501"/>
      <c r="G10" s="501"/>
      <c r="H10" s="501"/>
      <c r="I10" s="501"/>
      <c r="J10" s="501"/>
      <c r="K10" s="501"/>
      <c r="L10" s="501"/>
      <c r="M10" s="501"/>
      <c r="N10" s="502"/>
      <c r="O10" s="501"/>
      <c r="P10" s="501"/>
      <c r="Q10" s="501"/>
      <c r="R10" s="501"/>
      <c r="S10" s="501"/>
      <c r="T10" s="501"/>
      <c r="U10" s="501"/>
      <c r="V10" s="501"/>
      <c r="W10" s="501"/>
      <c r="X10" s="503">
        <f t="shared" si="0"/>
        <v>0</v>
      </c>
      <c r="Y10" s="235" t="s">
        <v>316</v>
      </c>
      <c r="Z10" s="504"/>
      <c r="AA10" s="502"/>
      <c r="AB10" s="502">
        <v>100</v>
      </c>
      <c r="AC10" s="505"/>
      <c r="AD10" s="506">
        <f t="shared" si="1"/>
        <v>-21.994773519163761</v>
      </c>
      <c r="AE10" s="507">
        <f>AH10/AB10%</f>
        <v>20.2</v>
      </c>
      <c r="AF10" s="506"/>
      <c r="AG10" s="505"/>
      <c r="AH10" s="67">
        <f t="shared" si="2"/>
        <v>20.2</v>
      </c>
      <c r="AI10" s="510">
        <v>20.2</v>
      </c>
      <c r="AJ10" s="138"/>
      <c r="AK10" s="138"/>
      <c r="AL10" s="138"/>
      <c r="AM10" s="138"/>
      <c r="AN10" s="138"/>
      <c r="AO10" s="138"/>
      <c r="AP10" s="138"/>
      <c r="AQ10" s="509"/>
      <c r="AR10" s="52"/>
      <c r="AS10" s="52"/>
    </row>
    <row r="11" spans="1:45" x14ac:dyDescent="0.25">
      <c r="A11" s="500"/>
      <c r="B11" s="501"/>
      <c r="C11" s="501"/>
      <c r="D11" s="501"/>
      <c r="E11" s="501"/>
      <c r="F11" s="501"/>
      <c r="G11" s="501"/>
      <c r="H11" s="501"/>
      <c r="I11" s="501"/>
      <c r="J11" s="501"/>
      <c r="K11" s="501"/>
      <c r="L11" s="501"/>
      <c r="M11" s="501"/>
      <c r="N11" s="502"/>
      <c r="O11" s="501"/>
      <c r="P11" s="501"/>
      <c r="Q11" s="501"/>
      <c r="R11" s="501"/>
      <c r="S11" s="501"/>
      <c r="T11" s="501"/>
      <c r="U11" s="501"/>
      <c r="V11" s="501"/>
      <c r="W11" s="501"/>
      <c r="X11" s="503">
        <f t="shared" si="0"/>
        <v>0</v>
      </c>
      <c r="Y11" s="235" t="s">
        <v>305</v>
      </c>
      <c r="Z11" s="504"/>
      <c r="AA11" s="502">
        <v>50</v>
      </c>
      <c r="AB11" s="502"/>
      <c r="AC11" s="505"/>
      <c r="AD11" s="506">
        <f t="shared" si="1"/>
        <v>-159.8432055749129</v>
      </c>
      <c r="AE11" s="507">
        <f>AH11/AA11%</f>
        <v>146.80000000000001</v>
      </c>
      <c r="AF11" s="506"/>
      <c r="AG11" s="505"/>
      <c r="AH11" s="67">
        <f t="shared" si="2"/>
        <v>73.400000000000006</v>
      </c>
      <c r="AI11" s="511">
        <v>18.2</v>
      </c>
      <c r="AJ11" s="482">
        <v>18.600000000000001</v>
      </c>
      <c r="AK11" s="482">
        <v>8.1</v>
      </c>
      <c r="AL11" s="482">
        <v>9</v>
      </c>
      <c r="AM11" s="482">
        <v>0.2</v>
      </c>
      <c r="AN11" s="482">
        <v>18.600000000000001</v>
      </c>
      <c r="AO11" s="482">
        <v>0</v>
      </c>
      <c r="AP11" s="482">
        <v>0.7</v>
      </c>
      <c r="AQ11" s="512"/>
      <c r="AR11" s="52"/>
      <c r="AS11" s="52"/>
    </row>
    <row r="12" spans="1:45" x14ac:dyDescent="0.25">
      <c r="A12" s="500"/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2"/>
      <c r="O12" s="501"/>
      <c r="P12" s="501"/>
      <c r="Q12" s="501"/>
      <c r="R12" s="501"/>
      <c r="S12" s="501"/>
      <c r="T12" s="501"/>
      <c r="U12" s="501"/>
      <c r="V12" s="501"/>
      <c r="W12" s="501"/>
      <c r="X12" s="503">
        <f t="shared" si="0"/>
        <v>0</v>
      </c>
      <c r="Y12" s="235" t="s">
        <v>309</v>
      </c>
      <c r="Z12" s="504"/>
      <c r="AA12" s="502">
        <v>150</v>
      </c>
      <c r="AB12" s="502"/>
      <c r="AC12" s="505"/>
      <c r="AD12" s="506">
        <f t="shared" si="1"/>
        <v>-143.00232288037168</v>
      </c>
      <c r="AE12" s="507">
        <f>AH12/AA12%</f>
        <v>131.33333333333334</v>
      </c>
      <c r="AF12" s="506"/>
      <c r="AG12" s="505"/>
      <c r="AH12" s="67">
        <f t="shared" si="2"/>
        <v>197</v>
      </c>
      <c r="AI12" s="510">
        <v>64.400000000000006</v>
      </c>
      <c r="AJ12" s="69">
        <v>0</v>
      </c>
      <c r="AK12" s="69">
        <v>27.1</v>
      </c>
      <c r="AL12" s="69">
        <v>30.1</v>
      </c>
      <c r="AM12" s="69">
        <v>0.6</v>
      </c>
      <c r="AN12" s="69">
        <v>74.400000000000006</v>
      </c>
      <c r="AO12" s="69">
        <v>0</v>
      </c>
      <c r="AP12" s="69">
        <v>0.4</v>
      </c>
      <c r="AQ12" s="507"/>
      <c r="AR12" s="52"/>
      <c r="AS12" s="52"/>
    </row>
    <row r="13" spans="1:45" x14ac:dyDescent="0.25">
      <c r="A13" s="500"/>
      <c r="B13" s="501"/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2"/>
      <c r="O13" s="501"/>
      <c r="P13" s="501"/>
      <c r="Q13" s="501"/>
      <c r="R13" s="501"/>
      <c r="S13" s="501"/>
      <c r="T13" s="501"/>
      <c r="U13" s="501"/>
      <c r="V13" s="501"/>
      <c r="W13" s="501"/>
      <c r="X13" s="503">
        <f>SUM(A13:W13)</f>
        <v>0</v>
      </c>
      <c r="Y13" s="235" t="s">
        <v>290</v>
      </c>
      <c r="Z13" s="504"/>
      <c r="AA13" s="502">
        <v>85</v>
      </c>
      <c r="AB13" s="502"/>
      <c r="AC13" s="505"/>
      <c r="AD13" s="506">
        <f t="shared" si="1"/>
        <v>-905.02664480426324</v>
      </c>
      <c r="AE13" s="507">
        <f>AH13/AA13%</f>
        <v>831.17647058823536</v>
      </c>
      <c r="AF13" s="506"/>
      <c r="AG13" s="505"/>
      <c r="AH13" s="67">
        <f t="shared" si="2"/>
        <v>706.5</v>
      </c>
      <c r="AI13" s="510">
        <v>101.1</v>
      </c>
      <c r="AJ13" s="69">
        <v>85.6</v>
      </c>
      <c r="AK13" s="69">
        <v>25.8</v>
      </c>
      <c r="AL13" s="69">
        <v>28.7</v>
      </c>
      <c r="AM13" s="69">
        <v>3.7</v>
      </c>
      <c r="AN13" s="69">
        <v>453.3</v>
      </c>
      <c r="AO13" s="69">
        <v>0.4</v>
      </c>
      <c r="AP13" s="69">
        <v>6.6</v>
      </c>
      <c r="AQ13" s="507">
        <v>1.3</v>
      </c>
      <c r="AR13" s="52"/>
      <c r="AS13" s="137"/>
    </row>
    <row r="14" spans="1:45" x14ac:dyDescent="0.25">
      <c r="A14" s="500"/>
      <c r="B14" s="501"/>
      <c r="C14" s="501"/>
      <c r="D14" s="501"/>
      <c r="E14" s="501"/>
      <c r="F14" s="501"/>
      <c r="G14" s="501"/>
      <c r="H14" s="501"/>
      <c r="I14" s="501"/>
      <c r="J14" s="501"/>
      <c r="K14" s="501"/>
      <c r="L14" s="501"/>
      <c r="M14" s="501"/>
      <c r="N14" s="513">
        <f>AH14-AE14</f>
        <v>-0.4</v>
      </c>
      <c r="O14" s="501"/>
      <c r="P14" s="501"/>
      <c r="Q14" s="501"/>
      <c r="R14" s="501"/>
      <c r="S14" s="501"/>
      <c r="T14" s="501"/>
      <c r="U14" s="501"/>
      <c r="V14" s="501"/>
      <c r="W14" s="501"/>
      <c r="X14" s="503">
        <f t="shared" si="0"/>
        <v>-0.4</v>
      </c>
      <c r="Y14" s="235" t="s">
        <v>344</v>
      </c>
      <c r="Z14" s="504"/>
      <c r="AA14" s="502"/>
      <c r="AB14" s="502">
        <v>300</v>
      </c>
      <c r="AC14" s="505"/>
      <c r="AD14" s="506">
        <f>-AE14/$D$2%</f>
        <v>-0.43554006968641118</v>
      </c>
      <c r="AE14" s="507">
        <f>0.1+0.3</f>
        <v>0.4</v>
      </c>
      <c r="AF14" s="506"/>
      <c r="AG14" s="505"/>
      <c r="AH14" s="67">
        <f t="shared" si="2"/>
        <v>0</v>
      </c>
      <c r="AI14" s="510"/>
      <c r="AJ14" s="69"/>
      <c r="AK14" s="69"/>
      <c r="AL14" s="69"/>
      <c r="AM14" s="69"/>
      <c r="AN14" s="69"/>
      <c r="AO14" s="69"/>
      <c r="AP14" s="69"/>
      <c r="AQ14" s="507"/>
      <c r="AR14" s="52"/>
      <c r="AS14" s="52"/>
    </row>
    <row r="15" spans="1:45" x14ac:dyDescent="0.25">
      <c r="A15" s="514">
        <f>Z15%*AD15</f>
        <v>681.62819960377055</v>
      </c>
      <c r="B15" s="501"/>
      <c r="C15" s="501"/>
      <c r="D15" s="501"/>
      <c r="E15" s="501"/>
      <c r="F15" s="501"/>
      <c r="G15" s="138"/>
      <c r="H15" s="138"/>
      <c r="I15" s="138"/>
      <c r="J15" s="138"/>
      <c r="K15" s="138"/>
      <c r="L15" s="501"/>
      <c r="M15" s="501"/>
      <c r="N15" s="502"/>
      <c r="O15" s="501"/>
      <c r="P15" s="501"/>
      <c r="Q15" s="501"/>
      <c r="R15" s="501"/>
      <c r="S15" s="501"/>
      <c r="T15" s="501"/>
      <c r="U15" s="501"/>
      <c r="V15" s="501"/>
      <c r="W15" s="501"/>
      <c r="X15" s="503">
        <f>SUM(A15:W15)</f>
        <v>681.62819960377055</v>
      </c>
      <c r="Y15" s="235" t="s">
        <v>461</v>
      </c>
      <c r="Z15" s="504">
        <v>100</v>
      </c>
      <c r="AA15" s="502"/>
      <c r="AB15" s="502"/>
      <c r="AC15" s="505"/>
      <c r="AD15" s="506">
        <f>-SUM(AD16:AD80,AD8:AD14)</f>
        <v>681.62819960377055</v>
      </c>
      <c r="AE15" s="507"/>
      <c r="AF15" s="506"/>
      <c r="AG15" s="505"/>
      <c r="AH15" s="67">
        <f t="shared" ref="AH15:AH52" si="3">SUM(AI15:AQ15)</f>
        <v>0</v>
      </c>
      <c r="AI15" s="510"/>
      <c r="AJ15" s="69"/>
      <c r="AK15" s="69"/>
      <c r="AL15" s="69"/>
      <c r="AM15" s="69"/>
      <c r="AN15" s="69"/>
      <c r="AO15" s="69"/>
      <c r="AP15" s="69"/>
      <c r="AQ15" s="507"/>
      <c r="AR15" s="52"/>
      <c r="AS15" s="52"/>
    </row>
    <row r="16" spans="1:45" x14ac:dyDescent="0.25">
      <c r="A16" s="515"/>
      <c r="B16" s="513">
        <v>22.25</v>
      </c>
      <c r="C16" s="516"/>
      <c r="D16" s="516"/>
      <c r="E16" s="516"/>
      <c r="F16" s="516"/>
      <c r="G16" s="482"/>
      <c r="H16" s="482"/>
      <c r="I16" s="517"/>
      <c r="J16" s="482"/>
      <c r="K16" s="482"/>
      <c r="L16" s="516"/>
      <c r="M16" s="516"/>
      <c r="N16" s="518"/>
      <c r="O16" s="516"/>
      <c r="P16" s="516"/>
      <c r="Q16" s="516"/>
      <c r="R16" s="516"/>
      <c r="S16" s="516"/>
      <c r="T16" s="516"/>
      <c r="U16" s="516"/>
      <c r="V16" s="516"/>
      <c r="W16" s="516"/>
      <c r="X16" s="519">
        <f t="shared" si="0"/>
        <v>22.25</v>
      </c>
      <c r="Y16" s="237" t="s">
        <v>345</v>
      </c>
      <c r="Z16" s="520"/>
      <c r="AA16" s="518"/>
      <c r="AB16" s="517">
        <v>38</v>
      </c>
      <c r="AC16" s="521"/>
      <c r="AD16" s="522"/>
      <c r="AE16" s="523"/>
      <c r="AF16" s="522"/>
      <c r="AG16" s="521"/>
      <c r="AH16" s="67">
        <f t="shared" si="3"/>
        <v>8.4550000000000001</v>
      </c>
      <c r="AI16" s="510">
        <f>X16*AB16/100*0.2</f>
        <v>1.6910000000000001</v>
      </c>
      <c r="AJ16" s="69"/>
      <c r="AK16" s="69"/>
      <c r="AL16" s="69"/>
      <c r="AM16" s="69"/>
      <c r="AN16" s="69">
        <f>X16*AB16/100*0.6</f>
        <v>5.0729999999999995</v>
      </c>
      <c r="AO16" s="69"/>
      <c r="AP16" s="69"/>
      <c r="AQ16" s="507">
        <f>X16*AB16/100*0.2</f>
        <v>1.6910000000000001</v>
      </c>
      <c r="AR16" s="52"/>
      <c r="AS16" s="52"/>
    </row>
    <row r="17" spans="1:45" x14ac:dyDescent="0.25">
      <c r="A17" s="500"/>
      <c r="B17" s="501"/>
      <c r="C17" s="501"/>
      <c r="D17" s="501"/>
      <c r="E17" s="513">
        <v>50</v>
      </c>
      <c r="F17" s="501"/>
      <c r="G17" s="138"/>
      <c r="H17" s="138"/>
      <c r="I17" s="138"/>
      <c r="J17" s="138"/>
      <c r="K17" s="138"/>
      <c r="L17" s="501"/>
      <c r="M17" s="501"/>
      <c r="N17" s="69"/>
      <c r="O17" s="138"/>
      <c r="P17" s="138"/>
      <c r="Q17" s="138"/>
      <c r="R17" s="138"/>
      <c r="S17" s="138"/>
      <c r="T17" s="138"/>
      <c r="U17" s="138"/>
      <c r="V17" s="138"/>
      <c r="W17" s="138"/>
      <c r="X17" s="503">
        <f t="shared" si="0"/>
        <v>50</v>
      </c>
      <c r="Y17" s="235" t="s">
        <v>346</v>
      </c>
      <c r="Z17" s="504"/>
      <c r="AA17" s="502"/>
      <c r="AB17" s="69">
        <v>80</v>
      </c>
      <c r="AC17" s="505"/>
      <c r="AD17" s="506"/>
      <c r="AE17" s="507"/>
      <c r="AF17" s="506"/>
      <c r="AG17" s="505"/>
      <c r="AH17" s="67">
        <f t="shared" si="3"/>
        <v>40</v>
      </c>
      <c r="AI17" s="510">
        <f t="shared" ref="AI17:AI22" si="4">X17*AB17/100</f>
        <v>40</v>
      </c>
      <c r="AJ17" s="69"/>
      <c r="AK17" s="69"/>
      <c r="AL17" s="69"/>
      <c r="AM17" s="69"/>
      <c r="AN17" s="69"/>
      <c r="AO17" s="69"/>
      <c r="AP17" s="69"/>
      <c r="AQ17" s="507"/>
      <c r="AR17" s="52"/>
      <c r="AS17" s="524"/>
    </row>
    <row r="18" spans="1:45" x14ac:dyDescent="0.25">
      <c r="A18" s="500"/>
      <c r="B18" s="501"/>
      <c r="C18" s="501"/>
      <c r="D18" s="501"/>
      <c r="E18" s="501"/>
      <c r="F18" s="501"/>
      <c r="G18" s="138"/>
      <c r="H18" s="138"/>
      <c r="I18" s="513">
        <v>0.4</v>
      </c>
      <c r="J18" s="138"/>
      <c r="K18" s="138"/>
      <c r="L18" s="501"/>
      <c r="M18" s="501"/>
      <c r="N18" s="69"/>
      <c r="O18" s="138"/>
      <c r="P18" s="138"/>
      <c r="Q18" s="138"/>
      <c r="R18" s="138"/>
      <c r="S18" s="138"/>
      <c r="T18" s="138"/>
      <c r="U18" s="138"/>
      <c r="V18" s="138"/>
      <c r="W18" s="138"/>
      <c r="X18" s="503">
        <f t="shared" si="0"/>
        <v>0.4</v>
      </c>
      <c r="Y18" s="235" t="s">
        <v>347</v>
      </c>
      <c r="Z18" s="504"/>
      <c r="AA18" s="502"/>
      <c r="AB18" s="69">
        <v>85</v>
      </c>
      <c r="AC18" s="505"/>
      <c r="AD18" s="506"/>
      <c r="AE18" s="507"/>
      <c r="AF18" s="506"/>
      <c r="AG18" s="505"/>
      <c r="AH18" s="67">
        <f t="shared" si="3"/>
        <v>0.34</v>
      </c>
      <c r="AI18" s="510">
        <f t="shared" si="4"/>
        <v>0.34</v>
      </c>
      <c r="AJ18" s="69"/>
      <c r="AK18" s="69"/>
      <c r="AL18" s="69"/>
      <c r="AM18" s="69"/>
      <c r="AN18" s="69"/>
      <c r="AO18" s="69"/>
      <c r="AP18" s="69"/>
      <c r="AQ18" s="507"/>
      <c r="AR18" s="52"/>
      <c r="AS18" s="524"/>
    </row>
    <row r="19" spans="1:45" x14ac:dyDescent="0.25">
      <c r="A19" s="500"/>
      <c r="B19" s="501"/>
      <c r="C19" s="501"/>
      <c r="D19" s="501"/>
      <c r="E19" s="501"/>
      <c r="F19" s="501"/>
      <c r="G19" s="138"/>
      <c r="H19" s="138"/>
      <c r="I19" s="138"/>
      <c r="J19" s="138"/>
      <c r="K19" s="138"/>
      <c r="L19" s="501"/>
      <c r="M19" s="501"/>
      <c r="N19" s="69"/>
      <c r="O19" s="138"/>
      <c r="P19" s="138"/>
      <c r="Q19" s="513"/>
      <c r="R19" s="513"/>
      <c r="S19" s="513">
        <v>82</v>
      </c>
      <c r="T19" s="138"/>
      <c r="U19" s="138"/>
      <c r="V19" s="138"/>
      <c r="W19" s="138"/>
      <c r="X19" s="503">
        <f t="shared" si="0"/>
        <v>82</v>
      </c>
      <c r="Y19" s="235" t="s">
        <v>348</v>
      </c>
      <c r="Z19" s="504"/>
      <c r="AA19" s="502"/>
      <c r="AB19" s="69">
        <v>75</v>
      </c>
      <c r="AC19" s="505"/>
      <c r="AD19" s="506"/>
      <c r="AE19" s="507"/>
      <c r="AF19" s="506"/>
      <c r="AG19" s="505"/>
      <c r="AH19" s="67">
        <f t="shared" si="3"/>
        <v>61.5</v>
      </c>
      <c r="AI19" s="510">
        <f t="shared" si="4"/>
        <v>61.5</v>
      </c>
      <c r="AJ19" s="69"/>
      <c r="AK19" s="69"/>
      <c r="AL19" s="69"/>
      <c r="AM19" s="69"/>
      <c r="AN19" s="69"/>
      <c r="AO19" s="69"/>
      <c r="AP19" s="69"/>
      <c r="AQ19" s="507"/>
      <c r="AR19" s="52"/>
      <c r="AS19" s="52"/>
    </row>
    <row r="20" spans="1:45" x14ac:dyDescent="0.25">
      <c r="A20" s="500"/>
      <c r="B20" s="501"/>
      <c r="C20" s="501"/>
      <c r="D20" s="501"/>
      <c r="E20" s="501"/>
      <c r="F20" s="501"/>
      <c r="G20" s="138"/>
      <c r="H20" s="138"/>
      <c r="I20" s="138"/>
      <c r="J20" s="138"/>
      <c r="K20" s="138"/>
      <c r="L20" s="501"/>
      <c r="M20" s="501"/>
      <c r="N20" s="69"/>
      <c r="O20" s="138"/>
      <c r="P20" s="138"/>
      <c r="Q20" s="513"/>
      <c r="R20" s="513">
        <v>134</v>
      </c>
      <c r="S20" s="513"/>
      <c r="T20" s="138"/>
      <c r="U20" s="138"/>
      <c r="V20" s="138"/>
      <c r="W20" s="138"/>
      <c r="X20" s="503">
        <f t="shared" si="0"/>
        <v>134</v>
      </c>
      <c r="Y20" s="235" t="s">
        <v>349</v>
      </c>
      <c r="Z20" s="504"/>
      <c r="AA20" s="502"/>
      <c r="AB20" s="69">
        <v>65</v>
      </c>
      <c r="AC20" s="505"/>
      <c r="AD20" s="506"/>
      <c r="AE20" s="507"/>
      <c r="AF20" s="506"/>
      <c r="AG20" s="505"/>
      <c r="AH20" s="67">
        <f t="shared" si="3"/>
        <v>87.1</v>
      </c>
      <c r="AI20" s="510">
        <f t="shared" si="4"/>
        <v>87.1</v>
      </c>
      <c r="AJ20" s="69"/>
      <c r="AK20" s="69"/>
      <c r="AL20" s="69"/>
      <c r="AM20" s="69"/>
      <c r="AN20" s="69"/>
      <c r="AO20" s="69"/>
      <c r="AP20" s="69"/>
      <c r="AQ20" s="507"/>
      <c r="AR20" s="52"/>
      <c r="AS20" s="524"/>
    </row>
    <row r="21" spans="1:45" x14ac:dyDescent="0.25">
      <c r="A21" s="500"/>
      <c r="B21" s="501"/>
      <c r="C21" s="501"/>
      <c r="D21" s="501"/>
      <c r="E21" s="501"/>
      <c r="F21" s="501"/>
      <c r="G21" s="138"/>
      <c r="H21" s="138"/>
      <c r="I21" s="138"/>
      <c r="J21" s="138"/>
      <c r="K21" s="138"/>
      <c r="L21" s="501"/>
      <c r="M21" s="501"/>
      <c r="N21" s="69"/>
      <c r="O21" s="138"/>
      <c r="P21" s="138"/>
      <c r="Q21" s="513">
        <v>20</v>
      </c>
      <c r="R21" s="513"/>
      <c r="S21" s="513"/>
      <c r="T21" s="138"/>
      <c r="U21" s="138"/>
      <c r="V21" s="138"/>
      <c r="W21" s="138"/>
      <c r="X21" s="503">
        <f t="shared" si="0"/>
        <v>20</v>
      </c>
      <c r="Y21" s="235" t="s">
        <v>350</v>
      </c>
      <c r="Z21" s="504"/>
      <c r="AA21" s="502"/>
      <c r="AB21" s="69">
        <v>65</v>
      </c>
      <c r="AC21" s="505"/>
      <c r="AD21" s="506"/>
      <c r="AE21" s="507"/>
      <c r="AF21" s="506"/>
      <c r="AG21" s="505"/>
      <c r="AH21" s="67">
        <f t="shared" si="3"/>
        <v>13</v>
      </c>
      <c r="AI21" s="510">
        <f t="shared" si="4"/>
        <v>13</v>
      </c>
      <c r="AJ21" s="69"/>
      <c r="AK21" s="69"/>
      <c r="AL21" s="69"/>
      <c r="AM21" s="69"/>
      <c r="AN21" s="69"/>
      <c r="AO21" s="69"/>
      <c r="AP21" s="69"/>
      <c r="AQ21" s="507"/>
      <c r="AR21" s="52"/>
      <c r="AS21" s="524"/>
    </row>
    <row r="22" spans="1:45" x14ac:dyDescent="0.25">
      <c r="A22" s="500"/>
      <c r="B22" s="501"/>
      <c r="C22" s="501"/>
      <c r="D22" s="501"/>
      <c r="E22" s="501"/>
      <c r="F22" s="501"/>
      <c r="G22" s="138"/>
      <c r="H22" s="138"/>
      <c r="I22" s="138"/>
      <c r="J22" s="138"/>
      <c r="K22" s="138"/>
      <c r="L22" s="513">
        <v>3.09</v>
      </c>
      <c r="M22" s="501"/>
      <c r="N22" s="69"/>
      <c r="O22" s="138"/>
      <c r="P22" s="138"/>
      <c r="Q22" s="138"/>
      <c r="R22" s="138"/>
      <c r="S22" s="138"/>
      <c r="T22" s="138"/>
      <c r="U22" s="138"/>
      <c r="V22" s="138"/>
      <c r="W22" s="138"/>
      <c r="X22" s="503">
        <f t="shared" si="0"/>
        <v>3.09</v>
      </c>
      <c r="Y22" s="235" t="s">
        <v>331</v>
      </c>
      <c r="Z22" s="504"/>
      <c r="AA22" s="502"/>
      <c r="AB22" s="502">
        <v>100</v>
      </c>
      <c r="AC22" s="505"/>
      <c r="AD22" s="506"/>
      <c r="AE22" s="507"/>
      <c r="AF22" s="506"/>
      <c r="AG22" s="505"/>
      <c r="AH22" s="67">
        <f t="shared" si="3"/>
        <v>3.09</v>
      </c>
      <c r="AI22" s="510">
        <f t="shared" si="4"/>
        <v>3.09</v>
      </c>
      <c r="AJ22" s="69"/>
      <c r="AK22" s="69"/>
      <c r="AL22" s="69"/>
      <c r="AM22" s="69"/>
      <c r="AN22" s="69"/>
      <c r="AO22" s="69"/>
      <c r="AP22" s="69"/>
      <c r="AQ22" s="507"/>
      <c r="AR22" s="52"/>
      <c r="AS22" s="137"/>
    </row>
    <row r="23" spans="1:45" x14ac:dyDescent="0.25">
      <c r="A23" s="500"/>
      <c r="B23" s="501"/>
      <c r="C23" s="138"/>
      <c r="D23" s="138"/>
      <c r="E23" s="513">
        <v>27.38</v>
      </c>
      <c r="F23" s="138"/>
      <c r="G23" s="138"/>
      <c r="H23" s="138"/>
      <c r="I23" s="138"/>
      <c r="J23" s="138"/>
      <c r="K23" s="138"/>
      <c r="L23" s="138"/>
      <c r="M23" s="138"/>
      <c r="N23" s="69"/>
      <c r="O23" s="138"/>
      <c r="P23" s="138"/>
      <c r="Q23" s="138"/>
      <c r="R23" s="138"/>
      <c r="S23" s="138"/>
      <c r="T23" s="138"/>
      <c r="U23" s="138"/>
      <c r="V23" s="138"/>
      <c r="W23" s="138"/>
      <c r="X23" s="503">
        <f t="shared" si="0"/>
        <v>27.38</v>
      </c>
      <c r="Y23" s="235" t="s">
        <v>292</v>
      </c>
      <c r="Z23" s="504"/>
      <c r="AA23" s="502">
        <v>90</v>
      </c>
      <c r="AB23" s="502"/>
      <c r="AC23" s="505"/>
      <c r="AD23" s="506"/>
      <c r="AE23" s="507"/>
      <c r="AF23" s="506"/>
      <c r="AG23" s="505"/>
      <c r="AH23" s="67">
        <f t="shared" si="3"/>
        <v>24.641999999999999</v>
      </c>
      <c r="AI23" s="510"/>
      <c r="AJ23" s="69"/>
      <c r="AK23" s="69"/>
      <c r="AL23" s="69"/>
      <c r="AM23" s="69"/>
      <c r="AN23" s="69">
        <f>X23*AA23/100</f>
        <v>24.641999999999999</v>
      </c>
      <c r="AO23" s="69"/>
      <c r="AP23" s="69"/>
      <c r="AQ23" s="507"/>
      <c r="AR23" s="52"/>
      <c r="AS23" s="52"/>
    </row>
    <row r="24" spans="1:45" x14ac:dyDescent="0.25">
      <c r="A24" s="500"/>
      <c r="B24" s="501"/>
      <c r="C24" s="138"/>
      <c r="D24" s="138"/>
      <c r="E24" s="138"/>
      <c r="F24" s="138"/>
      <c r="G24" s="138"/>
      <c r="H24" s="138"/>
      <c r="I24" s="513">
        <v>753</v>
      </c>
      <c r="J24" s="138"/>
      <c r="K24" s="138"/>
      <c r="L24" s="138"/>
      <c r="M24" s="138"/>
      <c r="N24" s="69"/>
      <c r="O24" s="138"/>
      <c r="P24" s="138"/>
      <c r="Q24" s="138"/>
      <c r="R24" s="138"/>
      <c r="S24" s="138"/>
      <c r="T24" s="138"/>
      <c r="U24" s="138"/>
      <c r="V24" s="138"/>
      <c r="W24" s="138"/>
      <c r="X24" s="503">
        <f t="shared" si="0"/>
        <v>753</v>
      </c>
      <c r="Y24" s="235" t="s">
        <v>294</v>
      </c>
      <c r="Z24" s="504"/>
      <c r="AA24" s="502">
        <v>90</v>
      </c>
      <c r="AB24" s="502"/>
      <c r="AC24" s="505"/>
      <c r="AD24" s="506"/>
      <c r="AE24" s="507"/>
      <c r="AF24" s="506"/>
      <c r="AG24" s="505"/>
      <c r="AH24" s="67">
        <f t="shared" si="3"/>
        <v>677.7</v>
      </c>
      <c r="AI24" s="510"/>
      <c r="AJ24" s="69"/>
      <c r="AK24" s="69"/>
      <c r="AL24" s="69"/>
      <c r="AM24" s="69"/>
      <c r="AN24" s="69">
        <f>X24*AA24/100</f>
        <v>677.7</v>
      </c>
      <c r="AO24" s="69"/>
      <c r="AP24" s="69"/>
      <c r="AQ24" s="507"/>
      <c r="AR24" s="52"/>
      <c r="AS24" s="524"/>
    </row>
    <row r="25" spans="1:45" x14ac:dyDescent="0.25">
      <c r="A25" s="525"/>
      <c r="B25" s="138"/>
      <c r="C25" s="138"/>
      <c r="D25" s="513">
        <v>520.89</v>
      </c>
      <c r="E25" s="138"/>
      <c r="F25" s="138"/>
      <c r="G25" s="138"/>
      <c r="H25" s="138"/>
      <c r="I25" s="513">
        <v>4657.29</v>
      </c>
      <c r="J25" s="138"/>
      <c r="K25" s="138"/>
      <c r="L25" s="138"/>
      <c r="M25" s="138"/>
      <c r="N25" s="138"/>
      <c r="O25" s="138"/>
      <c r="P25" s="138"/>
      <c r="Q25" s="138"/>
      <c r="R25" s="138"/>
      <c r="S25" s="513">
        <v>3.9</v>
      </c>
      <c r="T25" s="138"/>
      <c r="U25" s="138"/>
      <c r="V25" s="138"/>
      <c r="W25" s="138"/>
      <c r="X25" s="503">
        <f t="shared" si="0"/>
        <v>5182.08</v>
      </c>
      <c r="Y25" s="235" t="s">
        <v>355</v>
      </c>
      <c r="Z25" s="504"/>
      <c r="AA25" s="502">
        <v>90</v>
      </c>
      <c r="AB25" s="502"/>
      <c r="AC25" s="505"/>
      <c r="AD25" s="506"/>
      <c r="AE25" s="507"/>
      <c r="AF25" s="506"/>
      <c r="AG25" s="505"/>
      <c r="AH25" s="67">
        <f t="shared" si="3"/>
        <v>4663.8720000000003</v>
      </c>
      <c r="AI25" s="510"/>
      <c r="AJ25" s="69"/>
      <c r="AK25" s="69"/>
      <c r="AL25" s="69"/>
      <c r="AM25" s="69"/>
      <c r="AN25" s="69">
        <f>X25*AA25/100</f>
        <v>4663.8720000000003</v>
      </c>
      <c r="AO25" s="69"/>
      <c r="AP25" s="69"/>
      <c r="AQ25" s="507"/>
      <c r="AR25" s="68"/>
      <c r="AS25" s="524"/>
    </row>
    <row r="26" spans="1:45" x14ac:dyDescent="0.25">
      <c r="A26" s="500"/>
      <c r="B26" s="501"/>
      <c r="C26" s="138"/>
      <c r="D26" s="138"/>
      <c r="E26" s="138"/>
      <c r="F26" s="138"/>
      <c r="G26" s="138"/>
      <c r="H26" s="138"/>
      <c r="I26" s="138"/>
      <c r="J26" s="138"/>
      <c r="K26" s="138"/>
      <c r="L26" s="513">
        <v>18.670000000000002</v>
      </c>
      <c r="M26" s="138"/>
      <c r="N26" s="69"/>
      <c r="O26" s="138"/>
      <c r="P26" s="138"/>
      <c r="Q26" s="138"/>
      <c r="R26" s="138"/>
      <c r="S26" s="138"/>
      <c r="T26" s="138"/>
      <c r="U26" s="138"/>
      <c r="V26" s="138"/>
      <c r="W26" s="138"/>
      <c r="X26" s="503">
        <f t="shared" si="0"/>
        <v>18.670000000000002</v>
      </c>
      <c r="Y26" s="235" t="s">
        <v>131</v>
      </c>
      <c r="Z26" s="502">
        <v>100</v>
      </c>
      <c r="AA26" s="502"/>
      <c r="AB26" s="502"/>
      <c r="AC26" s="505"/>
      <c r="AD26" s="506">
        <f>X26*Z26/100</f>
        <v>18.670000000000002</v>
      </c>
      <c r="AE26" s="507"/>
      <c r="AF26" s="506"/>
      <c r="AG26" s="505"/>
      <c r="AH26" s="67">
        <f t="shared" si="3"/>
        <v>0</v>
      </c>
      <c r="AI26" s="510"/>
      <c r="AJ26" s="69"/>
      <c r="AK26" s="69"/>
      <c r="AL26" s="69"/>
      <c r="AM26" s="69"/>
      <c r="AN26" s="69"/>
      <c r="AO26" s="69"/>
      <c r="AP26" s="69"/>
      <c r="AQ26" s="507"/>
      <c r="AR26" s="52"/>
      <c r="AS26" s="52"/>
    </row>
    <row r="27" spans="1:45" x14ac:dyDescent="0.25">
      <c r="A27" s="500"/>
      <c r="B27" s="501"/>
      <c r="C27" s="138"/>
      <c r="D27" s="138"/>
      <c r="E27" s="138"/>
      <c r="F27" s="138"/>
      <c r="G27" s="138"/>
      <c r="H27" s="138"/>
      <c r="I27" s="138"/>
      <c r="J27" s="513">
        <v>14.16</v>
      </c>
      <c r="K27" s="138"/>
      <c r="L27" s="138"/>
      <c r="M27" s="138"/>
      <c r="N27" s="69"/>
      <c r="O27" s="138"/>
      <c r="P27" s="138"/>
      <c r="Q27" s="138"/>
      <c r="R27" s="138"/>
      <c r="S27" s="138"/>
      <c r="T27" s="138"/>
      <c r="U27" s="138"/>
      <c r="V27" s="138"/>
      <c r="W27" s="138"/>
      <c r="X27" s="503">
        <f t="shared" si="0"/>
        <v>14.16</v>
      </c>
      <c r="Y27" s="235" t="s">
        <v>135</v>
      </c>
      <c r="Z27" s="502">
        <v>100</v>
      </c>
      <c r="AA27" s="502"/>
      <c r="AB27" s="502"/>
      <c r="AC27" s="505"/>
      <c r="AD27" s="506">
        <f>Z27*X27/100</f>
        <v>14.16</v>
      </c>
      <c r="AE27" s="507"/>
      <c r="AF27" s="506"/>
      <c r="AG27" s="505"/>
      <c r="AH27" s="67">
        <f t="shared" si="3"/>
        <v>0</v>
      </c>
      <c r="AI27" s="510"/>
      <c r="AJ27" s="69"/>
      <c r="AK27" s="69"/>
      <c r="AL27" s="69"/>
      <c r="AM27" s="69"/>
      <c r="AN27" s="69"/>
      <c r="AO27" s="69"/>
      <c r="AP27" s="69"/>
      <c r="AQ27" s="507"/>
      <c r="AR27" s="52"/>
      <c r="AS27" s="52"/>
    </row>
    <row r="28" spans="1:45" x14ac:dyDescent="0.25">
      <c r="A28" s="500"/>
      <c r="B28" s="501"/>
      <c r="C28" s="138"/>
      <c r="D28" s="138"/>
      <c r="E28" s="138"/>
      <c r="F28" s="138"/>
      <c r="G28" s="138"/>
      <c r="H28" s="138"/>
      <c r="I28" s="138"/>
      <c r="J28" s="238"/>
      <c r="K28" s="138"/>
      <c r="L28" s="138"/>
      <c r="M28" s="138"/>
      <c r="N28" s="69"/>
      <c r="O28" s="138"/>
      <c r="P28" s="138"/>
      <c r="Q28" s="138"/>
      <c r="R28" s="138"/>
      <c r="S28" s="138"/>
      <c r="T28" s="138"/>
      <c r="U28" s="138"/>
      <c r="V28" s="138"/>
      <c r="W28" s="138"/>
      <c r="X28" s="503">
        <f t="shared" si="0"/>
        <v>0</v>
      </c>
      <c r="Y28" s="235" t="s">
        <v>137</v>
      </c>
      <c r="Z28" s="506">
        <v>100</v>
      </c>
      <c r="AA28" s="69"/>
      <c r="AB28" s="69"/>
      <c r="AC28" s="507"/>
      <c r="AD28" s="506">
        <f>Z28*X28/100</f>
        <v>0</v>
      </c>
      <c r="AE28" s="507"/>
      <c r="AF28" s="506"/>
      <c r="AG28" s="505"/>
      <c r="AH28" s="67">
        <f t="shared" si="3"/>
        <v>0</v>
      </c>
      <c r="AI28" s="510"/>
      <c r="AJ28" s="69"/>
      <c r="AK28" s="69"/>
      <c r="AL28" s="69"/>
      <c r="AM28" s="69"/>
      <c r="AN28" s="69"/>
      <c r="AO28" s="69"/>
      <c r="AP28" s="69"/>
      <c r="AQ28" s="507"/>
      <c r="AR28" s="52"/>
      <c r="AS28" s="52"/>
    </row>
    <row r="29" spans="1:45" x14ac:dyDescent="0.25">
      <c r="A29" s="500"/>
      <c r="B29" s="501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69"/>
      <c r="O29" s="138"/>
      <c r="P29" s="138"/>
      <c r="Q29" s="138"/>
      <c r="R29" s="138"/>
      <c r="S29" s="138"/>
      <c r="T29" s="138"/>
      <c r="U29" s="138"/>
      <c r="V29" s="138"/>
      <c r="W29" s="138"/>
      <c r="X29" s="503">
        <f t="shared" si="0"/>
        <v>0</v>
      </c>
      <c r="Y29" s="235" t="s">
        <v>139</v>
      </c>
      <c r="Z29" s="69">
        <v>100</v>
      </c>
      <c r="AA29" s="69"/>
      <c r="AB29" s="69"/>
      <c r="AC29" s="507"/>
      <c r="AD29" s="506">
        <f>Z29*X29/100</f>
        <v>0</v>
      </c>
      <c r="AE29" s="507"/>
      <c r="AF29" s="506"/>
      <c r="AG29" s="505"/>
      <c r="AH29" s="67">
        <f t="shared" si="3"/>
        <v>0</v>
      </c>
      <c r="AI29" s="526"/>
      <c r="AJ29" s="502"/>
      <c r="AK29" s="502"/>
      <c r="AL29" s="502"/>
      <c r="AM29" s="502"/>
      <c r="AN29" s="502"/>
      <c r="AO29" s="502"/>
      <c r="AP29" s="502"/>
      <c r="AQ29" s="505"/>
      <c r="AR29" s="52"/>
      <c r="AS29" s="52"/>
    </row>
    <row r="30" spans="1:45" x14ac:dyDescent="0.25">
      <c r="A30" s="500"/>
      <c r="B30" s="501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69"/>
      <c r="O30" s="138"/>
      <c r="P30" s="138"/>
      <c r="Q30" s="138"/>
      <c r="R30" s="138"/>
      <c r="S30" s="138"/>
      <c r="T30" s="138"/>
      <c r="U30" s="138"/>
      <c r="V30" s="138"/>
      <c r="W30" s="138"/>
      <c r="X30" s="503">
        <f t="shared" si="0"/>
        <v>0</v>
      </c>
      <c r="Y30" s="235" t="s">
        <v>141</v>
      </c>
      <c r="Z30" s="69">
        <v>100</v>
      </c>
      <c r="AA30" s="69"/>
      <c r="AB30" s="69"/>
      <c r="AC30" s="507"/>
      <c r="AD30" s="506">
        <f>Z30*X30/100</f>
        <v>0</v>
      </c>
      <c r="AE30" s="507"/>
      <c r="AF30" s="506"/>
      <c r="AG30" s="505"/>
      <c r="AH30" s="67">
        <f t="shared" si="3"/>
        <v>0</v>
      </c>
      <c r="AI30" s="526"/>
      <c r="AJ30" s="502"/>
      <c r="AK30" s="502"/>
      <c r="AL30" s="502"/>
      <c r="AM30" s="502"/>
      <c r="AN30" s="502"/>
      <c r="AO30" s="502"/>
      <c r="AP30" s="502"/>
      <c r="AQ30" s="505"/>
      <c r="AR30" s="52"/>
      <c r="AS30" s="52"/>
    </row>
    <row r="31" spans="1:45" x14ac:dyDescent="0.25">
      <c r="A31" s="527"/>
      <c r="B31" s="502"/>
      <c r="C31" s="502"/>
      <c r="D31" s="502"/>
      <c r="E31" s="502"/>
      <c r="F31" s="502"/>
      <c r="G31" s="502"/>
      <c r="H31" s="502"/>
      <c r="I31" s="513">
        <f>-(O31+T31)*AA31%</f>
        <v>0</v>
      </c>
      <c r="J31" s="238"/>
      <c r="K31" s="138"/>
      <c r="L31" s="138"/>
      <c r="M31" s="138"/>
      <c r="N31" s="69"/>
      <c r="O31" s="138"/>
      <c r="P31" s="138"/>
      <c r="Q31" s="138"/>
      <c r="R31" s="138"/>
      <c r="S31" s="138"/>
      <c r="T31" s="138"/>
      <c r="U31" s="138"/>
      <c r="V31" s="138"/>
      <c r="W31" s="138"/>
      <c r="X31" s="503">
        <f t="shared" si="0"/>
        <v>0</v>
      </c>
      <c r="Y31" s="239" t="s">
        <v>462</v>
      </c>
      <c r="Z31" s="528"/>
      <c r="AA31" s="138">
        <v>100</v>
      </c>
      <c r="AB31" s="138"/>
      <c r="AC31" s="509"/>
      <c r="AD31" s="525"/>
      <c r="AE31" s="509"/>
      <c r="AF31" s="525"/>
      <c r="AG31" s="503"/>
      <c r="AH31" s="192"/>
      <c r="AI31" s="527"/>
      <c r="AJ31" s="501"/>
      <c r="AK31" s="501"/>
      <c r="AL31" s="501"/>
      <c r="AM31" s="501"/>
      <c r="AN31" s="501"/>
      <c r="AO31" s="501"/>
      <c r="AP31" s="501"/>
      <c r="AQ31" s="503"/>
      <c r="AR31" s="159"/>
      <c r="AS31" s="159"/>
    </row>
    <row r="32" spans="1:45" x14ac:dyDescent="0.25">
      <c r="A32" s="501"/>
      <c r="B32" s="501"/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503">
        <f t="shared" si="0"/>
        <v>0</v>
      </c>
      <c r="Y32" s="239" t="s">
        <v>463</v>
      </c>
      <c r="Z32" s="525"/>
      <c r="AA32" s="138"/>
      <c r="AB32" s="138"/>
      <c r="AC32" s="509"/>
      <c r="AD32" s="506">
        <f>X32*Z32/100</f>
        <v>0</v>
      </c>
      <c r="AE32" s="507"/>
      <c r="AF32" s="506">
        <f>X32*AB32/100</f>
        <v>0</v>
      </c>
      <c r="AG32" s="507"/>
      <c r="AH32" s="67">
        <f>SUM(AI32:AQ32)</f>
        <v>0</v>
      </c>
      <c r="AI32" s="526"/>
      <c r="AJ32" s="138"/>
      <c r="AK32" s="501"/>
      <c r="AL32" s="501"/>
      <c r="AM32" s="501"/>
      <c r="AN32" s="501"/>
      <c r="AO32" s="501"/>
      <c r="AP32" s="138"/>
      <c r="AQ32" s="505"/>
      <c r="AR32" s="52"/>
      <c r="AS32" s="52"/>
    </row>
    <row r="33" spans="1:45" x14ac:dyDescent="0.25">
      <c r="A33" s="501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254"/>
      <c r="O33" s="138"/>
      <c r="P33" s="138"/>
      <c r="Q33" s="138"/>
      <c r="R33" s="138"/>
      <c r="S33" s="138"/>
      <c r="T33" s="138"/>
      <c r="U33" s="138"/>
      <c r="V33" s="138"/>
      <c r="W33" s="138"/>
      <c r="X33" s="503">
        <f t="shared" si="0"/>
        <v>0</v>
      </c>
      <c r="Y33" s="235" t="s">
        <v>145</v>
      </c>
      <c r="Z33" s="525"/>
      <c r="AA33" s="138"/>
      <c r="AB33" s="138"/>
      <c r="AC33" s="507"/>
      <c r="AD33" s="506">
        <f>X33*Z33/100</f>
        <v>0</v>
      </c>
      <c r="AE33" s="507"/>
      <c r="AF33" s="506">
        <f>X33*AB33/100</f>
        <v>0</v>
      </c>
      <c r="AG33" s="505"/>
      <c r="AH33" s="67">
        <f t="shared" si="3"/>
        <v>0</v>
      </c>
      <c r="AI33" s="526"/>
      <c r="AJ33" s="502"/>
      <c r="AK33" s="502"/>
      <c r="AL33" s="502"/>
      <c r="AM33" s="502"/>
      <c r="AN33" s="502"/>
      <c r="AO33" s="502"/>
      <c r="AP33" s="502"/>
      <c r="AQ33" s="505"/>
      <c r="AR33" s="52"/>
      <c r="AS33" s="52"/>
    </row>
    <row r="34" spans="1:45" x14ac:dyDescent="0.25">
      <c r="A34" s="501"/>
      <c r="B34" s="501"/>
      <c r="C34" s="501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254"/>
      <c r="O34" s="138"/>
      <c r="P34" s="138"/>
      <c r="Q34" s="138"/>
      <c r="R34" s="138"/>
      <c r="S34" s="138"/>
      <c r="T34" s="138"/>
      <c r="U34" s="138"/>
      <c r="V34" s="138"/>
      <c r="W34" s="138"/>
      <c r="X34" s="503">
        <f t="shared" si="0"/>
        <v>0</v>
      </c>
      <c r="Y34" s="235" t="s">
        <v>147</v>
      </c>
      <c r="Z34" s="525"/>
      <c r="AA34" s="138"/>
      <c r="AB34" s="138"/>
      <c r="AC34" s="507"/>
      <c r="AD34" s="506">
        <f>X34*Z34/100</f>
        <v>0</v>
      </c>
      <c r="AE34" s="507"/>
      <c r="AF34" s="506">
        <f>X34*AB34</f>
        <v>0</v>
      </c>
      <c r="AG34" s="505"/>
      <c r="AH34" s="67">
        <f t="shared" si="3"/>
        <v>0</v>
      </c>
      <c r="AI34" s="526"/>
      <c r="AJ34" s="502"/>
      <c r="AK34" s="502"/>
      <c r="AL34" s="502"/>
      <c r="AM34" s="502"/>
      <c r="AN34" s="502"/>
      <c r="AO34" s="502"/>
      <c r="AP34" s="502"/>
      <c r="AQ34" s="505"/>
      <c r="AR34" s="52"/>
      <c r="AS34" s="52"/>
    </row>
    <row r="35" spans="1:45" x14ac:dyDescent="0.25">
      <c r="A35" s="501"/>
      <c r="B35" s="501"/>
      <c r="C35" s="501"/>
      <c r="D35" s="138"/>
      <c r="E35" s="529"/>
      <c r="F35" s="138"/>
      <c r="G35" s="138"/>
      <c r="H35" s="138"/>
      <c r="I35" s="138"/>
      <c r="J35" s="138"/>
      <c r="K35" s="138"/>
      <c r="L35" s="138"/>
      <c r="M35" s="138"/>
      <c r="N35" s="254"/>
      <c r="O35" s="138"/>
      <c r="P35" s="138"/>
      <c r="Q35" s="138"/>
      <c r="R35" s="138"/>
      <c r="S35" s="138"/>
      <c r="T35" s="138"/>
      <c r="U35" s="138"/>
      <c r="V35" s="138"/>
      <c r="W35" s="138"/>
      <c r="X35" s="503">
        <f t="shared" si="0"/>
        <v>0</v>
      </c>
      <c r="Y35" s="235" t="s">
        <v>149</v>
      </c>
      <c r="Z35" s="525"/>
      <c r="AA35" s="138"/>
      <c r="AB35" s="138"/>
      <c r="AC35" s="507"/>
      <c r="AD35" s="506">
        <f>X35*Z35/100</f>
        <v>0</v>
      </c>
      <c r="AE35" s="507"/>
      <c r="AF35" s="506">
        <f>X35*AB35</f>
        <v>0</v>
      </c>
      <c r="AG35" s="505"/>
      <c r="AH35" s="67">
        <f t="shared" si="3"/>
        <v>0</v>
      </c>
      <c r="AI35" s="526"/>
      <c r="AJ35" s="502"/>
      <c r="AK35" s="502"/>
      <c r="AL35" s="502"/>
      <c r="AM35" s="502"/>
      <c r="AN35" s="502"/>
      <c r="AO35" s="502"/>
      <c r="AP35" s="502"/>
      <c r="AQ35" s="505"/>
      <c r="AR35" s="52"/>
      <c r="AS35" s="52"/>
    </row>
    <row r="36" spans="1:45" x14ac:dyDescent="0.25">
      <c r="A36" s="501"/>
      <c r="B36" s="501"/>
      <c r="C36" s="501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254"/>
      <c r="O36" s="138"/>
      <c r="P36" s="138"/>
      <c r="Q36" s="138"/>
      <c r="R36" s="138"/>
      <c r="S36" s="138"/>
      <c r="T36" s="138"/>
      <c r="U36" s="138"/>
      <c r="V36" s="138"/>
      <c r="W36" s="138"/>
      <c r="X36" s="503">
        <f t="shared" si="0"/>
        <v>0</v>
      </c>
      <c r="Y36" s="235" t="s">
        <v>151</v>
      </c>
      <c r="Z36" s="525"/>
      <c r="AA36" s="138"/>
      <c r="AB36" s="138"/>
      <c r="AC36" s="507"/>
      <c r="AD36" s="506"/>
      <c r="AE36" s="507"/>
      <c r="AF36" s="506">
        <f>X36*AB36/100</f>
        <v>0</v>
      </c>
      <c r="AG36" s="505"/>
      <c r="AH36" s="67">
        <f t="shared" si="3"/>
        <v>0</v>
      </c>
      <c r="AI36" s="526"/>
      <c r="AJ36" s="502"/>
      <c r="AK36" s="502"/>
      <c r="AL36" s="502"/>
      <c r="AM36" s="502"/>
      <c r="AN36" s="502"/>
      <c r="AO36" s="502"/>
      <c r="AP36" s="502"/>
      <c r="AQ36" s="505"/>
      <c r="AR36" s="52"/>
      <c r="AS36" s="52"/>
    </row>
    <row r="37" spans="1:45" x14ac:dyDescent="0.25">
      <c r="A37" s="501"/>
      <c r="B37" s="501"/>
      <c r="C37" s="501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513">
        <f>AF37-AE37</f>
        <v>0</v>
      </c>
      <c r="O37" s="138"/>
      <c r="P37" s="138"/>
      <c r="Q37" s="138"/>
      <c r="R37" s="138"/>
      <c r="S37" s="138"/>
      <c r="T37" s="138"/>
      <c r="U37" s="138"/>
      <c r="V37" s="138"/>
      <c r="W37" s="138"/>
      <c r="X37" s="503">
        <f t="shared" si="0"/>
        <v>0</v>
      </c>
      <c r="Y37" s="239" t="s">
        <v>153</v>
      </c>
      <c r="Z37" s="506"/>
      <c r="AA37" s="69"/>
      <c r="AB37" s="69"/>
      <c r="AC37" s="507"/>
      <c r="AD37" s="525">
        <f>-AE37/$D$2%</f>
        <v>0</v>
      </c>
      <c r="AE37" s="530"/>
      <c r="AF37" s="531">
        <f>AE37*AB37%</f>
        <v>0</v>
      </c>
      <c r="AG37" s="503"/>
      <c r="AH37" s="192"/>
      <c r="AI37" s="532"/>
      <c r="AJ37" s="532"/>
      <c r="AK37" s="513"/>
      <c r="AL37" s="513"/>
      <c r="AM37" s="513"/>
      <c r="AN37" s="513"/>
      <c r="AO37" s="513"/>
      <c r="AP37" s="513"/>
      <c r="AQ37" s="507"/>
      <c r="AR37" s="159"/>
      <c r="AS37" s="159"/>
    </row>
    <row r="38" spans="1:45" x14ac:dyDescent="0.25">
      <c r="A38" s="501"/>
      <c r="B38" s="501"/>
      <c r="C38" s="501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503">
        <f t="shared" si="0"/>
        <v>0</v>
      </c>
      <c r="Y38" s="239" t="s">
        <v>155</v>
      </c>
      <c r="Z38" s="506"/>
      <c r="AA38" s="69"/>
      <c r="AB38" s="69"/>
      <c r="AC38" s="507"/>
      <c r="AD38" s="525">
        <f>-AE38/$D$2%</f>
        <v>0</v>
      </c>
      <c r="AE38" s="507"/>
      <c r="AF38" s="506">
        <f>AE38*AB38%</f>
        <v>0</v>
      </c>
      <c r="AG38" s="509"/>
      <c r="AH38" s="192"/>
      <c r="AI38" s="532"/>
      <c r="AJ38" s="532"/>
      <c r="AK38" s="513"/>
      <c r="AL38" s="513"/>
      <c r="AM38" s="513"/>
      <c r="AN38" s="513"/>
      <c r="AO38" s="513"/>
      <c r="AP38" s="513"/>
      <c r="AQ38" s="507"/>
      <c r="AR38" s="52"/>
      <c r="AS38" s="52"/>
    </row>
    <row r="39" spans="1:45" x14ac:dyDescent="0.25">
      <c r="A39" s="501"/>
      <c r="B39" s="501"/>
      <c r="C39" s="501"/>
      <c r="D39" s="501"/>
      <c r="E39" s="501"/>
      <c r="F39" s="501"/>
      <c r="G39" s="501"/>
      <c r="H39" s="501"/>
      <c r="I39" s="501"/>
      <c r="J39" s="501"/>
      <c r="K39" s="501"/>
      <c r="L39" s="501"/>
      <c r="M39" s="501"/>
      <c r="N39" s="254"/>
      <c r="O39" s="138"/>
      <c r="P39" s="138"/>
      <c r="Q39" s="138"/>
      <c r="R39" s="138"/>
      <c r="S39" s="138"/>
      <c r="T39" s="138"/>
      <c r="U39" s="138"/>
      <c r="V39" s="138"/>
      <c r="W39" s="138"/>
      <c r="X39" s="503">
        <f t="shared" si="0"/>
        <v>0</v>
      </c>
      <c r="Y39" s="235" t="s">
        <v>157</v>
      </c>
      <c r="Z39" s="525"/>
      <c r="AA39" s="138"/>
      <c r="AB39" s="138"/>
      <c r="AC39" s="533">
        <f>100-20.6</f>
        <v>79.400000000000006</v>
      </c>
      <c r="AD39" s="506"/>
      <c r="AE39" s="507"/>
      <c r="AF39" s="506">
        <f>-SUM(AF33:AF36)</f>
        <v>0</v>
      </c>
      <c r="AG39" s="507">
        <f>-AF39*AC39/100</f>
        <v>0</v>
      </c>
      <c r="AH39" s="67">
        <f>SUM(AI39:AQ39)</f>
        <v>0</v>
      </c>
      <c r="AI39" s="532">
        <f>AG39*65.1%</f>
        <v>0</v>
      </c>
      <c r="AJ39" s="532">
        <f>AG39*9.9%</f>
        <v>0</v>
      </c>
      <c r="AK39" s="513">
        <f>AG39*13.3%</f>
        <v>0</v>
      </c>
      <c r="AL39" s="513">
        <f>AG39*7%</f>
        <v>0</v>
      </c>
      <c r="AM39" s="513">
        <f>AG39*0%</f>
        <v>0</v>
      </c>
      <c r="AN39" s="513">
        <f>AG39*3.2%</f>
        <v>0</v>
      </c>
      <c r="AO39" s="513">
        <f>AG39*1.5%</f>
        <v>0</v>
      </c>
      <c r="AP39" s="513"/>
      <c r="AQ39" s="507"/>
      <c r="AR39" s="216"/>
      <c r="AS39" s="52"/>
    </row>
    <row r="40" spans="1:45" x14ac:dyDescent="0.25">
      <c r="A40" s="501"/>
      <c r="B40" s="501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254"/>
      <c r="O40" s="138"/>
      <c r="P40" s="138"/>
      <c r="Q40" s="138"/>
      <c r="R40" s="138"/>
      <c r="S40" s="138"/>
      <c r="T40" s="138"/>
      <c r="U40" s="138"/>
      <c r="V40" s="138"/>
      <c r="W40" s="138"/>
      <c r="X40" s="503">
        <f t="shared" si="0"/>
        <v>0</v>
      </c>
      <c r="Y40" s="235" t="s">
        <v>163</v>
      </c>
      <c r="Z40" s="525"/>
      <c r="AA40" s="138"/>
      <c r="AB40" s="138"/>
      <c r="AC40" s="509"/>
      <c r="AD40" s="506">
        <f>X40*Z40/100</f>
        <v>0</v>
      </c>
      <c r="AE40" s="507"/>
      <c r="AF40" s="506">
        <f>X40*AB40/100</f>
        <v>0</v>
      </c>
      <c r="AG40" s="507"/>
      <c r="AH40" s="67">
        <f t="shared" si="3"/>
        <v>0</v>
      </c>
      <c r="AI40" s="532"/>
      <c r="AJ40" s="532"/>
      <c r="AK40" s="513"/>
      <c r="AL40" s="513"/>
      <c r="AM40" s="513"/>
      <c r="AN40" s="513"/>
      <c r="AO40" s="513"/>
      <c r="AP40" s="513"/>
      <c r="AQ40" s="507"/>
      <c r="AR40" s="52"/>
      <c r="AS40" s="52"/>
    </row>
    <row r="41" spans="1:45" x14ac:dyDescent="0.25">
      <c r="A41" s="501"/>
      <c r="B41" s="501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254"/>
      <c r="O41" s="138"/>
      <c r="P41" s="138"/>
      <c r="Q41" s="138"/>
      <c r="R41" s="138"/>
      <c r="S41" s="138"/>
      <c r="T41" s="138"/>
      <c r="U41" s="138"/>
      <c r="V41" s="138"/>
      <c r="W41" s="138"/>
      <c r="X41" s="503">
        <f t="shared" si="0"/>
        <v>0</v>
      </c>
      <c r="Y41" s="235" t="s">
        <v>165</v>
      </c>
      <c r="Z41" s="525"/>
      <c r="AA41" s="138"/>
      <c r="AB41" s="138"/>
      <c r="AC41" s="509"/>
      <c r="AD41" s="506">
        <f>X41*Z41/100</f>
        <v>0</v>
      </c>
      <c r="AE41" s="507"/>
      <c r="AF41" s="506">
        <f>X41*AB41/100</f>
        <v>0</v>
      </c>
      <c r="AG41" s="507"/>
      <c r="AH41" s="67">
        <f t="shared" si="3"/>
        <v>0</v>
      </c>
      <c r="AI41" s="532"/>
      <c r="AJ41" s="532"/>
      <c r="AK41" s="513"/>
      <c r="AL41" s="513"/>
      <c r="AM41" s="513"/>
      <c r="AN41" s="513"/>
      <c r="AO41" s="513"/>
      <c r="AP41" s="513"/>
      <c r="AQ41" s="507"/>
      <c r="AR41" s="52"/>
      <c r="AS41" s="52"/>
    </row>
    <row r="42" spans="1:45" x14ac:dyDescent="0.25">
      <c r="A42" s="501"/>
      <c r="B42" s="501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254"/>
      <c r="O42" s="138"/>
      <c r="P42" s="138"/>
      <c r="Q42" s="138"/>
      <c r="R42" s="138"/>
      <c r="S42" s="138"/>
      <c r="T42" s="138"/>
      <c r="U42" s="138"/>
      <c r="V42" s="138"/>
      <c r="W42" s="138"/>
      <c r="X42" s="503">
        <f t="shared" si="0"/>
        <v>0</v>
      </c>
      <c r="Y42" s="235" t="s">
        <v>167</v>
      </c>
      <c r="Z42" s="525"/>
      <c r="AA42" s="138"/>
      <c r="AB42" s="138"/>
      <c r="AC42" s="509"/>
      <c r="AD42" s="506">
        <f>X42*Z42/100</f>
        <v>0</v>
      </c>
      <c r="AE42" s="507"/>
      <c r="AF42" s="506">
        <f>X42*AB42/100</f>
        <v>0</v>
      </c>
      <c r="AG42" s="507"/>
      <c r="AH42" s="67">
        <f t="shared" si="3"/>
        <v>0</v>
      </c>
      <c r="AI42" s="532"/>
      <c r="AJ42" s="532"/>
      <c r="AK42" s="513"/>
      <c r="AL42" s="513"/>
      <c r="AM42" s="513"/>
      <c r="AN42" s="513"/>
      <c r="AO42" s="513"/>
      <c r="AP42" s="513"/>
      <c r="AQ42" s="507"/>
      <c r="AR42" s="52"/>
      <c r="AS42" s="52"/>
    </row>
    <row r="43" spans="1:45" x14ac:dyDescent="0.25">
      <c r="A43" s="501"/>
      <c r="B43" s="501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254"/>
      <c r="O43" s="138"/>
      <c r="P43" s="138"/>
      <c r="Q43" s="138"/>
      <c r="R43" s="138"/>
      <c r="S43" s="138"/>
      <c r="T43" s="138"/>
      <c r="U43" s="138"/>
      <c r="V43" s="138"/>
      <c r="W43" s="138"/>
      <c r="X43" s="503">
        <f t="shared" si="0"/>
        <v>0</v>
      </c>
      <c r="Y43" s="235" t="s">
        <v>169</v>
      </c>
      <c r="Z43" s="525"/>
      <c r="AA43" s="138"/>
      <c r="AB43" s="138"/>
      <c r="AC43" s="533">
        <f>100-20.6</f>
        <v>79.400000000000006</v>
      </c>
      <c r="AD43" s="506"/>
      <c r="AE43" s="507"/>
      <c r="AF43" s="506">
        <f>-SUM(AF40:AF42)</f>
        <v>0</v>
      </c>
      <c r="AG43" s="507">
        <f>-AF43*AC43/100</f>
        <v>0</v>
      </c>
      <c r="AH43" s="67">
        <f t="shared" si="3"/>
        <v>0</v>
      </c>
      <c r="AI43" s="532">
        <f>AG43*65.1%</f>
        <v>0</v>
      </c>
      <c r="AJ43" s="532">
        <f>AG43*9.9%</f>
        <v>0</v>
      </c>
      <c r="AK43" s="513">
        <f>AG43*13.3%</f>
        <v>0</v>
      </c>
      <c r="AL43" s="513">
        <f>AG43*7%</f>
        <v>0</v>
      </c>
      <c r="AM43" s="513">
        <f>AG43*0%</f>
        <v>0</v>
      </c>
      <c r="AN43" s="513">
        <f>AG43*3.2%</f>
        <v>0</v>
      </c>
      <c r="AO43" s="513">
        <f>AG43*1.5%</f>
        <v>0</v>
      </c>
      <c r="AP43" s="513"/>
      <c r="AQ43" s="507"/>
      <c r="AR43" s="52"/>
      <c r="AS43" s="52"/>
    </row>
    <row r="44" spans="1:45" x14ac:dyDescent="0.25">
      <c r="A44" s="501"/>
      <c r="B44" s="501"/>
      <c r="C44" s="534"/>
      <c r="D44" s="138"/>
      <c r="E44" s="534"/>
      <c r="F44" s="138"/>
      <c r="G44" s="138"/>
      <c r="H44" s="138"/>
      <c r="I44" s="138"/>
      <c r="J44" s="138"/>
      <c r="K44" s="138"/>
      <c r="L44" s="138"/>
      <c r="M44" s="138"/>
      <c r="N44" s="254"/>
      <c r="O44" s="138"/>
      <c r="P44" s="138"/>
      <c r="Q44" s="138"/>
      <c r="R44" s="138"/>
      <c r="S44" s="138"/>
      <c r="T44" s="138"/>
      <c r="U44" s="138"/>
      <c r="V44" s="138"/>
      <c r="W44" s="138"/>
      <c r="X44" s="503">
        <f t="shared" si="0"/>
        <v>0</v>
      </c>
      <c r="Y44" s="235" t="s">
        <v>173</v>
      </c>
      <c r="Z44" s="525"/>
      <c r="AA44" s="138"/>
      <c r="AB44" s="138"/>
      <c r="AC44" s="509"/>
      <c r="AD44" s="506">
        <f>X44*Z44/100</f>
        <v>0</v>
      </c>
      <c r="AE44" s="507"/>
      <c r="AF44" s="506">
        <f t="shared" ref="AF44:AF51" si="5">X44*AB44/100</f>
        <v>0</v>
      </c>
      <c r="AG44" s="507"/>
      <c r="AH44" s="67">
        <f t="shared" si="3"/>
        <v>0</v>
      </c>
      <c r="AI44" s="532"/>
      <c r="AJ44" s="532"/>
      <c r="AK44" s="513"/>
      <c r="AL44" s="513"/>
      <c r="AM44" s="513"/>
      <c r="AN44" s="513"/>
      <c r="AO44" s="513"/>
      <c r="AP44" s="513"/>
      <c r="AQ44" s="507"/>
      <c r="AR44" s="52"/>
      <c r="AS44" s="52"/>
    </row>
    <row r="45" spans="1:45" x14ac:dyDescent="0.25">
      <c r="A45" s="501"/>
      <c r="B45" s="501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254"/>
      <c r="O45" s="138"/>
      <c r="P45" s="138"/>
      <c r="Q45" s="138"/>
      <c r="R45" s="138"/>
      <c r="S45" s="138"/>
      <c r="T45" s="138"/>
      <c r="U45" s="138"/>
      <c r="V45" s="138"/>
      <c r="W45" s="138"/>
      <c r="X45" s="503">
        <f t="shared" si="0"/>
        <v>0</v>
      </c>
      <c r="Y45" s="235" t="s">
        <v>175</v>
      </c>
      <c r="Z45" s="525"/>
      <c r="AA45" s="138"/>
      <c r="AB45" s="138"/>
      <c r="AC45" s="509"/>
      <c r="AD45" s="506">
        <f>X45*Z45/100</f>
        <v>0</v>
      </c>
      <c r="AE45" s="507"/>
      <c r="AF45" s="506">
        <f t="shared" si="5"/>
        <v>0</v>
      </c>
      <c r="AG45" s="507"/>
      <c r="AH45" s="67">
        <f t="shared" si="3"/>
        <v>0</v>
      </c>
      <c r="AI45" s="532"/>
      <c r="AJ45" s="532"/>
      <c r="AK45" s="513"/>
      <c r="AL45" s="513"/>
      <c r="AM45" s="513"/>
      <c r="AN45" s="513"/>
      <c r="AO45" s="513"/>
      <c r="AP45" s="513"/>
      <c r="AQ45" s="507"/>
      <c r="AR45" s="52"/>
      <c r="AS45" s="52"/>
    </row>
    <row r="46" spans="1:45" x14ac:dyDescent="0.25">
      <c r="A46" s="501"/>
      <c r="B46" s="501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254"/>
      <c r="O46" s="138"/>
      <c r="P46" s="138"/>
      <c r="Q46" s="138"/>
      <c r="R46" s="138"/>
      <c r="S46" s="535"/>
      <c r="T46" s="138"/>
      <c r="U46" s="138"/>
      <c r="V46" s="138"/>
      <c r="W46" s="138"/>
      <c r="X46" s="503">
        <f t="shared" si="0"/>
        <v>0</v>
      </c>
      <c r="Y46" s="235" t="s">
        <v>177</v>
      </c>
      <c r="Z46" s="525"/>
      <c r="AA46" s="138"/>
      <c r="AB46" s="138"/>
      <c r="AC46" s="509"/>
      <c r="AD46" s="506">
        <f>X46*Z46/100</f>
        <v>0</v>
      </c>
      <c r="AE46" s="507"/>
      <c r="AF46" s="506">
        <f t="shared" si="5"/>
        <v>0</v>
      </c>
      <c r="AG46" s="507"/>
      <c r="AH46" s="67">
        <f t="shared" si="3"/>
        <v>0</v>
      </c>
      <c r="AI46" s="532"/>
      <c r="AJ46" s="532"/>
      <c r="AK46" s="513"/>
      <c r="AL46" s="513"/>
      <c r="AM46" s="513"/>
      <c r="AN46" s="513"/>
      <c r="AO46" s="513"/>
      <c r="AP46" s="513"/>
      <c r="AQ46" s="507"/>
      <c r="AR46" s="52"/>
      <c r="AS46" s="52"/>
    </row>
    <row r="47" spans="1:45" x14ac:dyDescent="0.25">
      <c r="A47" s="501"/>
      <c r="B47" s="501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254"/>
      <c r="O47" s="138"/>
      <c r="P47" s="138"/>
      <c r="Q47" s="138"/>
      <c r="R47" s="138"/>
      <c r="S47" s="138"/>
      <c r="T47" s="138"/>
      <c r="U47" s="138"/>
      <c r="V47" s="138"/>
      <c r="W47" s="138"/>
      <c r="X47" s="503">
        <f t="shared" si="0"/>
        <v>0</v>
      </c>
      <c r="Y47" s="235" t="s">
        <v>179</v>
      </c>
      <c r="Z47" s="525"/>
      <c r="AA47" s="138"/>
      <c r="AB47" s="138"/>
      <c r="AC47" s="509"/>
      <c r="AD47" s="506">
        <f>X47*Z47/100</f>
        <v>0</v>
      </c>
      <c r="AE47" s="507"/>
      <c r="AF47" s="506">
        <f t="shared" si="5"/>
        <v>0</v>
      </c>
      <c r="AG47" s="507"/>
      <c r="AH47" s="67">
        <f t="shared" si="3"/>
        <v>0</v>
      </c>
      <c r="AI47" s="532"/>
      <c r="AJ47" s="532"/>
      <c r="AK47" s="513"/>
      <c r="AL47" s="513"/>
      <c r="AM47" s="513"/>
      <c r="AN47" s="513"/>
      <c r="AO47" s="513"/>
      <c r="AP47" s="513"/>
      <c r="AQ47" s="507"/>
      <c r="AR47" s="52"/>
      <c r="AS47" s="52"/>
    </row>
    <row r="48" spans="1:45" x14ac:dyDescent="0.25">
      <c r="A48" s="502"/>
      <c r="B48" s="502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513">
        <f>AF48-AE48</f>
        <v>0</v>
      </c>
      <c r="O48" s="69"/>
      <c r="P48" s="69"/>
      <c r="Q48" s="69"/>
      <c r="R48" s="69"/>
      <c r="S48" s="69"/>
      <c r="T48" s="69"/>
      <c r="U48" s="69"/>
      <c r="V48" s="69"/>
      <c r="W48" s="69"/>
      <c r="X48" s="503">
        <f t="shared" si="0"/>
        <v>0</v>
      </c>
      <c r="Y48" s="235" t="s">
        <v>181</v>
      </c>
      <c r="Z48" s="506"/>
      <c r="AA48" s="69"/>
      <c r="AB48" s="69"/>
      <c r="AC48" s="507"/>
      <c r="AD48" s="525">
        <f>-AE48/$D$2%</f>
        <v>0</v>
      </c>
      <c r="AE48" s="509"/>
      <c r="AF48" s="506">
        <f>AE48*AB48%</f>
        <v>0</v>
      </c>
      <c r="AG48" s="509"/>
      <c r="AH48" s="192"/>
      <c r="AI48" s="532"/>
      <c r="AJ48" s="532"/>
      <c r="AK48" s="513"/>
      <c r="AL48" s="513"/>
      <c r="AM48" s="513"/>
      <c r="AN48" s="513"/>
      <c r="AO48" s="513"/>
      <c r="AP48" s="513"/>
      <c r="AQ48" s="507"/>
      <c r="AR48" s="159"/>
      <c r="AS48" s="159"/>
    </row>
    <row r="49" spans="1:45" x14ac:dyDescent="0.25">
      <c r="A49" s="502"/>
      <c r="B49" s="502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503">
        <f t="shared" si="0"/>
        <v>0</v>
      </c>
      <c r="Y49" s="235" t="s">
        <v>183</v>
      </c>
      <c r="Z49" s="506"/>
      <c r="AA49" s="69"/>
      <c r="AB49" s="69"/>
      <c r="AC49" s="507"/>
      <c r="AD49" s="525">
        <f>-AE49/$D$2%</f>
        <v>0</v>
      </c>
      <c r="AE49" s="509"/>
      <c r="AF49" s="525">
        <f>AE49*AB49%</f>
        <v>0</v>
      </c>
      <c r="AG49" s="509"/>
      <c r="AH49" s="192"/>
      <c r="AI49" s="532"/>
      <c r="AJ49" s="532"/>
      <c r="AK49" s="513"/>
      <c r="AL49" s="513"/>
      <c r="AM49" s="513"/>
      <c r="AN49" s="513"/>
      <c r="AO49" s="513"/>
      <c r="AP49" s="513"/>
      <c r="AQ49" s="507"/>
      <c r="AR49" s="159"/>
      <c r="AS49" s="159"/>
    </row>
    <row r="50" spans="1:45" x14ac:dyDescent="0.25">
      <c r="A50" s="501"/>
      <c r="B50" s="501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503">
        <f t="shared" si="0"/>
        <v>0</v>
      </c>
      <c r="Y50" s="536" t="s">
        <v>185</v>
      </c>
      <c r="Z50" s="525"/>
      <c r="AA50" s="138"/>
      <c r="AB50" s="138"/>
      <c r="AC50" s="509"/>
      <c r="AD50" s="506"/>
      <c r="AE50" s="507"/>
      <c r="AF50" s="506">
        <f t="shared" si="5"/>
        <v>0</v>
      </c>
      <c r="AG50" s="507"/>
      <c r="AH50" s="67">
        <f t="shared" si="3"/>
        <v>0</v>
      </c>
      <c r="AI50" s="532"/>
      <c r="AJ50" s="532"/>
      <c r="AK50" s="513"/>
      <c r="AL50" s="513"/>
      <c r="AM50" s="513"/>
      <c r="AN50" s="513"/>
      <c r="AO50" s="513"/>
      <c r="AP50" s="513"/>
      <c r="AQ50" s="507"/>
      <c r="AR50" s="52"/>
      <c r="AS50" s="52"/>
    </row>
    <row r="51" spans="1:45" x14ac:dyDescent="0.25">
      <c r="A51" s="501"/>
      <c r="B51" s="501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503">
        <f t="shared" si="0"/>
        <v>0</v>
      </c>
      <c r="Y51" s="235" t="s">
        <v>187</v>
      </c>
      <c r="Z51" s="525"/>
      <c r="AA51" s="138"/>
      <c r="AB51" s="138"/>
      <c r="AC51" s="509"/>
      <c r="AD51" s="506">
        <f>X51*Z51/100</f>
        <v>0</v>
      </c>
      <c r="AE51" s="507"/>
      <c r="AF51" s="506">
        <f t="shared" si="5"/>
        <v>0</v>
      </c>
      <c r="AG51" s="507"/>
      <c r="AH51" s="67">
        <f t="shared" si="3"/>
        <v>0</v>
      </c>
      <c r="AI51" s="532"/>
      <c r="AJ51" s="532"/>
      <c r="AK51" s="513"/>
      <c r="AL51" s="513"/>
      <c r="AM51" s="513"/>
      <c r="AN51" s="513"/>
      <c r="AO51" s="513"/>
      <c r="AP51" s="513"/>
      <c r="AQ51" s="507"/>
      <c r="AR51" s="52"/>
      <c r="AS51" s="52"/>
    </row>
    <row r="52" spans="1:45" x14ac:dyDescent="0.25">
      <c r="A52" s="501"/>
      <c r="B52" s="501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503">
        <f t="shared" si="0"/>
        <v>0</v>
      </c>
      <c r="Y52" s="235" t="s">
        <v>189</v>
      </c>
      <c r="Z52" s="525"/>
      <c r="AA52" s="138"/>
      <c r="AB52" s="138"/>
      <c r="AC52" s="533">
        <f>100-20.6</f>
        <v>79.400000000000006</v>
      </c>
      <c r="AD52" s="506"/>
      <c r="AE52" s="507"/>
      <c r="AF52" s="506">
        <f>-SUM(AF44:AF51)</f>
        <v>0</v>
      </c>
      <c r="AG52" s="507">
        <f>-AF52*AC52/100</f>
        <v>0</v>
      </c>
      <c r="AH52" s="67">
        <f t="shared" si="3"/>
        <v>0</v>
      </c>
      <c r="AI52" s="532">
        <f>AG52*65.1%</f>
        <v>0</v>
      </c>
      <c r="AJ52" s="532">
        <f>AG52*9.9%</f>
        <v>0</v>
      </c>
      <c r="AK52" s="513">
        <f>AG52*13.3%</f>
        <v>0</v>
      </c>
      <c r="AL52" s="513">
        <f>AG52*7%</f>
        <v>0</v>
      </c>
      <c r="AM52" s="513">
        <f>AG52*0%</f>
        <v>0</v>
      </c>
      <c r="AN52" s="513">
        <f>AG52*3.2%</f>
        <v>0</v>
      </c>
      <c r="AO52" s="513">
        <f>AG52*1.5%</f>
        <v>0</v>
      </c>
      <c r="AP52" s="513"/>
      <c r="AQ52" s="507"/>
      <c r="AR52" s="52"/>
      <c r="AS52" s="52"/>
    </row>
    <row r="53" spans="1:45" x14ac:dyDescent="0.25">
      <c r="A53" s="501"/>
      <c r="B53" s="501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503">
        <f t="shared" si="0"/>
        <v>0</v>
      </c>
      <c r="Y53" s="235" t="s">
        <v>193</v>
      </c>
      <c r="Z53" s="525"/>
      <c r="AA53" s="138"/>
      <c r="AB53" s="138"/>
      <c r="AC53" s="509"/>
      <c r="AD53" s="506">
        <f>X53*Z53/100</f>
        <v>0</v>
      </c>
      <c r="AE53" s="507"/>
      <c r="AF53" s="506">
        <f>X53*AB53/100</f>
        <v>0</v>
      </c>
      <c r="AG53" s="507"/>
      <c r="AH53" s="67">
        <f t="shared" ref="AH53:AH80" si="6">SUM(AI53:AQ53)</f>
        <v>0</v>
      </c>
      <c r="AI53" s="532"/>
      <c r="AJ53" s="532"/>
      <c r="AK53" s="513"/>
      <c r="AL53" s="513"/>
      <c r="AM53" s="513"/>
      <c r="AN53" s="513"/>
      <c r="AO53" s="513"/>
      <c r="AP53" s="513"/>
      <c r="AQ53" s="507"/>
      <c r="AR53" s="52"/>
      <c r="AS53" s="52"/>
    </row>
    <row r="54" spans="1:45" x14ac:dyDescent="0.25">
      <c r="A54" s="501"/>
      <c r="B54" s="501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503">
        <f t="shared" si="0"/>
        <v>0</v>
      </c>
      <c r="Y54" s="235" t="s">
        <v>195</v>
      </c>
      <c r="Z54" s="525"/>
      <c r="AA54" s="138"/>
      <c r="AB54" s="138"/>
      <c r="AC54" s="509"/>
      <c r="AD54" s="506">
        <f>X54*Z54/100</f>
        <v>0</v>
      </c>
      <c r="AE54" s="507"/>
      <c r="AF54" s="506">
        <f>X54*AB54/100</f>
        <v>0</v>
      </c>
      <c r="AG54" s="507"/>
      <c r="AH54" s="67">
        <f t="shared" si="6"/>
        <v>0</v>
      </c>
      <c r="AI54" s="532"/>
      <c r="AJ54" s="532"/>
      <c r="AK54" s="513"/>
      <c r="AL54" s="513"/>
      <c r="AM54" s="513"/>
      <c r="AN54" s="513"/>
      <c r="AO54" s="513"/>
      <c r="AP54" s="513"/>
      <c r="AQ54" s="507"/>
      <c r="AR54" s="52"/>
      <c r="AS54" s="52"/>
    </row>
    <row r="55" spans="1:45" x14ac:dyDescent="0.25">
      <c r="A55" s="501"/>
      <c r="B55" s="501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503">
        <f t="shared" si="0"/>
        <v>0</v>
      </c>
      <c r="Y55" s="235" t="s">
        <v>197</v>
      </c>
      <c r="Z55" s="525"/>
      <c r="AA55" s="138"/>
      <c r="AB55" s="138"/>
      <c r="AC55" s="533">
        <f>100-20.6</f>
        <v>79.400000000000006</v>
      </c>
      <c r="AD55" s="506"/>
      <c r="AE55" s="507"/>
      <c r="AF55" s="506">
        <f>-SUM(AF53:AF54)</f>
        <v>0</v>
      </c>
      <c r="AG55" s="507">
        <f>-AF55*AC55/100</f>
        <v>0</v>
      </c>
      <c r="AH55" s="67">
        <f t="shared" si="6"/>
        <v>0</v>
      </c>
      <c r="AI55" s="532">
        <f>AG55*65.1%</f>
        <v>0</v>
      </c>
      <c r="AJ55" s="532">
        <f>AG55*9.9%</f>
        <v>0</v>
      </c>
      <c r="AK55" s="513">
        <f>AG55*13.3%</f>
        <v>0</v>
      </c>
      <c r="AL55" s="513">
        <f>AG55*7%</f>
        <v>0</v>
      </c>
      <c r="AM55" s="513">
        <f>AG55*0%</f>
        <v>0</v>
      </c>
      <c r="AN55" s="513">
        <f>AG55*3.2%</f>
        <v>0</v>
      </c>
      <c r="AO55" s="513">
        <f>AG55*1.5%</f>
        <v>0</v>
      </c>
      <c r="AP55" s="513"/>
      <c r="AQ55" s="507"/>
      <c r="AR55" s="52"/>
      <c r="AS55" s="52"/>
    </row>
    <row r="56" spans="1:45" x14ac:dyDescent="0.25">
      <c r="A56" s="501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503">
        <f t="shared" si="0"/>
        <v>0</v>
      </c>
      <c r="Y56" s="235" t="s">
        <v>201</v>
      </c>
      <c r="Z56" s="525"/>
      <c r="AA56" s="138"/>
      <c r="AB56" s="138"/>
      <c r="AC56" s="509"/>
      <c r="AD56" s="506"/>
      <c r="AE56" s="507"/>
      <c r="AF56" s="506">
        <f>X56*AB56/100</f>
        <v>0</v>
      </c>
      <c r="AG56" s="507"/>
      <c r="AH56" s="67">
        <f t="shared" si="6"/>
        <v>0</v>
      </c>
      <c r="AI56" s="532"/>
      <c r="AJ56" s="532"/>
      <c r="AK56" s="513"/>
      <c r="AL56" s="513"/>
      <c r="AM56" s="513"/>
      <c r="AN56" s="513"/>
      <c r="AO56" s="513"/>
      <c r="AP56" s="513"/>
      <c r="AQ56" s="507"/>
      <c r="AR56" s="52"/>
      <c r="AS56" s="52"/>
    </row>
    <row r="57" spans="1:45" x14ac:dyDescent="0.25">
      <c r="A57" s="502"/>
      <c r="B57" s="502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513">
        <f>AF57-AE57</f>
        <v>0</v>
      </c>
      <c r="O57" s="69"/>
      <c r="P57" s="69"/>
      <c r="Q57" s="69"/>
      <c r="R57" s="69"/>
      <c r="S57" s="69"/>
      <c r="T57" s="69"/>
      <c r="U57" s="69"/>
      <c r="V57" s="69"/>
      <c r="W57" s="69"/>
      <c r="X57" s="503">
        <f t="shared" si="0"/>
        <v>0</v>
      </c>
      <c r="Y57" s="235" t="s">
        <v>203</v>
      </c>
      <c r="Z57" s="506"/>
      <c r="AA57" s="69"/>
      <c r="AB57" s="69"/>
      <c r="AC57" s="507"/>
      <c r="AD57" s="506">
        <f>-AE57/$D$2%</f>
        <v>0</v>
      </c>
      <c r="AE57" s="507"/>
      <c r="AF57" s="506">
        <f>AE57*AB57%</f>
        <v>0</v>
      </c>
      <c r="AG57" s="507"/>
      <c r="AH57" s="67"/>
      <c r="AI57" s="532"/>
      <c r="AJ57" s="532"/>
      <c r="AK57" s="513"/>
      <c r="AL57" s="513"/>
      <c r="AM57" s="513"/>
      <c r="AN57" s="513"/>
      <c r="AO57" s="513"/>
      <c r="AP57" s="513"/>
      <c r="AQ57" s="507"/>
      <c r="AR57" s="52"/>
      <c r="AS57" s="52"/>
    </row>
    <row r="58" spans="1:45" x14ac:dyDescent="0.25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537"/>
      <c r="O58" s="69"/>
      <c r="P58" s="69"/>
      <c r="Q58" s="69"/>
      <c r="R58" s="69"/>
      <c r="S58" s="69"/>
      <c r="T58" s="69"/>
      <c r="U58" s="69"/>
      <c r="V58" s="69"/>
      <c r="W58" s="69"/>
      <c r="X58" s="503">
        <f t="shared" si="0"/>
        <v>0</v>
      </c>
      <c r="Y58" s="235" t="s">
        <v>205</v>
      </c>
      <c r="Z58" s="506"/>
      <c r="AA58" s="69"/>
      <c r="AB58" s="69"/>
      <c r="AC58" s="507"/>
      <c r="AD58" s="506">
        <f>-AE58/$D$2%</f>
        <v>0</v>
      </c>
      <c r="AE58" s="507"/>
      <c r="AF58" s="506">
        <f>X58*AB58/100</f>
        <v>0</v>
      </c>
      <c r="AG58" s="507"/>
      <c r="AH58" s="67"/>
      <c r="AI58" s="532"/>
      <c r="AJ58" s="532"/>
      <c r="AK58" s="513"/>
      <c r="AL58" s="513"/>
      <c r="AM58" s="513"/>
      <c r="AN58" s="513"/>
      <c r="AO58" s="513"/>
      <c r="AP58" s="513"/>
      <c r="AQ58" s="507"/>
      <c r="AR58" s="52"/>
      <c r="AS58" s="52"/>
    </row>
    <row r="59" spans="1:45" x14ac:dyDescent="0.25">
      <c r="A59" s="502"/>
      <c r="B59" s="502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537"/>
      <c r="O59" s="69"/>
      <c r="P59" s="69"/>
      <c r="Q59" s="69"/>
      <c r="R59" s="69"/>
      <c r="S59" s="69"/>
      <c r="T59" s="69"/>
      <c r="U59" s="69"/>
      <c r="V59" s="69"/>
      <c r="W59" s="69"/>
      <c r="X59" s="503">
        <f t="shared" si="0"/>
        <v>0</v>
      </c>
      <c r="Y59" s="235" t="s">
        <v>207</v>
      </c>
      <c r="Z59" s="506"/>
      <c r="AA59" s="69"/>
      <c r="AB59" s="69"/>
      <c r="AC59" s="507"/>
      <c r="AD59" s="506"/>
      <c r="AE59" s="507"/>
      <c r="AF59" s="506">
        <f>X59*AB59/100</f>
        <v>0</v>
      </c>
      <c r="AG59" s="507"/>
      <c r="AH59" s="67"/>
      <c r="AI59" s="532"/>
      <c r="AJ59" s="532"/>
      <c r="AK59" s="513"/>
      <c r="AL59" s="513"/>
      <c r="AM59" s="513"/>
      <c r="AN59" s="513"/>
      <c r="AO59" s="513"/>
      <c r="AP59" s="513"/>
      <c r="AQ59" s="507"/>
      <c r="AR59" s="52"/>
      <c r="AS59" s="52"/>
    </row>
    <row r="60" spans="1:45" x14ac:dyDescent="0.25">
      <c r="A60" s="501"/>
      <c r="B60" s="501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254"/>
      <c r="O60" s="138"/>
      <c r="P60" s="138"/>
      <c r="Q60" s="138"/>
      <c r="R60" s="138"/>
      <c r="S60" s="138"/>
      <c r="T60" s="138"/>
      <c r="U60" s="138"/>
      <c r="V60" s="138"/>
      <c r="W60" s="138"/>
      <c r="X60" s="503">
        <f t="shared" si="0"/>
        <v>0</v>
      </c>
      <c r="Y60" s="235" t="s">
        <v>362</v>
      </c>
      <c r="Z60" s="525"/>
      <c r="AA60" s="138"/>
      <c r="AB60" s="138"/>
      <c r="AC60" s="509"/>
      <c r="AD60" s="506"/>
      <c r="AE60" s="507"/>
      <c r="AF60" s="506">
        <f>X60*AB60/100</f>
        <v>0</v>
      </c>
      <c r="AG60" s="507"/>
      <c r="AH60" s="67">
        <f t="shared" si="6"/>
        <v>0</v>
      </c>
      <c r="AI60" s="532"/>
      <c r="AJ60" s="532"/>
      <c r="AK60" s="513"/>
      <c r="AL60" s="513"/>
      <c r="AM60" s="513"/>
      <c r="AN60" s="513"/>
      <c r="AO60" s="513"/>
      <c r="AP60" s="513"/>
      <c r="AQ60" s="507"/>
      <c r="AR60" s="52"/>
      <c r="AS60" s="52"/>
    </row>
    <row r="61" spans="1:45" x14ac:dyDescent="0.25">
      <c r="A61" s="525"/>
      <c r="B61" s="138"/>
      <c r="C61" s="138"/>
      <c r="D61" s="138"/>
      <c r="E61" s="513">
        <f>5.4*31.8%</f>
        <v>1.7172000000000001</v>
      </c>
      <c r="F61" s="513"/>
      <c r="G61" s="513"/>
      <c r="H61" s="513"/>
      <c r="I61" s="513">
        <f>(1802.4+4668.2)*31.8%</f>
        <v>2057.6508000000003</v>
      </c>
      <c r="J61" s="513"/>
      <c r="K61" s="513"/>
      <c r="L61" s="513"/>
      <c r="M61" s="513"/>
      <c r="N61" s="513"/>
      <c r="O61" s="513"/>
      <c r="P61" s="513"/>
      <c r="Q61" s="513"/>
      <c r="R61" s="513">
        <f>1708.2*31.8%</f>
        <v>543.20760000000007</v>
      </c>
      <c r="S61" s="513">
        <f>(5.5+37.4)*31.8%</f>
        <v>13.642199999999999</v>
      </c>
      <c r="T61" s="513"/>
      <c r="U61" s="513">
        <f>1512.3*0.55*31.8%</f>
        <v>264.50126999999998</v>
      </c>
      <c r="V61" s="513">
        <f>43*31.8%</f>
        <v>13.673999999999999</v>
      </c>
      <c r="W61" s="513">
        <f>1512.3*0.45*31.8%</f>
        <v>216.41012999999998</v>
      </c>
      <c r="X61" s="503">
        <f t="shared" si="0"/>
        <v>3110.8032000000003</v>
      </c>
      <c r="Y61" s="235" t="s">
        <v>159</v>
      </c>
      <c r="Z61" s="504">
        <v>22.6</v>
      </c>
      <c r="AA61" s="502"/>
      <c r="AB61" s="502">
        <v>52.5</v>
      </c>
      <c r="AC61" s="505"/>
      <c r="AD61" s="525">
        <f>X61*Z61/100</f>
        <v>703.04152320000003</v>
      </c>
      <c r="AE61" s="509"/>
      <c r="AF61" s="506">
        <f>X61*AB61%</f>
        <v>1633.1716800000002</v>
      </c>
      <c r="AG61" s="507"/>
      <c r="AH61" s="67">
        <f t="shared" si="6"/>
        <v>0</v>
      </c>
      <c r="AI61" s="510"/>
      <c r="AJ61" s="69"/>
      <c r="AK61" s="69"/>
      <c r="AL61" s="69"/>
      <c r="AM61" s="69"/>
      <c r="AN61" s="69"/>
      <c r="AO61" s="69"/>
      <c r="AP61" s="69"/>
      <c r="AQ61" s="507"/>
      <c r="AR61" s="52"/>
      <c r="AS61" s="52"/>
    </row>
    <row r="62" spans="1:45" x14ac:dyDescent="0.25">
      <c r="A62" s="501"/>
      <c r="B62" s="501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538"/>
      <c r="O62" s="138"/>
      <c r="P62" s="138"/>
      <c r="Q62" s="138"/>
      <c r="R62" s="138"/>
      <c r="S62" s="138"/>
      <c r="T62" s="138"/>
      <c r="U62" s="138"/>
      <c r="V62" s="138"/>
      <c r="W62" s="501"/>
      <c r="X62" s="503">
        <f t="shared" si="0"/>
        <v>0</v>
      </c>
      <c r="Y62" s="235" t="s">
        <v>211</v>
      </c>
      <c r="Z62" s="504"/>
      <c r="AA62" s="502"/>
      <c r="AB62" s="502"/>
      <c r="AC62" s="505">
        <f>100-20.6</f>
        <v>79.400000000000006</v>
      </c>
      <c r="AD62" s="525"/>
      <c r="AE62" s="509"/>
      <c r="AF62" s="525">
        <f>-SUM(AF56:AF61)</f>
        <v>-1633.1716800000002</v>
      </c>
      <c r="AG62" s="507">
        <f>-AF62*AC62/100</f>
        <v>1296.7383139200001</v>
      </c>
      <c r="AH62" s="67">
        <f>SUM(AI62:AQ62)</f>
        <v>1296.7383139199999</v>
      </c>
      <c r="AI62" s="532">
        <f>AG62*65.1%</f>
        <v>844.1766423619199</v>
      </c>
      <c r="AJ62" s="532">
        <f>AG62*9.9%</f>
        <v>128.37709307808001</v>
      </c>
      <c r="AK62" s="513">
        <f>AG62*13.3%</f>
        <v>172.46619575136003</v>
      </c>
      <c r="AL62" s="513">
        <f>AG62*7%</f>
        <v>90.771681974400011</v>
      </c>
      <c r="AM62" s="513">
        <f>AG62*0%</f>
        <v>0</v>
      </c>
      <c r="AN62" s="513">
        <f>AG62*3.2%</f>
        <v>41.495626045440005</v>
      </c>
      <c r="AO62" s="513">
        <f>AG62*1.5%</f>
        <v>19.4510747088</v>
      </c>
      <c r="AP62" s="513"/>
      <c r="AQ62" s="507"/>
      <c r="AR62" s="52"/>
      <c r="AS62" s="52"/>
    </row>
    <row r="63" spans="1:45" x14ac:dyDescent="0.25">
      <c r="A63" s="501"/>
      <c r="B63" s="501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538"/>
      <c r="O63" s="138"/>
      <c r="P63" s="138"/>
      <c r="Q63" s="138"/>
      <c r="R63" s="138"/>
      <c r="S63" s="138"/>
      <c r="T63" s="138"/>
      <c r="U63" s="138"/>
      <c r="V63" s="138"/>
      <c r="W63" s="501"/>
      <c r="X63" s="503">
        <f t="shared" si="0"/>
        <v>0</v>
      </c>
      <c r="Y63" s="235" t="s">
        <v>215</v>
      </c>
      <c r="Z63" s="525"/>
      <c r="AA63" s="138"/>
      <c r="AB63" s="138"/>
      <c r="AC63" s="509"/>
      <c r="AD63" s="525">
        <f t="shared" ref="AD63:AD68" si="7">Z63/100*X63</f>
        <v>0</v>
      </c>
      <c r="AE63" s="509"/>
      <c r="AF63" s="506">
        <f t="shared" ref="AF63:AF67" si="8">X63*AB63/100</f>
        <v>0</v>
      </c>
      <c r="AG63" s="507"/>
      <c r="AH63" s="67">
        <f t="shared" si="6"/>
        <v>0</v>
      </c>
      <c r="AI63" s="510"/>
      <c r="AJ63" s="69"/>
      <c r="AK63" s="69"/>
      <c r="AL63" s="69"/>
      <c r="AM63" s="69"/>
      <c r="AN63" s="69"/>
      <c r="AO63" s="69"/>
      <c r="AP63" s="69"/>
      <c r="AQ63" s="507"/>
      <c r="AR63" s="52"/>
      <c r="AS63" s="52"/>
    </row>
    <row r="64" spans="1:45" x14ac:dyDescent="0.25">
      <c r="A64" s="501"/>
      <c r="B64" s="501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538"/>
      <c r="O64" s="138"/>
      <c r="P64" s="138"/>
      <c r="Q64" s="138"/>
      <c r="R64" s="138"/>
      <c r="S64" s="138"/>
      <c r="T64" s="138"/>
      <c r="U64" s="138"/>
      <c r="V64" s="138"/>
      <c r="W64" s="501"/>
      <c r="X64" s="503">
        <f t="shared" si="0"/>
        <v>0</v>
      </c>
      <c r="Y64" s="235" t="s">
        <v>217</v>
      </c>
      <c r="Z64" s="525"/>
      <c r="AA64" s="138"/>
      <c r="AB64" s="138"/>
      <c r="AC64" s="509"/>
      <c r="AD64" s="525">
        <f t="shared" si="7"/>
        <v>0</v>
      </c>
      <c r="AE64" s="509"/>
      <c r="AF64" s="506">
        <f t="shared" si="8"/>
        <v>0</v>
      </c>
      <c r="AG64" s="507"/>
      <c r="AH64" s="67">
        <f t="shared" si="6"/>
        <v>0</v>
      </c>
      <c r="AI64" s="510"/>
      <c r="AJ64" s="69"/>
      <c r="AK64" s="69"/>
      <c r="AL64" s="69"/>
      <c r="AM64" s="69"/>
      <c r="AN64" s="69"/>
      <c r="AO64" s="69"/>
      <c r="AP64" s="69"/>
      <c r="AQ64" s="507"/>
      <c r="AR64" s="52"/>
      <c r="AS64" s="52"/>
    </row>
    <row r="65" spans="1:45" x14ac:dyDescent="0.25">
      <c r="A65" s="501"/>
      <c r="B65" s="501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538"/>
      <c r="O65" s="138"/>
      <c r="P65" s="138"/>
      <c r="Q65" s="138"/>
      <c r="R65" s="138"/>
      <c r="S65" s="138"/>
      <c r="T65" s="138"/>
      <c r="U65" s="138"/>
      <c r="V65" s="138"/>
      <c r="W65" s="501"/>
      <c r="X65" s="503">
        <f t="shared" si="0"/>
        <v>0</v>
      </c>
      <c r="Y65" s="235" t="s">
        <v>219</v>
      </c>
      <c r="Z65" s="525"/>
      <c r="AA65" s="138"/>
      <c r="AB65" s="138"/>
      <c r="AC65" s="509"/>
      <c r="AD65" s="525">
        <f t="shared" si="7"/>
        <v>0</v>
      </c>
      <c r="AE65" s="509"/>
      <c r="AF65" s="506">
        <f t="shared" si="8"/>
        <v>0</v>
      </c>
      <c r="AG65" s="507"/>
      <c r="AH65" s="67">
        <f t="shared" si="6"/>
        <v>0</v>
      </c>
      <c r="AI65" s="510"/>
      <c r="AJ65" s="69"/>
      <c r="AK65" s="69"/>
      <c r="AL65" s="69"/>
      <c r="AM65" s="69"/>
      <c r="AN65" s="69"/>
      <c r="AO65" s="69"/>
      <c r="AP65" s="69"/>
      <c r="AQ65" s="507"/>
      <c r="AR65" s="52"/>
      <c r="AS65" s="52"/>
    </row>
    <row r="66" spans="1:45" x14ac:dyDescent="0.25">
      <c r="A66" s="501"/>
      <c r="B66" s="501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502"/>
      <c r="O66" s="138"/>
      <c r="P66" s="138"/>
      <c r="Q66" s="138"/>
      <c r="R66" s="138"/>
      <c r="S66" s="138"/>
      <c r="T66" s="138"/>
      <c r="U66" s="138"/>
      <c r="V66" s="138"/>
      <c r="W66" s="501"/>
      <c r="X66" s="503">
        <f t="shared" si="0"/>
        <v>0</v>
      </c>
      <c r="Y66" s="235" t="s">
        <v>221</v>
      </c>
      <c r="Z66" s="525"/>
      <c r="AA66" s="138"/>
      <c r="AB66" s="138"/>
      <c r="AC66" s="509"/>
      <c r="AD66" s="525">
        <f t="shared" si="7"/>
        <v>0</v>
      </c>
      <c r="AE66" s="509"/>
      <c r="AF66" s="506">
        <f t="shared" si="8"/>
        <v>0</v>
      </c>
      <c r="AG66" s="507"/>
      <c r="AH66" s="67">
        <f t="shared" si="6"/>
        <v>0</v>
      </c>
      <c r="AI66" s="510"/>
      <c r="AJ66" s="69"/>
      <c r="AK66" s="69"/>
      <c r="AL66" s="69"/>
      <c r="AM66" s="69"/>
      <c r="AN66" s="69"/>
      <c r="AO66" s="69"/>
      <c r="AP66" s="69"/>
      <c r="AQ66" s="507"/>
      <c r="AR66" s="52"/>
      <c r="AS66" s="52"/>
    </row>
    <row r="67" spans="1:45" x14ac:dyDescent="0.25">
      <c r="A67" s="501"/>
      <c r="B67" s="501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502"/>
      <c r="O67" s="138"/>
      <c r="P67" s="138"/>
      <c r="Q67" s="138"/>
      <c r="R67" s="138"/>
      <c r="S67" s="138"/>
      <c r="T67" s="138"/>
      <c r="U67" s="138"/>
      <c r="V67" s="138"/>
      <c r="W67" s="501"/>
      <c r="X67" s="503">
        <f t="shared" si="0"/>
        <v>0</v>
      </c>
      <c r="Y67" s="235" t="s">
        <v>223</v>
      </c>
      <c r="Z67" s="525"/>
      <c r="AA67" s="138"/>
      <c r="AB67" s="138"/>
      <c r="AC67" s="509"/>
      <c r="AD67" s="525">
        <f t="shared" si="7"/>
        <v>0</v>
      </c>
      <c r="AE67" s="509"/>
      <c r="AF67" s="506">
        <f t="shared" si="8"/>
        <v>0</v>
      </c>
      <c r="AG67" s="507"/>
      <c r="AH67" s="67">
        <f t="shared" si="6"/>
        <v>0</v>
      </c>
      <c r="AI67" s="510"/>
      <c r="AJ67" s="69"/>
      <c r="AK67" s="69"/>
      <c r="AL67" s="69"/>
      <c r="AM67" s="69"/>
      <c r="AN67" s="69"/>
      <c r="AO67" s="69"/>
      <c r="AP67" s="69"/>
      <c r="AQ67" s="507"/>
      <c r="AR67" s="52"/>
      <c r="AS67" s="52"/>
    </row>
    <row r="68" spans="1:45" x14ac:dyDescent="0.25">
      <c r="A68" s="501"/>
      <c r="B68" s="501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502"/>
      <c r="O68" s="138"/>
      <c r="P68" s="138"/>
      <c r="Q68" s="138"/>
      <c r="R68" s="138"/>
      <c r="S68" s="138"/>
      <c r="T68" s="138"/>
      <c r="U68" s="138"/>
      <c r="V68" s="138"/>
      <c r="W68" s="501"/>
      <c r="X68" s="503">
        <f t="shared" si="0"/>
        <v>0</v>
      </c>
      <c r="Y68" s="235" t="s">
        <v>225</v>
      </c>
      <c r="Z68" s="525"/>
      <c r="AA68" s="138"/>
      <c r="AB68" s="138"/>
      <c r="AC68" s="509"/>
      <c r="AD68" s="506">
        <f t="shared" si="7"/>
        <v>0</v>
      </c>
      <c r="AE68" s="509"/>
      <c r="AF68" s="506">
        <f>1171.8*31.8%</f>
        <v>372.63240000000002</v>
      </c>
      <c r="AG68" s="507"/>
      <c r="AH68" s="67">
        <f t="shared" si="6"/>
        <v>0</v>
      </c>
      <c r="AI68" s="510"/>
      <c r="AJ68" s="69"/>
      <c r="AK68" s="69"/>
      <c r="AL68" s="69"/>
      <c r="AM68" s="69"/>
      <c r="AN68" s="69"/>
      <c r="AO68" s="69"/>
      <c r="AP68" s="69"/>
      <c r="AQ68" s="507"/>
      <c r="AR68" s="52"/>
      <c r="AS68" s="52"/>
    </row>
    <row r="69" spans="1:45" x14ac:dyDescent="0.25">
      <c r="A69" s="501"/>
      <c r="B69" s="501"/>
      <c r="C69" s="501"/>
      <c r="D69" s="501"/>
      <c r="E69" s="501"/>
      <c r="F69" s="501"/>
      <c r="G69" s="501"/>
      <c r="H69" s="501"/>
      <c r="I69" s="501"/>
      <c r="J69" s="501"/>
      <c r="K69" s="501"/>
      <c r="L69" s="501"/>
      <c r="M69" s="501"/>
      <c r="N69" s="502"/>
      <c r="O69" s="501"/>
      <c r="P69" s="501"/>
      <c r="Q69" s="501"/>
      <c r="R69" s="501"/>
      <c r="S69" s="501"/>
      <c r="T69" s="501"/>
      <c r="U69" s="501"/>
      <c r="V69" s="501"/>
      <c r="W69" s="501"/>
      <c r="X69" s="503">
        <f t="shared" si="0"/>
        <v>0</v>
      </c>
      <c r="Y69" s="536" t="s">
        <v>227</v>
      </c>
      <c r="Z69" s="500"/>
      <c r="AA69" s="501"/>
      <c r="AB69" s="501"/>
      <c r="AC69" s="535"/>
      <c r="AD69" s="506">
        <f>-AE69</f>
        <v>-142.40040000000002</v>
      </c>
      <c r="AE69" s="507">
        <f>447.8*31.8%</f>
        <v>142.40040000000002</v>
      </c>
      <c r="AF69" s="525"/>
      <c r="AG69" s="507"/>
      <c r="AH69" s="67">
        <f t="shared" si="6"/>
        <v>142.40040000000002</v>
      </c>
      <c r="AI69" s="510"/>
      <c r="AJ69" s="69"/>
      <c r="AK69" s="69"/>
      <c r="AL69" s="69"/>
      <c r="AM69" s="69"/>
      <c r="AN69" s="69">
        <f>AE69</f>
        <v>142.40040000000002</v>
      </c>
      <c r="AO69" s="69"/>
      <c r="AP69" s="69"/>
      <c r="AQ69" s="507"/>
      <c r="AR69" s="52"/>
      <c r="AS69" s="52"/>
    </row>
    <row r="70" spans="1:45" x14ac:dyDescent="0.25">
      <c r="A70" s="501"/>
      <c r="B70" s="501"/>
      <c r="C70" s="501"/>
      <c r="D70" s="501"/>
      <c r="E70" s="138"/>
      <c r="F70" s="138"/>
      <c r="G70" s="138"/>
      <c r="H70" s="138"/>
      <c r="I70" s="138"/>
      <c r="J70" s="138"/>
      <c r="K70" s="138"/>
      <c r="L70" s="138"/>
      <c r="M70" s="138"/>
      <c r="N70" s="502"/>
      <c r="O70" s="138"/>
      <c r="P70" s="138"/>
      <c r="Q70" s="138"/>
      <c r="R70" s="501"/>
      <c r="S70" s="501"/>
      <c r="T70" s="501"/>
      <c r="U70" s="501"/>
      <c r="V70" s="501"/>
      <c r="W70" s="501"/>
      <c r="X70" s="503">
        <f t="shared" si="0"/>
        <v>0</v>
      </c>
      <c r="Y70" s="536" t="s">
        <v>229</v>
      </c>
      <c r="Z70" s="500"/>
      <c r="AA70" s="501"/>
      <c r="AB70" s="501"/>
      <c r="AC70" s="509"/>
      <c r="AD70" s="525"/>
      <c r="AE70" s="509"/>
      <c r="AF70" s="525"/>
      <c r="AG70" s="539"/>
      <c r="AH70" s="67">
        <f t="shared" si="6"/>
        <v>0</v>
      </c>
      <c r="AI70" s="510"/>
      <c r="AJ70" s="69"/>
      <c r="AK70" s="69"/>
      <c r="AL70" s="69"/>
      <c r="AM70" s="69"/>
      <c r="AN70" s="69">
        <f>-AF70</f>
        <v>0</v>
      </c>
      <c r="AO70" s="69"/>
      <c r="AP70" s="69"/>
      <c r="AQ70" s="507"/>
      <c r="AR70" s="52"/>
      <c r="AS70" s="52"/>
    </row>
    <row r="71" spans="1:45" x14ac:dyDescent="0.25">
      <c r="A71" s="501"/>
      <c r="B71" s="501"/>
      <c r="C71" s="501"/>
      <c r="D71" s="501"/>
      <c r="E71" s="138"/>
      <c r="F71" s="138"/>
      <c r="G71" s="138"/>
      <c r="H71" s="138"/>
      <c r="I71" s="138"/>
      <c r="J71" s="138"/>
      <c r="K71" s="138"/>
      <c r="L71" s="138"/>
      <c r="M71" s="138"/>
      <c r="N71" s="502"/>
      <c r="O71" s="138"/>
      <c r="P71" s="138"/>
      <c r="Q71" s="138"/>
      <c r="R71" s="501"/>
      <c r="S71" s="501"/>
      <c r="T71" s="501"/>
      <c r="U71" s="501"/>
      <c r="V71" s="501"/>
      <c r="W71" s="501"/>
      <c r="X71" s="503">
        <f t="shared" si="0"/>
        <v>0</v>
      </c>
      <c r="Y71" s="235" t="s">
        <v>231</v>
      </c>
      <c r="Z71" s="500"/>
      <c r="AA71" s="501"/>
      <c r="AB71" s="501"/>
      <c r="AC71" s="533">
        <f>100-20.6</f>
        <v>79.400000000000006</v>
      </c>
      <c r="AD71" s="525"/>
      <c r="AE71" s="509"/>
      <c r="AF71" s="506">
        <f>-SUM(AF63:AF70)</f>
        <v>-372.63240000000002</v>
      </c>
      <c r="AG71" s="507">
        <f>-AF71*AC71/100</f>
        <v>295.87012560000005</v>
      </c>
      <c r="AH71" s="67">
        <f>SUM(AI71:AQ71)</f>
        <v>295.87012560000005</v>
      </c>
      <c r="AI71" s="532">
        <f>AG71*65.1%</f>
        <v>192.61145176560001</v>
      </c>
      <c r="AJ71" s="532">
        <f>AG71*9.9%</f>
        <v>29.291142434400008</v>
      </c>
      <c r="AK71" s="513">
        <f>AG71*13.3%</f>
        <v>39.35072670480001</v>
      </c>
      <c r="AL71" s="513">
        <f>AG71*7%</f>
        <v>20.710908792000005</v>
      </c>
      <c r="AM71" s="513">
        <f>AG71*0%</f>
        <v>0</v>
      </c>
      <c r="AN71" s="513">
        <f>AG71*3.2%</f>
        <v>9.4678440192000011</v>
      </c>
      <c r="AO71" s="513">
        <f>AG71*1.5%</f>
        <v>4.4380518840000009</v>
      </c>
      <c r="AP71" s="513"/>
      <c r="AQ71" s="507"/>
      <c r="AR71" s="52"/>
      <c r="AS71" s="52"/>
    </row>
    <row r="72" spans="1:45" x14ac:dyDescent="0.25">
      <c r="A72" s="525"/>
      <c r="B72" s="138"/>
      <c r="C72" s="138"/>
      <c r="D72" s="138"/>
      <c r="E72" s="138"/>
      <c r="F72" s="138"/>
      <c r="G72" s="138"/>
      <c r="H72" s="513">
        <f>541.39*(100%-3.1%)</f>
        <v>524.60690999999997</v>
      </c>
      <c r="I72" s="513"/>
      <c r="J72" s="513"/>
      <c r="K72" s="513"/>
      <c r="L72" s="513"/>
      <c r="M72" s="513"/>
      <c r="N72" s="513"/>
      <c r="O72" s="513"/>
      <c r="P72" s="513">
        <f>541.39*3.1%</f>
        <v>16.783089999999998</v>
      </c>
      <c r="Q72" s="138"/>
      <c r="R72" s="138"/>
      <c r="S72" s="138"/>
      <c r="T72" s="138"/>
      <c r="U72" s="138"/>
      <c r="V72" s="138"/>
      <c r="W72" s="138"/>
      <c r="X72" s="503">
        <f t="shared" ref="X72:X80" si="9">SUM(A72:W72)</f>
        <v>541.39</v>
      </c>
      <c r="Y72" s="235" t="s">
        <v>241</v>
      </c>
      <c r="Z72" s="504"/>
      <c r="AA72" s="502">
        <v>20</v>
      </c>
      <c r="AB72" s="502"/>
      <c r="AC72" s="507"/>
      <c r="AD72" s="525"/>
      <c r="AE72" s="509"/>
      <c r="AF72" s="506"/>
      <c r="AG72" s="507"/>
      <c r="AH72" s="67">
        <f t="shared" si="6"/>
        <v>108.27799999999999</v>
      </c>
      <c r="AI72" s="510"/>
      <c r="AJ72" s="69"/>
      <c r="AK72" s="69"/>
      <c r="AL72" s="69"/>
      <c r="AM72" s="69"/>
      <c r="AN72" s="69"/>
      <c r="AO72" s="69"/>
      <c r="AP72" s="69"/>
      <c r="AQ72" s="507">
        <f>X72*AA72/100</f>
        <v>108.27799999999999</v>
      </c>
      <c r="AR72" s="52"/>
      <c r="AS72" s="52"/>
    </row>
    <row r="73" spans="1:45" x14ac:dyDescent="0.25">
      <c r="A73" s="525"/>
      <c r="B73" s="138"/>
      <c r="C73" s="138"/>
      <c r="D73" s="138"/>
      <c r="E73" s="138"/>
      <c r="F73" s="513">
        <f>411.28*(100%-6.9%)</f>
        <v>382.90168</v>
      </c>
      <c r="G73" s="513"/>
      <c r="H73" s="513"/>
      <c r="I73" s="513"/>
      <c r="J73" s="513"/>
      <c r="K73" s="513"/>
      <c r="L73" s="513"/>
      <c r="M73" s="513"/>
      <c r="N73" s="513"/>
      <c r="O73" s="513"/>
      <c r="P73" s="513">
        <f>411.28*6.9%</f>
        <v>28.378320000000002</v>
      </c>
      <c r="Q73" s="138"/>
      <c r="R73" s="138"/>
      <c r="S73" s="138"/>
      <c r="T73" s="138"/>
      <c r="U73" s="138"/>
      <c r="V73" s="138"/>
      <c r="W73" s="138"/>
      <c r="X73" s="503">
        <f t="shared" si="9"/>
        <v>411.28</v>
      </c>
      <c r="Y73" s="235" t="s">
        <v>243</v>
      </c>
      <c r="Z73" s="504"/>
      <c r="AA73" s="502">
        <v>25</v>
      </c>
      <c r="AB73" s="502"/>
      <c r="AC73" s="505"/>
      <c r="AD73" s="500"/>
      <c r="AE73" s="503"/>
      <c r="AF73" s="506"/>
      <c r="AG73" s="505"/>
      <c r="AH73" s="67">
        <f t="shared" si="6"/>
        <v>102.82</v>
      </c>
      <c r="AI73" s="510"/>
      <c r="AJ73" s="69"/>
      <c r="AK73" s="69"/>
      <c r="AL73" s="69"/>
      <c r="AM73" s="69"/>
      <c r="AN73" s="69"/>
      <c r="AO73" s="69"/>
      <c r="AP73" s="69"/>
      <c r="AQ73" s="507">
        <f>X73*AA73/100</f>
        <v>102.82</v>
      </c>
      <c r="AR73" s="52"/>
      <c r="AS73" s="52"/>
    </row>
    <row r="74" spans="1:45" x14ac:dyDescent="0.25">
      <c r="A74" s="506"/>
      <c r="B74" s="138"/>
      <c r="C74" s="138"/>
      <c r="D74" s="138"/>
      <c r="E74" s="138"/>
      <c r="F74" s="513">
        <f>170.73*(100%-6.9%)</f>
        <v>158.94962999999998</v>
      </c>
      <c r="G74" s="513"/>
      <c r="H74" s="513"/>
      <c r="I74" s="513"/>
      <c r="J74" s="513"/>
      <c r="K74" s="513"/>
      <c r="L74" s="513"/>
      <c r="M74" s="513"/>
      <c r="N74" s="513"/>
      <c r="O74" s="513"/>
      <c r="P74" s="513">
        <f>170.73*6.9%</f>
        <v>11.78037</v>
      </c>
      <c r="Q74" s="138"/>
      <c r="R74" s="138"/>
      <c r="S74" s="138"/>
      <c r="T74" s="138"/>
      <c r="U74" s="138"/>
      <c r="V74" s="138"/>
      <c r="W74" s="138"/>
      <c r="X74" s="503">
        <f t="shared" si="9"/>
        <v>170.73</v>
      </c>
      <c r="Y74" s="235" t="s">
        <v>244</v>
      </c>
      <c r="Z74" s="504"/>
      <c r="AA74" s="502">
        <v>25</v>
      </c>
      <c r="AB74" s="502"/>
      <c r="AC74" s="505"/>
      <c r="AD74" s="500"/>
      <c r="AE74" s="503"/>
      <c r="AF74" s="506"/>
      <c r="AG74" s="505"/>
      <c r="AH74" s="67">
        <f t="shared" si="6"/>
        <v>42.682499999999997</v>
      </c>
      <c r="AI74" s="510"/>
      <c r="AJ74" s="69"/>
      <c r="AK74" s="69"/>
      <c r="AL74" s="69"/>
      <c r="AM74" s="69"/>
      <c r="AN74" s="69"/>
      <c r="AO74" s="69"/>
      <c r="AP74" s="69"/>
      <c r="AQ74" s="507">
        <f>X74*AA74/100</f>
        <v>42.682499999999997</v>
      </c>
      <c r="AR74" s="52"/>
      <c r="AS74" s="52"/>
    </row>
    <row r="75" spans="1:45" x14ac:dyDescent="0.25">
      <c r="A75" s="525"/>
      <c r="B75" s="138"/>
      <c r="C75" s="138"/>
      <c r="D75" s="138"/>
      <c r="E75" s="138"/>
      <c r="F75" s="513">
        <f>49.1*(100%-6.9%)</f>
        <v>45.712100000000007</v>
      </c>
      <c r="G75" s="513"/>
      <c r="H75" s="513"/>
      <c r="I75" s="513"/>
      <c r="J75" s="513"/>
      <c r="K75" s="513"/>
      <c r="L75" s="513"/>
      <c r="M75" s="513"/>
      <c r="N75" s="513"/>
      <c r="O75" s="513"/>
      <c r="P75" s="513">
        <f>49.1*6.9%</f>
        <v>3.3879000000000006</v>
      </c>
      <c r="Q75" s="138"/>
      <c r="R75" s="138"/>
      <c r="S75" s="138"/>
      <c r="T75" s="138"/>
      <c r="U75" s="138"/>
      <c r="V75" s="138"/>
      <c r="W75" s="138"/>
      <c r="X75" s="503">
        <f t="shared" si="9"/>
        <v>49.100000000000009</v>
      </c>
      <c r="Y75" s="235" t="s">
        <v>246</v>
      </c>
      <c r="Z75" s="504"/>
      <c r="AA75" s="502">
        <v>33</v>
      </c>
      <c r="AB75" s="502"/>
      <c r="AC75" s="505"/>
      <c r="AD75" s="500"/>
      <c r="AE75" s="503"/>
      <c r="AF75" s="506"/>
      <c r="AG75" s="505"/>
      <c r="AH75" s="67">
        <f t="shared" si="6"/>
        <v>16.203000000000003</v>
      </c>
      <c r="AI75" s="510"/>
      <c r="AJ75" s="69"/>
      <c r="AK75" s="69"/>
      <c r="AL75" s="69"/>
      <c r="AM75" s="69"/>
      <c r="AN75" s="69"/>
      <c r="AO75" s="69"/>
      <c r="AP75" s="69"/>
      <c r="AQ75" s="507">
        <f>X75*AA75/100</f>
        <v>16.203000000000003</v>
      </c>
      <c r="AR75" s="52"/>
      <c r="AS75" s="52"/>
    </row>
    <row r="76" spans="1:45" x14ac:dyDescent="0.25">
      <c r="A76" s="525"/>
      <c r="B76" s="138"/>
      <c r="C76" s="138"/>
      <c r="D76" s="138"/>
      <c r="E76" s="138"/>
      <c r="F76" s="513">
        <f>330.7*(100%-6.9%)</f>
        <v>307.88170000000002</v>
      </c>
      <c r="G76" s="513"/>
      <c r="H76" s="513"/>
      <c r="I76" s="513"/>
      <c r="J76" s="513"/>
      <c r="K76" s="513"/>
      <c r="L76" s="513"/>
      <c r="M76" s="513"/>
      <c r="N76" s="513"/>
      <c r="O76" s="513"/>
      <c r="P76" s="513">
        <f>330.7*6.9%</f>
        <v>22.818300000000001</v>
      </c>
      <c r="Q76" s="138"/>
      <c r="R76" s="138"/>
      <c r="S76" s="138"/>
      <c r="T76" s="138"/>
      <c r="U76" s="138"/>
      <c r="V76" s="138"/>
      <c r="W76" s="138"/>
      <c r="X76" s="503">
        <f t="shared" si="9"/>
        <v>330.70000000000005</v>
      </c>
      <c r="Y76" s="235" t="s">
        <v>248</v>
      </c>
      <c r="Z76" s="504"/>
      <c r="AA76" s="502">
        <v>33</v>
      </c>
      <c r="AB76" s="502"/>
      <c r="AC76" s="505"/>
      <c r="AD76" s="500"/>
      <c r="AE76" s="503"/>
      <c r="AF76" s="506"/>
      <c r="AG76" s="505"/>
      <c r="AH76" s="67">
        <f t="shared" si="6"/>
        <v>109.13100000000003</v>
      </c>
      <c r="AI76" s="510"/>
      <c r="AJ76" s="69"/>
      <c r="AK76" s="69"/>
      <c r="AL76" s="69"/>
      <c r="AM76" s="69"/>
      <c r="AN76" s="69"/>
      <c r="AO76" s="69"/>
      <c r="AP76" s="69"/>
      <c r="AQ76" s="507">
        <f>X76*AA76/100</f>
        <v>109.13100000000003</v>
      </c>
      <c r="AR76" s="52"/>
      <c r="AS76" s="52"/>
    </row>
    <row r="77" spans="1:45" x14ac:dyDescent="0.25">
      <c r="A77" s="500"/>
      <c r="B77" s="501"/>
      <c r="C77" s="501"/>
      <c r="D77" s="501"/>
      <c r="E77" s="138"/>
      <c r="F77" s="513">
        <v>34.909999999999997</v>
      </c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501"/>
      <c r="S77" s="501"/>
      <c r="T77" s="501"/>
      <c r="U77" s="501"/>
      <c r="V77" s="501"/>
      <c r="W77" s="501"/>
      <c r="X77" s="503">
        <f t="shared" si="9"/>
        <v>34.909999999999997</v>
      </c>
      <c r="Y77" s="235" t="s">
        <v>285</v>
      </c>
      <c r="Z77" s="504"/>
      <c r="AA77" s="502">
        <v>33</v>
      </c>
      <c r="AB77" s="502"/>
      <c r="AC77" s="505"/>
      <c r="AD77" s="500">
        <f>-AE77/$D$2%</f>
        <v>0</v>
      </c>
      <c r="AE77" s="540"/>
      <c r="AF77" s="506"/>
      <c r="AG77" s="505"/>
      <c r="AH77" s="67">
        <f t="shared" si="6"/>
        <v>11.520299999999999</v>
      </c>
      <c r="AI77" s="510"/>
      <c r="AJ77" s="69"/>
      <c r="AK77" s="69"/>
      <c r="AL77" s="69"/>
      <c r="AM77" s="69"/>
      <c r="AN77" s="69"/>
      <c r="AO77" s="69"/>
      <c r="AP77" s="69">
        <f>X77*AA77%</f>
        <v>11.520299999999999</v>
      </c>
      <c r="AQ77" s="507"/>
      <c r="AR77" s="52"/>
      <c r="AS77" s="52"/>
    </row>
    <row r="78" spans="1:45" x14ac:dyDescent="0.25">
      <c r="A78" s="541"/>
      <c r="B78" s="542"/>
      <c r="C78" s="543"/>
      <c r="D78" s="543"/>
      <c r="E78" s="543"/>
      <c r="F78" s="513">
        <v>29.17</v>
      </c>
      <c r="G78" s="543"/>
      <c r="H78" s="543"/>
      <c r="I78" s="543"/>
      <c r="J78" s="542"/>
      <c r="K78" s="542"/>
      <c r="L78" s="542"/>
      <c r="M78" s="542"/>
      <c r="N78" s="544"/>
      <c r="O78" s="542"/>
      <c r="P78" s="542"/>
      <c r="Q78" s="542"/>
      <c r="R78" s="542"/>
      <c r="S78" s="542"/>
      <c r="T78" s="542"/>
      <c r="U78" s="542"/>
      <c r="V78" s="542"/>
      <c r="W78" s="542"/>
      <c r="X78" s="503">
        <f t="shared" si="9"/>
        <v>29.17</v>
      </c>
      <c r="Y78" s="257" t="s">
        <v>250</v>
      </c>
      <c r="Z78" s="545"/>
      <c r="AA78" s="502">
        <v>33</v>
      </c>
      <c r="AB78" s="544"/>
      <c r="AC78" s="546"/>
      <c r="AD78" s="541"/>
      <c r="AE78" s="547"/>
      <c r="AF78" s="548"/>
      <c r="AG78" s="546"/>
      <c r="AH78" s="67">
        <f t="shared" si="6"/>
        <v>9.626100000000001</v>
      </c>
      <c r="AI78" s="429"/>
      <c r="AJ78" s="549"/>
      <c r="AK78" s="549"/>
      <c r="AL78" s="549"/>
      <c r="AM78" s="549"/>
      <c r="AN78" s="549"/>
      <c r="AO78" s="549"/>
      <c r="AP78" s="549"/>
      <c r="AQ78" s="507">
        <f>X78*AA78/100+AE78*AA78%</f>
        <v>9.626100000000001</v>
      </c>
      <c r="AR78" s="52"/>
      <c r="AS78" s="52"/>
    </row>
    <row r="79" spans="1:45" ht="15.75" thickBot="1" x14ac:dyDescent="0.3">
      <c r="A79" s="541"/>
      <c r="B79" s="542"/>
      <c r="C79" s="543"/>
      <c r="D79" s="543"/>
      <c r="E79" s="543"/>
      <c r="F79" s="543"/>
      <c r="G79" s="513">
        <v>385.51</v>
      </c>
      <c r="H79" s="513">
        <v>0.27</v>
      </c>
      <c r="I79" s="543"/>
      <c r="J79" s="542"/>
      <c r="K79" s="542"/>
      <c r="L79" s="542"/>
      <c r="M79" s="542"/>
      <c r="N79" s="544"/>
      <c r="O79" s="542"/>
      <c r="P79" s="542"/>
      <c r="Q79" s="542"/>
      <c r="R79" s="542"/>
      <c r="S79" s="542"/>
      <c r="T79" s="542"/>
      <c r="U79" s="542"/>
      <c r="V79" s="542"/>
      <c r="W79" s="542"/>
      <c r="X79" s="503">
        <f t="shared" si="9"/>
        <v>385.78</v>
      </c>
      <c r="Y79" s="257" t="s">
        <v>252</v>
      </c>
      <c r="Z79" s="545"/>
      <c r="AA79" s="502">
        <v>33</v>
      </c>
      <c r="AB79" s="544"/>
      <c r="AC79" s="546"/>
      <c r="AD79" s="550"/>
      <c r="AE79" s="551"/>
      <c r="AF79" s="548"/>
      <c r="AG79" s="546"/>
      <c r="AH79" s="67">
        <f t="shared" si="6"/>
        <v>127.3074</v>
      </c>
      <c r="AI79" s="429"/>
      <c r="AJ79" s="549"/>
      <c r="AK79" s="549"/>
      <c r="AL79" s="549"/>
      <c r="AM79" s="549"/>
      <c r="AN79" s="549"/>
      <c r="AO79" s="549"/>
      <c r="AP79" s="549"/>
      <c r="AQ79" s="507">
        <f>X79*AA79/100</f>
        <v>127.3074</v>
      </c>
      <c r="AR79" s="52"/>
      <c r="AS79" s="52"/>
    </row>
    <row r="80" spans="1:45" ht="15.75" thickBot="1" x14ac:dyDescent="0.3">
      <c r="A80" s="541"/>
      <c r="B80" s="542"/>
      <c r="C80" s="543"/>
      <c r="D80" s="513">
        <v>0</v>
      </c>
      <c r="E80" s="543"/>
      <c r="F80" s="513">
        <v>54.99</v>
      </c>
      <c r="G80" s="543"/>
      <c r="H80" s="543"/>
      <c r="I80" s="543"/>
      <c r="J80" s="542"/>
      <c r="K80" s="542"/>
      <c r="L80" s="542"/>
      <c r="M80" s="542"/>
      <c r="N80" s="544"/>
      <c r="O80" s="542"/>
      <c r="P80" s="542"/>
      <c r="Q80" s="542"/>
      <c r="R80" s="542"/>
      <c r="S80" s="542"/>
      <c r="T80" s="542"/>
      <c r="U80" s="542"/>
      <c r="V80" s="542"/>
      <c r="W80" s="542"/>
      <c r="X80" s="547">
        <f t="shared" si="9"/>
        <v>54.99</v>
      </c>
      <c r="Y80" s="258" t="s">
        <v>254</v>
      </c>
      <c r="Z80" s="552"/>
      <c r="AA80" s="502">
        <v>33</v>
      </c>
      <c r="AB80" s="553"/>
      <c r="AC80" s="554"/>
      <c r="AD80" s="552"/>
      <c r="AE80" s="554"/>
      <c r="AF80" s="552"/>
      <c r="AG80" s="554"/>
      <c r="AH80" s="71">
        <f t="shared" si="6"/>
        <v>18.146699999999999</v>
      </c>
      <c r="AI80" s="555"/>
      <c r="AJ80" s="556"/>
      <c r="AK80" s="556"/>
      <c r="AL80" s="556"/>
      <c r="AM80" s="556"/>
      <c r="AN80" s="556"/>
      <c r="AO80" s="556"/>
      <c r="AP80" s="556"/>
      <c r="AQ80" s="507">
        <f>X80*AA80/100</f>
        <v>18.146699999999999</v>
      </c>
      <c r="AR80" s="52"/>
      <c r="AS80" s="52"/>
    </row>
    <row r="81" spans="1:51" ht="15.75" thickBot="1" x14ac:dyDescent="0.3">
      <c r="A81" s="557">
        <f>SUM(A8:A80)</f>
        <v>681.62819960377055</v>
      </c>
      <c r="B81" s="558">
        <f t="shared" ref="B81:W81" si="10">SUM(B8:B80)</f>
        <v>22.25</v>
      </c>
      <c r="C81" s="558">
        <f t="shared" si="10"/>
        <v>0</v>
      </c>
      <c r="D81" s="558">
        <f t="shared" si="10"/>
        <v>520.89</v>
      </c>
      <c r="E81" s="558">
        <f t="shared" si="10"/>
        <v>79.097200000000001</v>
      </c>
      <c r="F81" s="558">
        <f t="shared" si="10"/>
        <v>1014.5151099999999</v>
      </c>
      <c r="G81" s="558">
        <f t="shared" si="10"/>
        <v>385.51</v>
      </c>
      <c r="H81" s="558">
        <f t="shared" si="10"/>
        <v>524.87690999999995</v>
      </c>
      <c r="I81" s="558">
        <f t="shared" si="10"/>
        <v>7468.3407999999999</v>
      </c>
      <c r="J81" s="558">
        <f t="shared" si="10"/>
        <v>14.16</v>
      </c>
      <c r="K81" s="558">
        <f t="shared" si="10"/>
        <v>0</v>
      </c>
      <c r="L81" s="558">
        <f t="shared" si="10"/>
        <v>21.76</v>
      </c>
      <c r="M81" s="558">
        <f t="shared" si="10"/>
        <v>0</v>
      </c>
      <c r="N81" s="558">
        <f t="shared" si="10"/>
        <v>-0.4</v>
      </c>
      <c r="O81" s="558">
        <f t="shared" si="10"/>
        <v>0</v>
      </c>
      <c r="P81" s="558">
        <f t="shared" si="10"/>
        <v>83.147980000000004</v>
      </c>
      <c r="Q81" s="558">
        <f t="shared" si="10"/>
        <v>20</v>
      </c>
      <c r="R81" s="558">
        <f t="shared" si="10"/>
        <v>677.20760000000007</v>
      </c>
      <c r="S81" s="558">
        <f t="shared" si="10"/>
        <v>99.542200000000008</v>
      </c>
      <c r="T81" s="558">
        <f t="shared" si="10"/>
        <v>0</v>
      </c>
      <c r="U81" s="558">
        <f t="shared" si="10"/>
        <v>264.50126999999998</v>
      </c>
      <c r="V81" s="558">
        <f t="shared" si="10"/>
        <v>13.673999999999999</v>
      </c>
      <c r="W81" s="558">
        <f t="shared" si="10"/>
        <v>216.41012999999998</v>
      </c>
      <c r="X81" s="559">
        <f>SUM(X8:X80)</f>
        <v>12107.111399603773</v>
      </c>
      <c r="Y81" s="72" t="s">
        <v>464</v>
      </c>
      <c r="Z81" s="560"/>
      <c r="AA81" s="560"/>
      <c r="AB81" s="560"/>
      <c r="AC81" s="560"/>
      <c r="AD81" s="557">
        <f t="shared" ref="AD81:AQ81" si="11">SUM(AD8:AD80)</f>
        <v>-2.8421709430404007E-14</v>
      </c>
      <c r="AE81" s="559">
        <f t="shared" si="11"/>
        <v>1313.451618062983</v>
      </c>
      <c r="AF81" s="557">
        <f t="shared" si="11"/>
        <v>0</v>
      </c>
      <c r="AG81" s="559">
        <f t="shared" si="11"/>
        <v>1592.60843952</v>
      </c>
      <c r="AH81" s="72">
        <f t="shared" si="11"/>
        <v>8877.8228395199985</v>
      </c>
      <c r="AI81" s="561">
        <f t="shared" si="11"/>
        <v>1467.7090941275196</v>
      </c>
      <c r="AJ81" s="558">
        <f t="shared" si="11"/>
        <v>261.86823551248</v>
      </c>
      <c r="AK81" s="558">
        <f t="shared" si="11"/>
        <v>272.81692245616006</v>
      </c>
      <c r="AL81" s="558">
        <f t="shared" si="11"/>
        <v>179.28259076640001</v>
      </c>
      <c r="AM81" s="558">
        <f t="shared" si="11"/>
        <v>4.5</v>
      </c>
      <c r="AN81" s="558">
        <f t="shared" si="11"/>
        <v>6110.9508700646411</v>
      </c>
      <c r="AO81" s="558">
        <f t="shared" si="11"/>
        <v>24.289126592799999</v>
      </c>
      <c r="AP81" s="558">
        <f t="shared" si="11"/>
        <v>19.220299999999998</v>
      </c>
      <c r="AQ81" s="559">
        <f t="shared" si="11"/>
        <v>537.18570000000011</v>
      </c>
      <c r="AR81" s="52"/>
      <c r="AS81" s="52"/>
    </row>
    <row r="82" spans="1:51" x14ac:dyDescent="0.25">
      <c r="A82" s="522">
        <f>A81*A89/1000</f>
        <v>75.606199900050228</v>
      </c>
      <c r="B82" s="518">
        <f t="shared" ref="B82:V82" si="12">B81*B89/1000</f>
        <v>1.4039750000000002</v>
      </c>
      <c r="C82" s="518">
        <f t="shared" si="12"/>
        <v>0</v>
      </c>
      <c r="D82" s="518">
        <f t="shared" si="12"/>
        <v>41.066967600000005</v>
      </c>
      <c r="E82" s="518">
        <f t="shared" si="12"/>
        <v>5.8531927999999995</v>
      </c>
      <c r="F82" s="518">
        <f t="shared" si="12"/>
        <v>75.074118139999996</v>
      </c>
      <c r="G82" s="518">
        <f t="shared" si="12"/>
        <v>27.756720000000001</v>
      </c>
      <c r="H82" s="518">
        <f t="shared" si="12"/>
        <v>38.316014429999996</v>
      </c>
      <c r="I82" s="518">
        <f t="shared" si="12"/>
        <v>425.69542560000002</v>
      </c>
      <c r="J82" s="518">
        <f t="shared" si="12"/>
        <v>0</v>
      </c>
      <c r="K82" s="518">
        <f t="shared" si="12"/>
        <v>0</v>
      </c>
      <c r="L82" s="518">
        <f t="shared" si="12"/>
        <v>0</v>
      </c>
      <c r="M82" s="518">
        <f t="shared" si="12"/>
        <v>0</v>
      </c>
      <c r="N82" s="518">
        <v>0</v>
      </c>
      <c r="O82" s="518">
        <f t="shared" si="12"/>
        <v>0</v>
      </c>
      <c r="P82" s="518">
        <f t="shared" si="12"/>
        <v>0</v>
      </c>
      <c r="Q82" s="518">
        <f t="shared" si="12"/>
        <v>0</v>
      </c>
      <c r="R82" s="518">
        <f t="shared" si="12"/>
        <v>0</v>
      </c>
      <c r="S82" s="518">
        <f>S81*S89/1000</f>
        <v>0</v>
      </c>
      <c r="T82" s="518">
        <f t="shared" si="12"/>
        <v>0</v>
      </c>
      <c r="U82" s="518">
        <f t="shared" si="12"/>
        <v>0</v>
      </c>
      <c r="V82" s="518">
        <f t="shared" si="12"/>
        <v>0</v>
      </c>
      <c r="W82" s="518">
        <f>W81*W89/1000</f>
        <v>17.793240888599996</v>
      </c>
      <c r="X82" s="521">
        <f>SUM(A82:W82)</f>
        <v>708.56585435865031</v>
      </c>
      <c r="Y82" s="73" t="s">
        <v>551</v>
      </c>
      <c r="Z82" s="562">
        <f>X82*1000/D1</f>
        <v>13.929500950669386</v>
      </c>
      <c r="AA82" s="563" t="s">
        <v>465</v>
      </c>
      <c r="AB82" s="563"/>
      <c r="AC82" s="564"/>
      <c r="AD82" s="565"/>
      <c r="AE82" s="565"/>
      <c r="AF82" s="565"/>
      <c r="AG82" s="565"/>
      <c r="AH82" s="565"/>
      <c r="AI82" s="565"/>
      <c r="AJ82" s="565"/>
      <c r="AK82" s="565"/>
      <c r="AL82" s="566"/>
      <c r="AM82" s="566"/>
      <c r="AN82" s="566"/>
      <c r="AO82" s="566"/>
      <c r="AP82" s="566"/>
      <c r="AQ82" s="566"/>
      <c r="AR82" s="52"/>
      <c r="AS82" s="52"/>
      <c r="AT82" s="137"/>
      <c r="AU82" s="137"/>
      <c r="AV82" s="137"/>
      <c r="AW82" s="137"/>
      <c r="AX82" s="137"/>
      <c r="AY82" s="137"/>
    </row>
    <row r="83" spans="1:51" x14ac:dyDescent="0.25">
      <c r="A83" s="504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13">
        <v>229.66365161464361</v>
      </c>
      <c r="P83" s="513">
        <v>674.58061439999994</v>
      </c>
      <c r="Q83" s="513">
        <v>690.99633108414662</v>
      </c>
      <c r="R83" s="513">
        <v>438.65263353147589</v>
      </c>
      <c r="S83" s="502"/>
      <c r="T83" s="502"/>
      <c r="U83" s="502"/>
      <c r="V83" s="502"/>
      <c r="W83" s="502"/>
      <c r="X83" s="505">
        <f>SUM(A83:W83)</f>
        <v>2033.8932306302661</v>
      </c>
      <c r="Y83" s="67" t="s">
        <v>466</v>
      </c>
      <c r="Z83" s="567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11.340720453558681</v>
      </c>
      <c r="AA83" s="74" t="s">
        <v>550</v>
      </c>
      <c r="AB83" s="74"/>
      <c r="AC83" s="568"/>
      <c r="AD83" s="565"/>
      <c r="AE83" s="565"/>
      <c r="AF83" s="565"/>
      <c r="AG83" s="565"/>
      <c r="AH83" s="565"/>
      <c r="AI83" s="565"/>
      <c r="AJ83" s="565"/>
      <c r="AK83" s="565"/>
      <c r="AL83" s="566"/>
      <c r="AM83" s="566"/>
      <c r="AN83" s="566"/>
      <c r="AO83" s="566"/>
      <c r="AP83" s="566"/>
      <c r="AQ83" s="566"/>
      <c r="AR83" s="52"/>
      <c r="AS83" s="52"/>
      <c r="AT83" s="137"/>
      <c r="AU83" s="137"/>
      <c r="AV83" s="137"/>
      <c r="AW83" s="137"/>
      <c r="AX83" s="137"/>
      <c r="AY83" s="137"/>
    </row>
    <row r="84" spans="1:51" ht="15.75" thickBot="1" x14ac:dyDescent="0.3">
      <c r="A84" s="552"/>
      <c r="B84" s="553"/>
      <c r="C84" s="553"/>
      <c r="D84" s="553"/>
      <c r="E84" s="553"/>
      <c r="F84" s="553"/>
      <c r="G84" s="553"/>
      <c r="H84" s="553"/>
      <c r="I84" s="553"/>
      <c r="J84" s="553" t="str">
        <f>IF(J83&gt;0,J81/J83*100,"")</f>
        <v/>
      </c>
      <c r="K84" s="553" t="str">
        <f t="shared" ref="K84:W84" si="13">IF(K83&gt;0,K81/K83*100,"")</f>
        <v/>
      </c>
      <c r="L84" s="553" t="str">
        <f t="shared" si="13"/>
        <v/>
      </c>
      <c r="M84" s="553" t="str">
        <f t="shared" si="13"/>
        <v/>
      </c>
      <c r="N84" s="553" t="str">
        <f t="shared" si="13"/>
        <v/>
      </c>
      <c r="O84" s="553">
        <f t="shared" si="13"/>
        <v>0</v>
      </c>
      <c r="P84" s="553">
        <f>IF(P83&gt;0,P81/P83*100,"")</f>
        <v>12.325877474844912</v>
      </c>
      <c r="Q84" s="553">
        <f t="shared" si="13"/>
        <v>2.8943713736686227</v>
      </c>
      <c r="R84" s="553">
        <f t="shared" si="13"/>
        <v>154.38357101563062</v>
      </c>
      <c r="S84" s="553" t="str">
        <f t="shared" si="13"/>
        <v/>
      </c>
      <c r="T84" s="553" t="str">
        <f t="shared" si="13"/>
        <v/>
      </c>
      <c r="U84" s="553" t="str">
        <f t="shared" si="13"/>
        <v/>
      </c>
      <c r="V84" s="553" t="str">
        <f>IF(V83&gt;0,V81/V83*100,"")</f>
        <v/>
      </c>
      <c r="W84" s="553" t="str">
        <f t="shared" si="13"/>
        <v/>
      </c>
      <c r="X84" s="554">
        <f>SUMIF(J83:W83,"&gt;0",J81:W81)/SUM(J83:W83)%</f>
        <v>38.367578408143984</v>
      </c>
      <c r="Y84" s="71" t="s">
        <v>467</v>
      </c>
      <c r="Z84" s="569"/>
      <c r="AA84" s="253"/>
      <c r="AB84" s="253"/>
      <c r="AC84" s="570"/>
      <c r="AD84" s="565"/>
      <c r="AE84" s="565"/>
      <c r="AF84" s="565"/>
      <c r="AG84" s="565"/>
      <c r="AH84" s="565"/>
      <c r="AI84" s="565"/>
      <c r="AJ84" s="565"/>
      <c r="AK84" s="565"/>
      <c r="AL84" s="566"/>
      <c r="AM84" s="566"/>
      <c r="AN84" s="566"/>
      <c r="AO84" s="566"/>
      <c r="AP84" s="566"/>
      <c r="AQ84" s="566"/>
      <c r="AR84" s="52"/>
      <c r="AS84" s="52"/>
      <c r="AT84" s="137"/>
      <c r="AU84" s="137"/>
      <c r="AV84" s="137"/>
      <c r="AW84" s="137"/>
      <c r="AX84" s="137"/>
      <c r="AY84" s="137"/>
    </row>
    <row r="85" spans="1:51" ht="15.75" thickBot="1" x14ac:dyDescent="0.3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55"/>
      <c r="AB85" s="136"/>
      <c r="AC85" s="136"/>
      <c r="AD85" s="55"/>
      <c r="AE85" s="55"/>
      <c r="AF85" s="55"/>
      <c r="AG85" s="55"/>
      <c r="AH85" s="55"/>
      <c r="AI85" s="55"/>
      <c r="AJ85" s="55"/>
      <c r="AK85" s="55"/>
      <c r="AL85" s="136"/>
      <c r="AM85" s="136"/>
      <c r="AN85" s="136"/>
      <c r="AO85" s="136"/>
      <c r="AP85" s="136"/>
      <c r="AQ85" s="136"/>
      <c r="AR85" s="52"/>
      <c r="AS85" s="52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571" t="s">
        <v>468</v>
      </c>
      <c r="B86" s="798" t="str">
        <f t="shared" ref="B86:W86" si="14">B7</f>
        <v xml:space="preserve">  LPG og petroleum</v>
      </c>
      <c r="C86" s="798" t="str">
        <f t="shared" si="14"/>
        <v xml:space="preserve">  Kul</v>
      </c>
      <c r="D86" s="798" t="str">
        <f t="shared" si="14"/>
        <v xml:space="preserve">  Fuelolie</v>
      </c>
      <c r="E86" s="798" t="str">
        <f t="shared" si="14"/>
        <v xml:space="preserve">  Brændselsolie</v>
      </c>
      <c r="F86" s="798" t="str">
        <f t="shared" si="14"/>
        <v xml:space="preserve">  Dieselolie</v>
      </c>
      <c r="G86" s="798" t="str">
        <f t="shared" si="14"/>
        <v xml:space="preserve">  JP1</v>
      </c>
      <c r="H86" s="798" t="str">
        <f t="shared" si="14"/>
        <v xml:space="preserve">  Benzin</v>
      </c>
      <c r="I86" s="798" t="str">
        <f t="shared" si="14"/>
        <v xml:space="preserve">  Naturgas og raffinaderigas</v>
      </c>
      <c r="J86" s="798" t="str">
        <f t="shared" si="14"/>
        <v xml:space="preserve">  Vindenergi</v>
      </c>
      <c r="K86" s="798" t="str">
        <f t="shared" si="14"/>
        <v xml:space="preserve">  Vandenergi</v>
      </c>
      <c r="L86" s="798" t="str">
        <f t="shared" si="14"/>
        <v xml:space="preserve">  Solenergi</v>
      </c>
      <c r="M86" s="798" t="str">
        <f t="shared" si="14"/>
        <v xml:space="preserve">  Geotermi</v>
      </c>
      <c r="N86" s="798" t="str">
        <f t="shared" si="14"/>
        <v xml:space="preserve">  Varmekilder til varmepumper</v>
      </c>
      <c r="O86" s="798" t="str">
        <f t="shared" si="14"/>
        <v xml:space="preserve">  Husdyrsgødning</v>
      </c>
      <c r="P86" s="798" t="str">
        <f t="shared" si="14"/>
        <v xml:space="preserve">  Biobrændstof og energiafgrøder</v>
      </c>
      <c r="Q86" s="798" t="str">
        <f t="shared" si="14"/>
        <v xml:space="preserve">  Halm</v>
      </c>
      <c r="R86" s="798" t="str">
        <f t="shared" si="14"/>
        <v xml:space="preserve">  Brænde og træflis</v>
      </c>
      <c r="S86" s="798" t="str">
        <f t="shared" si="14"/>
        <v xml:space="preserve">  Træpiller og træaffald</v>
      </c>
      <c r="T86" s="798" t="str">
        <f t="shared" si="14"/>
        <v xml:space="preserve">  Organisk affald, industri</v>
      </c>
      <c r="U86" s="798" t="str">
        <f t="shared" si="14"/>
        <v xml:space="preserve">  Organisk affald, husholdninger</v>
      </c>
      <c r="V86" s="798" t="str">
        <f t="shared" si="14"/>
        <v xml:space="preserve">  Deponi, slam, renseanlæg</v>
      </c>
      <c r="W86" s="801" t="str">
        <f t="shared" si="14"/>
        <v xml:space="preserve">  Affald, ikke bionedbrydeligt</v>
      </c>
      <c r="X86" s="136"/>
      <c r="Y86" s="136"/>
      <c r="Z86" s="136"/>
      <c r="AA86" s="55"/>
      <c r="AB86" s="136"/>
      <c r="AC86" s="136"/>
      <c r="AD86" s="55"/>
      <c r="AE86" s="55"/>
      <c r="AF86" s="55"/>
      <c r="AG86" s="55"/>
      <c r="AH86" s="55"/>
      <c r="AI86" s="55"/>
      <c r="AJ86" s="55"/>
      <c r="AK86" s="55"/>
      <c r="AL86" s="136"/>
      <c r="AM86" s="136"/>
      <c r="AN86" s="136"/>
      <c r="AO86" s="136"/>
      <c r="AP86" s="136"/>
      <c r="AQ86" s="136"/>
      <c r="AR86" s="52"/>
      <c r="AS86" s="52"/>
      <c r="AT86" s="137"/>
      <c r="AU86" s="137"/>
      <c r="AV86" s="137"/>
      <c r="AW86" s="137"/>
      <c r="AX86" s="137"/>
      <c r="AY86" s="137"/>
    </row>
    <row r="87" spans="1:51" ht="24" x14ac:dyDescent="0.25">
      <c r="A87" s="572">
        <v>50</v>
      </c>
      <c r="B87" s="799"/>
      <c r="C87" s="799"/>
      <c r="D87" s="799"/>
      <c r="E87" s="799"/>
      <c r="F87" s="799"/>
      <c r="G87" s="799"/>
      <c r="H87" s="799"/>
      <c r="I87" s="799"/>
      <c r="J87" s="799"/>
      <c r="K87" s="799"/>
      <c r="L87" s="799"/>
      <c r="M87" s="799"/>
      <c r="N87" s="799"/>
      <c r="O87" s="799"/>
      <c r="P87" s="799"/>
      <c r="Q87" s="799"/>
      <c r="R87" s="799"/>
      <c r="S87" s="799"/>
      <c r="T87" s="799"/>
      <c r="U87" s="799"/>
      <c r="V87" s="799"/>
      <c r="W87" s="802"/>
      <c r="X87" s="136"/>
      <c r="Y87" s="136"/>
      <c r="Z87" s="136"/>
      <c r="AA87" s="55"/>
      <c r="AB87" s="136"/>
      <c r="AC87" s="136"/>
      <c r="AD87" s="55"/>
      <c r="AE87" s="55"/>
      <c r="AF87" s="55"/>
      <c r="AG87" s="55"/>
      <c r="AH87" s="55"/>
      <c r="AI87" s="55"/>
      <c r="AJ87" s="55"/>
      <c r="AK87" s="55"/>
      <c r="AL87" s="136"/>
      <c r="AM87" s="136"/>
      <c r="AN87" s="136"/>
      <c r="AO87" s="136"/>
      <c r="AP87" s="136"/>
      <c r="AQ87" s="136"/>
      <c r="AR87" s="52"/>
      <c r="AS87" s="52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573" t="s">
        <v>469</v>
      </c>
      <c r="B88" s="800"/>
      <c r="C88" s="800"/>
      <c r="D88" s="800"/>
      <c r="E88" s="800"/>
      <c r="F88" s="800"/>
      <c r="G88" s="800"/>
      <c r="H88" s="800"/>
      <c r="I88" s="800"/>
      <c r="J88" s="800"/>
      <c r="K88" s="800"/>
      <c r="L88" s="800"/>
      <c r="M88" s="800"/>
      <c r="N88" s="800"/>
      <c r="O88" s="800"/>
      <c r="P88" s="800"/>
      <c r="Q88" s="800"/>
      <c r="R88" s="800"/>
      <c r="S88" s="800"/>
      <c r="T88" s="800"/>
      <c r="U88" s="800"/>
      <c r="V88" s="800"/>
      <c r="W88" s="803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52"/>
      <c r="AS88" s="52"/>
      <c r="AT88" s="137"/>
      <c r="AU88" s="137"/>
      <c r="AV88" s="137"/>
      <c r="AW88" s="137"/>
      <c r="AX88" s="137"/>
      <c r="AY88" s="137"/>
    </row>
    <row r="89" spans="1:51" ht="15.75" thickBot="1" x14ac:dyDescent="0.3">
      <c r="A89" s="574">
        <v>110.92</v>
      </c>
      <c r="B89" s="575">
        <v>63.1</v>
      </c>
      <c r="C89" s="575">
        <v>94.95</v>
      </c>
      <c r="D89" s="575">
        <v>78.84</v>
      </c>
      <c r="E89" s="575">
        <v>74</v>
      </c>
      <c r="F89" s="575">
        <v>74</v>
      </c>
      <c r="G89" s="575">
        <v>72</v>
      </c>
      <c r="H89" s="575">
        <v>73</v>
      </c>
      <c r="I89" s="575">
        <v>57</v>
      </c>
      <c r="J89" s="576"/>
      <c r="K89" s="576"/>
      <c r="L89" s="576"/>
      <c r="M89" s="576"/>
      <c r="N89" s="577"/>
      <c r="O89" s="576"/>
      <c r="P89" s="576"/>
      <c r="Q89" s="576"/>
      <c r="R89" s="576"/>
      <c r="S89" s="576"/>
      <c r="T89" s="576"/>
      <c r="U89" s="576"/>
      <c r="V89" s="577"/>
      <c r="W89" s="578">
        <v>82.22</v>
      </c>
      <c r="X89" s="75" t="s">
        <v>470</v>
      </c>
      <c r="Y89" s="579"/>
      <c r="Z89" s="580"/>
      <c r="AA89" s="580"/>
      <c r="AB89" s="580"/>
      <c r="AC89" s="580"/>
      <c r="AD89" s="580"/>
      <c r="AE89" s="580"/>
      <c r="AF89" s="580"/>
      <c r="AG89" s="580"/>
      <c r="AH89" s="580"/>
      <c r="AI89" s="580"/>
      <c r="AJ89" s="580"/>
      <c r="AK89" s="580"/>
      <c r="AL89" s="580"/>
      <c r="AM89" s="580"/>
      <c r="AN89" s="580"/>
      <c r="AO89" s="580"/>
      <c r="AP89" s="580"/>
      <c r="AQ89" s="580"/>
      <c r="AR89" s="229"/>
      <c r="AS89" s="229"/>
      <c r="AT89" s="140"/>
      <c r="AU89" s="140"/>
      <c r="AV89" s="140"/>
      <c r="AW89" s="140"/>
      <c r="AX89" s="140"/>
      <c r="AY89" s="140"/>
    </row>
    <row r="90" spans="1:51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52"/>
      <c r="AT90" s="137"/>
      <c r="AU90" s="137"/>
      <c r="AV90" s="137"/>
      <c r="AW90" s="137"/>
      <c r="AX90" s="137"/>
      <c r="AY90" s="137"/>
    </row>
    <row r="91" spans="1:51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68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137"/>
      <c r="AU91" s="137"/>
      <c r="AV91" s="137"/>
      <c r="AW91" s="137"/>
      <c r="AX91" s="137"/>
      <c r="AY91" s="137"/>
    </row>
    <row r="92" spans="1:51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166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137"/>
      <c r="AU92" s="137"/>
      <c r="AV92" s="137"/>
      <c r="AW92" s="137"/>
      <c r="AX92" s="137"/>
      <c r="AY92" s="137"/>
    </row>
    <row r="93" spans="1:51" ht="20.25" x14ac:dyDescent="0.3">
      <c r="A93" s="141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165"/>
      <c r="Y93" s="581"/>
      <c r="Z93" s="165"/>
      <c r="AA93" s="165"/>
      <c r="AB93" s="165"/>
      <c r="AC93" s="165"/>
      <c r="AD93" s="165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137"/>
      <c r="AU93" s="137"/>
      <c r="AV93" s="137"/>
      <c r="AW93" s="137"/>
      <c r="AX93" s="137"/>
      <c r="AY93" s="137"/>
    </row>
    <row r="94" spans="1:51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165"/>
      <c r="Y94" s="165"/>
      <c r="Z94" s="165"/>
      <c r="AA94" s="165"/>
      <c r="AB94" s="165"/>
      <c r="AC94" s="165"/>
      <c r="AD94" s="165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137"/>
      <c r="AU94" s="137"/>
      <c r="AV94" s="137"/>
      <c r="AW94" s="137"/>
      <c r="AX94" s="137"/>
      <c r="AY94" s="137"/>
    </row>
    <row r="95" spans="1:51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165"/>
      <c r="Y95" s="581"/>
      <c r="Z95" s="165"/>
      <c r="AA95" s="165"/>
      <c r="AB95" s="165"/>
      <c r="AC95" s="165"/>
      <c r="AD95" s="165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137"/>
      <c r="AU95" s="137"/>
      <c r="AV95" s="137"/>
      <c r="AW95" s="137"/>
      <c r="AX95" s="137"/>
      <c r="AY95" s="137"/>
    </row>
    <row r="96" spans="1:51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165"/>
      <c r="Y96" s="581"/>
      <c r="Z96" s="165"/>
      <c r="AA96" s="165"/>
      <c r="AB96" s="165"/>
      <c r="AC96" s="165"/>
      <c r="AD96" s="165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1:45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165"/>
      <c r="Y97" s="165"/>
      <c r="Z97" s="165"/>
      <c r="AA97" s="165"/>
      <c r="AB97" s="165"/>
      <c r="AC97" s="165"/>
      <c r="AD97" s="165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</row>
    <row r="117" spans="2:2" x14ac:dyDescent="0.25">
      <c r="B117" s="231" t="e">
        <f>' Plan Energi 2030-S'!AD</f>
        <v>#NAME?</v>
      </c>
    </row>
  </sheetData>
  <mergeCells count="30">
    <mergeCell ref="AD6:AE6"/>
    <mergeCell ref="N86:N88"/>
    <mergeCell ref="D1:E1"/>
    <mergeCell ref="Y1:Y2"/>
    <mergeCell ref="A6:X6"/>
    <mergeCell ref="Z6:AC6"/>
    <mergeCell ref="Y3:Y4"/>
    <mergeCell ref="O86:O88"/>
    <mergeCell ref="P86:P88"/>
    <mergeCell ref="Q86:Q88"/>
    <mergeCell ref="R86:R88"/>
    <mergeCell ref="S86:S88"/>
    <mergeCell ref="T86:T88"/>
    <mergeCell ref="U86:U88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J86:J88"/>
    <mergeCell ref="K86:K88"/>
    <mergeCell ref="L86:L88"/>
    <mergeCell ref="M86:M88"/>
    <mergeCell ref="V86:V88"/>
    <mergeCell ref="W86:W88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Y117"/>
  <sheetViews>
    <sheetView zoomScale="78" zoomScaleNormal="78" workbookViewId="0">
      <selection activeCell="K27" sqref="K27"/>
    </sheetView>
  </sheetViews>
  <sheetFormatPr defaultRowHeight="15" x14ac:dyDescent="0.25"/>
  <cols>
    <col min="1" max="24" width="9.140625" style="231"/>
    <col min="25" max="25" width="49.5703125" style="231" customWidth="1"/>
    <col min="26" max="29" width="9.140625" style="231"/>
    <col min="30" max="30" width="12.42578125" style="231" customWidth="1"/>
    <col min="31" max="16384" width="9.140625" style="231"/>
  </cols>
  <sheetData>
    <row r="1" spans="1:45" ht="23.25" x14ac:dyDescent="0.25">
      <c r="A1" s="50" t="s">
        <v>433</v>
      </c>
      <c r="B1" s="160"/>
      <c r="C1" s="160"/>
      <c r="D1" s="804">
        <v>50868</v>
      </c>
      <c r="E1" s="805"/>
      <c r="F1" s="161"/>
      <c r="G1" s="161"/>
      <c r="H1" s="161"/>
      <c r="I1" s="161"/>
      <c r="J1" s="165"/>
      <c r="K1" s="161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51"/>
      <c r="W1" s="51"/>
      <c r="X1" s="51"/>
      <c r="Y1" s="806" t="s">
        <v>434</v>
      </c>
      <c r="Z1" s="51"/>
      <c r="AA1" s="51"/>
      <c r="AB1" s="51"/>
      <c r="AC1" s="51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52"/>
      <c r="AS1" s="52"/>
    </row>
    <row r="2" spans="1:45" ht="23.25" x14ac:dyDescent="0.25">
      <c r="A2" s="53" t="s">
        <v>435</v>
      </c>
      <c r="B2" s="161"/>
      <c r="C2" s="161"/>
      <c r="D2" s="497">
        <v>91.84</v>
      </c>
      <c r="E2" s="54" t="s">
        <v>436</v>
      </c>
      <c r="F2" s="55"/>
      <c r="G2" s="161"/>
      <c r="H2" s="498"/>
      <c r="I2" s="498"/>
      <c r="J2" s="498"/>
      <c r="K2" s="498"/>
      <c r="L2" s="387"/>
      <c r="M2" s="387"/>
      <c r="N2" s="166"/>
      <c r="O2" s="166"/>
      <c r="P2" s="166"/>
      <c r="Q2" s="166"/>
      <c r="R2" s="166"/>
      <c r="S2" s="166"/>
      <c r="T2" s="166"/>
      <c r="U2" s="166"/>
      <c r="V2" s="51"/>
      <c r="W2" s="51"/>
      <c r="X2" s="51"/>
      <c r="Y2" s="806"/>
      <c r="Z2" s="51"/>
      <c r="AA2" s="51"/>
      <c r="AB2" s="51"/>
      <c r="AC2" s="51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52"/>
      <c r="AS2" s="52"/>
    </row>
    <row r="3" spans="1:45" ht="24" customHeight="1" thickBot="1" x14ac:dyDescent="0.3">
      <c r="A3" s="56" t="s">
        <v>437</v>
      </c>
      <c r="B3" s="163"/>
      <c r="C3" s="57"/>
      <c r="D3" s="163" t="s">
        <v>438</v>
      </c>
      <c r="E3" s="164"/>
      <c r="F3" s="161"/>
      <c r="G3" s="161"/>
      <c r="H3" s="499"/>
      <c r="I3" s="498"/>
      <c r="J3" s="498"/>
      <c r="K3" s="498"/>
      <c r="L3" s="387"/>
      <c r="M3" s="387"/>
      <c r="N3" s="166"/>
      <c r="O3" s="166"/>
      <c r="P3" s="166"/>
      <c r="Q3" s="166"/>
      <c r="R3" s="166"/>
      <c r="S3" s="166"/>
      <c r="T3" s="166"/>
      <c r="U3" s="166"/>
      <c r="V3" s="51"/>
      <c r="W3" s="51"/>
      <c r="X3" s="51"/>
      <c r="Y3" s="807" t="s">
        <v>789</v>
      </c>
      <c r="Z3" s="51"/>
      <c r="AA3" s="51"/>
      <c r="AB3" s="51"/>
      <c r="AC3" s="51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52"/>
      <c r="AS3" s="52"/>
    </row>
    <row r="4" spans="1:45" ht="23.25" customHeight="1" x14ac:dyDescent="0.25">
      <c r="A4" s="166"/>
      <c r="B4" s="166"/>
      <c r="C4" s="166"/>
      <c r="D4" s="166"/>
      <c r="E4" s="166"/>
      <c r="F4" s="166"/>
      <c r="G4" s="166"/>
      <c r="H4" s="387"/>
      <c r="I4" s="387"/>
      <c r="J4" s="387"/>
      <c r="K4" s="387"/>
      <c r="L4" s="387"/>
      <c r="M4" s="387"/>
      <c r="N4" s="166"/>
      <c r="O4" s="166"/>
      <c r="P4" s="166"/>
      <c r="Q4" s="166"/>
      <c r="R4" s="166"/>
      <c r="S4" s="166"/>
      <c r="T4" s="166"/>
      <c r="U4" s="166"/>
      <c r="V4" s="51"/>
      <c r="W4" s="51"/>
      <c r="X4" s="51"/>
      <c r="Y4" s="807"/>
      <c r="Z4" s="51"/>
      <c r="AA4" s="51"/>
      <c r="AB4" s="51"/>
      <c r="AC4" s="51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52"/>
      <c r="AS4" s="52"/>
    </row>
    <row r="5" spans="1:45" x14ac:dyDescent="0.25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52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52"/>
      <c r="AS5" s="52"/>
    </row>
    <row r="6" spans="1:45" ht="15.75" x14ac:dyDescent="0.25">
      <c r="A6" s="797" t="s">
        <v>439</v>
      </c>
      <c r="B6" s="797"/>
      <c r="C6" s="797"/>
      <c r="D6" s="797"/>
      <c r="E6" s="797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97"/>
      <c r="Q6" s="797"/>
      <c r="R6" s="797"/>
      <c r="S6" s="797"/>
      <c r="T6" s="797"/>
      <c r="U6" s="797"/>
      <c r="V6" s="797"/>
      <c r="W6" s="797"/>
      <c r="X6" s="797"/>
      <c r="Y6" s="760" t="s">
        <v>440</v>
      </c>
      <c r="Z6" s="797" t="s">
        <v>35</v>
      </c>
      <c r="AA6" s="797"/>
      <c r="AB6" s="797"/>
      <c r="AC6" s="797"/>
      <c r="AD6" s="797" t="s">
        <v>441</v>
      </c>
      <c r="AE6" s="797"/>
      <c r="AF6" s="797" t="s">
        <v>442</v>
      </c>
      <c r="AG6" s="797"/>
      <c r="AH6" s="58"/>
      <c r="AI6" s="797" t="s">
        <v>443</v>
      </c>
      <c r="AJ6" s="797"/>
      <c r="AK6" s="797"/>
      <c r="AL6" s="797"/>
      <c r="AM6" s="797"/>
      <c r="AN6" s="797"/>
      <c r="AO6" s="797"/>
      <c r="AP6" s="797"/>
      <c r="AQ6" s="797"/>
      <c r="AR6" s="52"/>
      <c r="AS6" s="52"/>
    </row>
    <row r="7" spans="1:45" ht="171.75" customHeight="1" thickBot="1" x14ac:dyDescent="0.65">
      <c r="A7" s="167" t="s">
        <v>378</v>
      </c>
      <c r="B7" s="168" t="s">
        <v>379</v>
      </c>
      <c r="C7" s="168" t="s">
        <v>380</v>
      </c>
      <c r="D7" s="168" t="s">
        <v>381</v>
      </c>
      <c r="E7" s="59" t="s">
        <v>383</v>
      </c>
      <c r="F7" s="168" t="s">
        <v>384</v>
      </c>
      <c r="G7" s="168" t="s">
        <v>385</v>
      </c>
      <c r="H7" s="59" t="s">
        <v>387</v>
      </c>
      <c r="I7" s="59" t="s">
        <v>790</v>
      </c>
      <c r="J7" s="59" t="s">
        <v>390</v>
      </c>
      <c r="K7" s="59" t="s">
        <v>392</v>
      </c>
      <c r="L7" s="59" t="s">
        <v>393</v>
      </c>
      <c r="M7" s="59" t="s">
        <v>394</v>
      </c>
      <c r="N7" s="59" t="s">
        <v>396</v>
      </c>
      <c r="O7" s="59" t="s">
        <v>397</v>
      </c>
      <c r="P7" s="59" t="s">
        <v>398</v>
      </c>
      <c r="Q7" s="59" t="s">
        <v>400</v>
      </c>
      <c r="R7" s="59" t="s">
        <v>401</v>
      </c>
      <c r="S7" s="59" t="s">
        <v>402</v>
      </c>
      <c r="T7" s="59" t="s">
        <v>403</v>
      </c>
      <c r="U7" s="59" t="s">
        <v>404</v>
      </c>
      <c r="V7" s="59" t="s">
        <v>405</v>
      </c>
      <c r="W7" s="59" t="s">
        <v>406</v>
      </c>
      <c r="X7" s="60" t="s">
        <v>444</v>
      </c>
      <c r="Y7" s="233"/>
      <c r="Z7" s="61" t="s">
        <v>445</v>
      </c>
      <c r="AA7" s="59" t="s">
        <v>446</v>
      </c>
      <c r="AB7" s="59" t="s">
        <v>447</v>
      </c>
      <c r="AC7" s="60" t="s">
        <v>448</v>
      </c>
      <c r="AD7" s="62" t="s">
        <v>449</v>
      </c>
      <c r="AE7" s="60" t="s">
        <v>450</v>
      </c>
      <c r="AF7" s="62" t="s">
        <v>449</v>
      </c>
      <c r="AG7" s="60" t="s">
        <v>450</v>
      </c>
      <c r="AH7" s="63" t="s">
        <v>451</v>
      </c>
      <c r="AI7" s="64" t="s">
        <v>452</v>
      </c>
      <c r="AJ7" s="59" t="s">
        <v>453</v>
      </c>
      <c r="AK7" s="59" t="s">
        <v>454</v>
      </c>
      <c r="AL7" s="59" t="s">
        <v>455</v>
      </c>
      <c r="AM7" s="59" t="s">
        <v>456</v>
      </c>
      <c r="AN7" s="59" t="s">
        <v>457</v>
      </c>
      <c r="AO7" s="65" t="s">
        <v>458</v>
      </c>
      <c r="AP7" s="65" t="s">
        <v>459</v>
      </c>
      <c r="AQ7" s="60" t="s">
        <v>460</v>
      </c>
      <c r="AR7" s="66"/>
      <c r="AS7" s="66"/>
    </row>
    <row r="8" spans="1:45" x14ac:dyDescent="0.25">
      <c r="A8" s="500"/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2"/>
      <c r="O8" s="501"/>
      <c r="P8" s="501"/>
      <c r="Q8" s="501"/>
      <c r="R8" s="501"/>
      <c r="S8" s="501"/>
      <c r="T8" s="501"/>
      <c r="U8" s="501"/>
      <c r="V8" s="501"/>
      <c r="W8" s="501"/>
      <c r="X8" s="503">
        <f t="shared" ref="X8:X71" si="0">SUM(A8:W8)</f>
        <v>0</v>
      </c>
      <c r="Y8" s="235" t="s">
        <v>307</v>
      </c>
      <c r="Z8" s="504"/>
      <c r="AA8" s="502">
        <v>44</v>
      </c>
      <c r="AB8" s="502"/>
      <c r="AC8" s="505"/>
      <c r="AD8" s="506">
        <f t="shared" ref="AD8:AD13" si="1">-AE8/$D$2%</f>
        <v>-39.594551789673744</v>
      </c>
      <c r="AE8" s="507">
        <f>AH8/AA8%</f>
        <v>36.363636363636367</v>
      </c>
      <c r="AF8" s="506"/>
      <c r="AG8" s="505"/>
      <c r="AH8" s="67">
        <f t="shared" ref="AH8:AH14" si="2">SUM(AI8:AQ8)</f>
        <v>16</v>
      </c>
      <c r="AI8" s="508">
        <v>16</v>
      </c>
      <c r="AJ8" s="138"/>
      <c r="AK8" s="138"/>
      <c r="AL8" s="138"/>
      <c r="AM8" s="138"/>
      <c r="AN8" s="138"/>
      <c r="AO8" s="138"/>
      <c r="AP8" s="138"/>
      <c r="AQ8" s="509"/>
      <c r="AR8" s="52"/>
      <c r="AS8" s="52"/>
    </row>
    <row r="9" spans="1:45" x14ac:dyDescent="0.25">
      <c r="A9" s="500"/>
      <c r="B9" s="501"/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502"/>
      <c r="O9" s="501"/>
      <c r="P9" s="501"/>
      <c r="Q9" s="501"/>
      <c r="R9" s="501"/>
      <c r="S9" s="501"/>
      <c r="T9" s="501"/>
      <c r="U9" s="501"/>
      <c r="V9" s="501"/>
      <c r="W9" s="501"/>
      <c r="X9" s="503">
        <f t="shared" si="0"/>
        <v>0</v>
      </c>
      <c r="Y9" s="235" t="s">
        <v>314</v>
      </c>
      <c r="Z9" s="504"/>
      <c r="AA9" s="502"/>
      <c r="AB9" s="502">
        <v>90</v>
      </c>
      <c r="AC9" s="505"/>
      <c r="AD9" s="506">
        <f t="shared" si="1"/>
        <v>-5.2022841656988001</v>
      </c>
      <c r="AE9" s="507">
        <f>AH9/AB9%</f>
        <v>4.7777777777777777</v>
      </c>
      <c r="AF9" s="506"/>
      <c r="AG9" s="505"/>
      <c r="AH9" s="67">
        <f t="shared" si="2"/>
        <v>4.3</v>
      </c>
      <c r="AI9" s="510">
        <v>4.3</v>
      </c>
      <c r="AJ9" s="510"/>
      <c r="AK9" s="138"/>
      <c r="AL9" s="138"/>
      <c r="AM9" s="138"/>
      <c r="AN9" s="138"/>
      <c r="AO9" s="138"/>
      <c r="AP9" s="138"/>
      <c r="AQ9" s="509"/>
      <c r="AR9" s="52"/>
      <c r="AS9" s="52"/>
    </row>
    <row r="10" spans="1:45" x14ac:dyDescent="0.25">
      <c r="A10" s="500"/>
      <c r="B10" s="501"/>
      <c r="C10" s="501"/>
      <c r="D10" s="501"/>
      <c r="E10" s="501"/>
      <c r="F10" s="501"/>
      <c r="G10" s="501"/>
      <c r="H10" s="501"/>
      <c r="I10" s="501"/>
      <c r="J10" s="501"/>
      <c r="K10" s="501"/>
      <c r="L10" s="501"/>
      <c r="M10" s="501"/>
      <c r="N10" s="502"/>
      <c r="O10" s="501"/>
      <c r="P10" s="501"/>
      <c r="Q10" s="501"/>
      <c r="R10" s="501"/>
      <c r="S10" s="501"/>
      <c r="T10" s="501"/>
      <c r="U10" s="501"/>
      <c r="V10" s="501"/>
      <c r="W10" s="501"/>
      <c r="X10" s="503">
        <f t="shared" si="0"/>
        <v>0</v>
      </c>
      <c r="Y10" s="235" t="s">
        <v>316</v>
      </c>
      <c r="Z10" s="504"/>
      <c r="AA10" s="502"/>
      <c r="AB10" s="502">
        <v>100</v>
      </c>
      <c r="AC10" s="505"/>
      <c r="AD10" s="506">
        <f t="shared" si="1"/>
        <v>-21.994773519163761</v>
      </c>
      <c r="AE10" s="507">
        <f>AH10/AB10%</f>
        <v>20.2</v>
      </c>
      <c r="AF10" s="506"/>
      <c r="AG10" s="505"/>
      <c r="AH10" s="67">
        <f t="shared" si="2"/>
        <v>20.2</v>
      </c>
      <c r="AI10" s="510">
        <v>20.2</v>
      </c>
      <c r="AJ10" s="138"/>
      <c r="AK10" s="138"/>
      <c r="AL10" s="138"/>
      <c r="AM10" s="138"/>
      <c r="AN10" s="138"/>
      <c r="AO10" s="138"/>
      <c r="AP10" s="138"/>
      <c r="AQ10" s="509"/>
      <c r="AR10" s="52"/>
      <c r="AS10" s="52"/>
    </row>
    <row r="11" spans="1:45" x14ac:dyDescent="0.25">
      <c r="A11" s="500"/>
      <c r="B11" s="501"/>
      <c r="C11" s="501"/>
      <c r="D11" s="501"/>
      <c r="E11" s="501"/>
      <c r="F11" s="501"/>
      <c r="G11" s="501"/>
      <c r="H11" s="501"/>
      <c r="I11" s="501"/>
      <c r="J11" s="501"/>
      <c r="K11" s="501"/>
      <c r="L11" s="501"/>
      <c r="M11" s="501"/>
      <c r="N11" s="502"/>
      <c r="O11" s="501"/>
      <c r="P11" s="501"/>
      <c r="Q11" s="501"/>
      <c r="R11" s="501"/>
      <c r="S11" s="501"/>
      <c r="T11" s="501"/>
      <c r="U11" s="501"/>
      <c r="V11" s="501"/>
      <c r="W11" s="501"/>
      <c r="X11" s="503">
        <f t="shared" si="0"/>
        <v>0</v>
      </c>
      <c r="Y11" s="235" t="s">
        <v>305</v>
      </c>
      <c r="Z11" s="504"/>
      <c r="AA11" s="502">
        <v>50</v>
      </c>
      <c r="AB11" s="502"/>
      <c r="AC11" s="505"/>
      <c r="AD11" s="506">
        <f t="shared" si="1"/>
        <v>-159.8432055749129</v>
      </c>
      <c r="AE11" s="507">
        <f>AH11/AA11%</f>
        <v>146.80000000000001</v>
      </c>
      <c r="AF11" s="506"/>
      <c r="AG11" s="505"/>
      <c r="AH11" s="67">
        <f t="shared" si="2"/>
        <v>73.400000000000006</v>
      </c>
      <c r="AI11" s="511">
        <v>18.2</v>
      </c>
      <c r="AJ11" s="482">
        <v>18.600000000000001</v>
      </c>
      <c r="AK11" s="482">
        <v>8.1</v>
      </c>
      <c r="AL11" s="482">
        <v>9</v>
      </c>
      <c r="AM11" s="482">
        <v>0.2</v>
      </c>
      <c r="AN11" s="482">
        <v>18.600000000000001</v>
      </c>
      <c r="AO11" s="482">
        <v>0</v>
      </c>
      <c r="AP11" s="482">
        <v>0.7</v>
      </c>
      <c r="AQ11" s="512"/>
      <c r="AR11" s="52"/>
      <c r="AS11" s="52"/>
    </row>
    <row r="12" spans="1:45" x14ac:dyDescent="0.25">
      <c r="A12" s="500"/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2"/>
      <c r="O12" s="501"/>
      <c r="P12" s="501"/>
      <c r="Q12" s="501"/>
      <c r="R12" s="501"/>
      <c r="S12" s="501"/>
      <c r="T12" s="501"/>
      <c r="U12" s="501"/>
      <c r="V12" s="501"/>
      <c r="W12" s="501"/>
      <c r="X12" s="503">
        <f t="shared" si="0"/>
        <v>0</v>
      </c>
      <c r="Y12" s="235" t="s">
        <v>309</v>
      </c>
      <c r="Z12" s="504"/>
      <c r="AA12" s="502">
        <v>150</v>
      </c>
      <c r="AB12" s="502"/>
      <c r="AC12" s="505"/>
      <c r="AD12" s="506">
        <f t="shared" si="1"/>
        <v>-143.00232288037168</v>
      </c>
      <c r="AE12" s="507">
        <f>AH12/AA12%</f>
        <v>131.33333333333334</v>
      </c>
      <c r="AF12" s="506"/>
      <c r="AG12" s="505"/>
      <c r="AH12" s="67">
        <f t="shared" si="2"/>
        <v>197</v>
      </c>
      <c r="AI12" s="510">
        <v>64.400000000000006</v>
      </c>
      <c r="AJ12" s="69">
        <v>0</v>
      </c>
      <c r="AK12" s="69">
        <v>27.1</v>
      </c>
      <c r="AL12" s="69">
        <v>30.1</v>
      </c>
      <c r="AM12" s="69">
        <v>0.6</v>
      </c>
      <c r="AN12" s="69">
        <v>74.400000000000006</v>
      </c>
      <c r="AO12" s="69">
        <v>0</v>
      </c>
      <c r="AP12" s="69">
        <v>0.4</v>
      </c>
      <c r="AQ12" s="507"/>
      <c r="AR12" s="52"/>
      <c r="AS12" s="52"/>
    </row>
    <row r="13" spans="1:45" x14ac:dyDescent="0.25">
      <c r="A13" s="500"/>
      <c r="B13" s="501"/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2"/>
      <c r="O13" s="501"/>
      <c r="P13" s="501"/>
      <c r="Q13" s="501"/>
      <c r="R13" s="501"/>
      <c r="S13" s="501"/>
      <c r="T13" s="501"/>
      <c r="U13" s="501"/>
      <c r="V13" s="501"/>
      <c r="W13" s="501"/>
      <c r="X13" s="503">
        <f>SUM(A13:W13)</f>
        <v>0</v>
      </c>
      <c r="Y13" s="235" t="s">
        <v>290</v>
      </c>
      <c r="Z13" s="504"/>
      <c r="AA13" s="502">
        <v>85</v>
      </c>
      <c r="AB13" s="502"/>
      <c r="AC13" s="505"/>
      <c r="AD13" s="506">
        <f t="shared" si="1"/>
        <v>-905.02664480426324</v>
      </c>
      <c r="AE13" s="507">
        <f>AH13/AA13%</f>
        <v>831.17647058823536</v>
      </c>
      <c r="AF13" s="506"/>
      <c r="AG13" s="505"/>
      <c r="AH13" s="67">
        <f t="shared" si="2"/>
        <v>706.5</v>
      </c>
      <c r="AI13" s="510">
        <v>101.1</v>
      </c>
      <c r="AJ13" s="69">
        <v>85.6</v>
      </c>
      <c r="AK13" s="69">
        <v>25.8</v>
      </c>
      <c r="AL13" s="69">
        <v>28.7</v>
      </c>
      <c r="AM13" s="69">
        <v>3.7</v>
      </c>
      <c r="AN13" s="69">
        <v>453.3</v>
      </c>
      <c r="AO13" s="69">
        <v>0.4</v>
      </c>
      <c r="AP13" s="69">
        <v>6.6</v>
      </c>
      <c r="AQ13" s="507">
        <v>1.3</v>
      </c>
      <c r="AR13" s="52"/>
      <c r="AS13" s="137"/>
    </row>
    <row r="14" spans="1:45" x14ac:dyDescent="0.25">
      <c r="A14" s="500"/>
      <c r="B14" s="501"/>
      <c r="C14" s="501"/>
      <c r="D14" s="501"/>
      <c r="E14" s="501"/>
      <c r="F14" s="501"/>
      <c r="G14" s="501"/>
      <c r="H14" s="501"/>
      <c r="I14" s="501"/>
      <c r="J14" s="501"/>
      <c r="K14" s="501"/>
      <c r="L14" s="501"/>
      <c r="M14" s="501"/>
      <c r="N14" s="513">
        <f>AH14-AE14</f>
        <v>-0.4</v>
      </c>
      <c r="O14" s="501"/>
      <c r="P14" s="501"/>
      <c r="Q14" s="501"/>
      <c r="R14" s="501"/>
      <c r="S14" s="501"/>
      <c r="T14" s="501"/>
      <c r="U14" s="501"/>
      <c r="V14" s="501"/>
      <c r="W14" s="501"/>
      <c r="X14" s="503">
        <f t="shared" si="0"/>
        <v>-0.4</v>
      </c>
      <c r="Y14" s="235" t="s">
        <v>344</v>
      </c>
      <c r="Z14" s="504"/>
      <c r="AA14" s="502"/>
      <c r="AB14" s="502">
        <v>300</v>
      </c>
      <c r="AC14" s="505"/>
      <c r="AD14" s="506">
        <f>-AE14/$D$2%</f>
        <v>-0.43554006968641118</v>
      </c>
      <c r="AE14" s="507">
        <f>0.1+0.3</f>
        <v>0.4</v>
      </c>
      <c r="AF14" s="506"/>
      <c r="AG14" s="505"/>
      <c r="AH14" s="67">
        <f t="shared" si="2"/>
        <v>0</v>
      </c>
      <c r="AI14" s="510"/>
      <c r="AJ14" s="69"/>
      <c r="AK14" s="69"/>
      <c r="AL14" s="69"/>
      <c r="AM14" s="69"/>
      <c r="AN14" s="69"/>
      <c r="AO14" s="69"/>
      <c r="AP14" s="69"/>
      <c r="AQ14" s="507"/>
      <c r="AR14" s="52"/>
      <c r="AS14" s="52"/>
    </row>
    <row r="15" spans="1:45" x14ac:dyDescent="0.25">
      <c r="A15" s="514">
        <f>Z15%*AD15</f>
        <v>615.98219800377046</v>
      </c>
      <c r="B15" s="501"/>
      <c r="C15" s="501"/>
      <c r="D15" s="501"/>
      <c r="E15" s="501"/>
      <c r="F15" s="501"/>
      <c r="G15" s="138"/>
      <c r="H15" s="138"/>
      <c r="I15" s="138"/>
      <c r="J15" s="138"/>
      <c r="K15" s="138"/>
      <c r="L15" s="501"/>
      <c r="M15" s="501"/>
      <c r="N15" s="502"/>
      <c r="O15" s="501"/>
      <c r="P15" s="501"/>
      <c r="Q15" s="501"/>
      <c r="R15" s="501"/>
      <c r="S15" s="501"/>
      <c r="T15" s="501"/>
      <c r="U15" s="501"/>
      <c r="V15" s="501"/>
      <c r="W15" s="501"/>
      <c r="X15" s="503">
        <f>SUM(A15:W15)</f>
        <v>615.98219800377046</v>
      </c>
      <c r="Y15" s="235" t="s">
        <v>461</v>
      </c>
      <c r="Z15" s="504">
        <v>100</v>
      </c>
      <c r="AA15" s="502"/>
      <c r="AB15" s="502"/>
      <c r="AC15" s="505"/>
      <c r="AD15" s="506">
        <f>-SUM(AD16:AD80,AD8:AD14)</f>
        <v>615.98219800377046</v>
      </c>
      <c r="AE15" s="507"/>
      <c r="AF15" s="506"/>
      <c r="AG15" s="505"/>
      <c r="AH15" s="67">
        <f t="shared" ref="AH15:AH52" si="3">SUM(AI15:AQ15)</f>
        <v>0</v>
      </c>
      <c r="AI15" s="510"/>
      <c r="AJ15" s="69"/>
      <c r="AK15" s="69"/>
      <c r="AL15" s="69"/>
      <c r="AM15" s="69"/>
      <c r="AN15" s="69"/>
      <c r="AO15" s="69"/>
      <c r="AP15" s="69"/>
      <c r="AQ15" s="507"/>
      <c r="AR15" s="52"/>
      <c r="AS15" s="52"/>
    </row>
    <row r="16" spans="1:45" x14ac:dyDescent="0.25">
      <c r="A16" s="515"/>
      <c r="B16" s="513">
        <v>22.25</v>
      </c>
      <c r="C16" s="516"/>
      <c r="D16" s="516"/>
      <c r="E16" s="516"/>
      <c r="F16" s="516"/>
      <c r="G16" s="482"/>
      <c r="H16" s="482"/>
      <c r="I16" s="517"/>
      <c r="J16" s="482"/>
      <c r="K16" s="482"/>
      <c r="L16" s="516"/>
      <c r="M16" s="516"/>
      <c r="N16" s="518"/>
      <c r="O16" s="516"/>
      <c r="P16" s="516"/>
      <c r="Q16" s="516"/>
      <c r="R16" s="516"/>
      <c r="S16" s="516"/>
      <c r="T16" s="516"/>
      <c r="U16" s="516"/>
      <c r="V16" s="516"/>
      <c r="W16" s="516"/>
      <c r="X16" s="519">
        <f t="shared" si="0"/>
        <v>22.25</v>
      </c>
      <c r="Y16" s="237" t="s">
        <v>345</v>
      </c>
      <c r="Z16" s="520"/>
      <c r="AA16" s="518"/>
      <c r="AB16" s="517">
        <v>38</v>
      </c>
      <c r="AC16" s="521"/>
      <c r="AD16" s="522"/>
      <c r="AE16" s="523"/>
      <c r="AF16" s="522"/>
      <c r="AG16" s="521"/>
      <c r="AH16" s="67">
        <f t="shared" si="3"/>
        <v>8.4550000000000001</v>
      </c>
      <c r="AI16" s="510">
        <f>X16*AB16/100*0.2</f>
        <v>1.6910000000000001</v>
      </c>
      <c r="AJ16" s="69"/>
      <c r="AK16" s="69"/>
      <c r="AL16" s="69"/>
      <c r="AM16" s="69"/>
      <c r="AN16" s="69">
        <f>X16*AB16/100*0.6</f>
        <v>5.0729999999999995</v>
      </c>
      <c r="AO16" s="69"/>
      <c r="AP16" s="69"/>
      <c r="AQ16" s="507">
        <f>X16*AB16/100*0.2</f>
        <v>1.6910000000000001</v>
      </c>
      <c r="AR16" s="52"/>
      <c r="AS16" s="52"/>
    </row>
    <row r="17" spans="1:45" x14ac:dyDescent="0.25">
      <c r="A17" s="500"/>
      <c r="B17" s="501"/>
      <c r="C17" s="501"/>
      <c r="D17" s="501"/>
      <c r="E17" s="513">
        <v>50</v>
      </c>
      <c r="F17" s="501"/>
      <c r="G17" s="138"/>
      <c r="H17" s="138"/>
      <c r="I17" s="138"/>
      <c r="J17" s="138"/>
      <c r="K17" s="138"/>
      <c r="L17" s="501"/>
      <c r="M17" s="501"/>
      <c r="N17" s="69"/>
      <c r="O17" s="138"/>
      <c r="P17" s="138"/>
      <c r="Q17" s="138"/>
      <c r="R17" s="138"/>
      <c r="S17" s="138"/>
      <c r="T17" s="138"/>
      <c r="U17" s="138"/>
      <c r="V17" s="138"/>
      <c r="W17" s="138"/>
      <c r="X17" s="503">
        <f t="shared" si="0"/>
        <v>50</v>
      </c>
      <c r="Y17" s="235" t="s">
        <v>346</v>
      </c>
      <c r="Z17" s="504"/>
      <c r="AA17" s="502"/>
      <c r="AB17" s="69">
        <v>80</v>
      </c>
      <c r="AC17" s="505"/>
      <c r="AD17" s="506"/>
      <c r="AE17" s="507"/>
      <c r="AF17" s="506"/>
      <c r="AG17" s="505"/>
      <c r="AH17" s="67">
        <f t="shared" si="3"/>
        <v>40</v>
      </c>
      <c r="AI17" s="510">
        <f t="shared" ref="AI17:AI22" si="4">X17*AB17/100</f>
        <v>40</v>
      </c>
      <c r="AJ17" s="69"/>
      <c r="AK17" s="69"/>
      <c r="AL17" s="69"/>
      <c r="AM17" s="69"/>
      <c r="AN17" s="69"/>
      <c r="AO17" s="69"/>
      <c r="AP17" s="69"/>
      <c r="AQ17" s="507"/>
      <c r="AR17" s="52"/>
      <c r="AS17" s="524"/>
    </row>
    <row r="18" spans="1:45" x14ac:dyDescent="0.25">
      <c r="A18" s="500"/>
      <c r="B18" s="501"/>
      <c r="C18" s="501"/>
      <c r="D18" s="501"/>
      <c r="E18" s="501"/>
      <c r="F18" s="501"/>
      <c r="G18" s="138"/>
      <c r="H18" s="138"/>
      <c r="I18" s="513">
        <v>0.4</v>
      </c>
      <c r="J18" s="138"/>
      <c r="K18" s="138"/>
      <c r="L18" s="501"/>
      <c r="M18" s="501"/>
      <c r="N18" s="69"/>
      <c r="O18" s="138"/>
      <c r="P18" s="138"/>
      <c r="Q18" s="138"/>
      <c r="R18" s="138"/>
      <c r="S18" s="138"/>
      <c r="T18" s="138"/>
      <c r="U18" s="138"/>
      <c r="V18" s="138"/>
      <c r="W18" s="138"/>
      <c r="X18" s="503">
        <f t="shared" si="0"/>
        <v>0.4</v>
      </c>
      <c r="Y18" s="235" t="s">
        <v>347</v>
      </c>
      <c r="Z18" s="504"/>
      <c r="AA18" s="502"/>
      <c r="AB18" s="69">
        <v>85</v>
      </c>
      <c r="AC18" s="505"/>
      <c r="AD18" s="506"/>
      <c r="AE18" s="507"/>
      <c r="AF18" s="506"/>
      <c r="AG18" s="505"/>
      <c r="AH18" s="67">
        <f t="shared" si="3"/>
        <v>0.34</v>
      </c>
      <c r="AI18" s="510">
        <f t="shared" si="4"/>
        <v>0.34</v>
      </c>
      <c r="AJ18" s="69"/>
      <c r="AK18" s="69"/>
      <c r="AL18" s="69"/>
      <c r="AM18" s="69"/>
      <c r="AN18" s="69"/>
      <c r="AO18" s="69"/>
      <c r="AP18" s="69"/>
      <c r="AQ18" s="507"/>
      <c r="AR18" s="52"/>
      <c r="AS18" s="524"/>
    </row>
    <row r="19" spans="1:45" x14ac:dyDescent="0.25">
      <c r="A19" s="500"/>
      <c r="B19" s="501"/>
      <c r="C19" s="501"/>
      <c r="D19" s="501"/>
      <c r="E19" s="501"/>
      <c r="F19" s="501"/>
      <c r="G19" s="138"/>
      <c r="H19" s="138"/>
      <c r="I19" s="138"/>
      <c r="J19" s="138"/>
      <c r="K19" s="138"/>
      <c r="L19" s="501"/>
      <c r="M19" s="501"/>
      <c r="N19" s="69"/>
      <c r="O19" s="138"/>
      <c r="P19" s="138"/>
      <c r="Q19" s="513"/>
      <c r="R19" s="513"/>
      <c r="S19" s="513">
        <v>82</v>
      </c>
      <c r="T19" s="138"/>
      <c r="U19" s="138"/>
      <c r="V19" s="138"/>
      <c r="W19" s="138"/>
      <c r="X19" s="503">
        <f t="shared" si="0"/>
        <v>82</v>
      </c>
      <c r="Y19" s="235" t="s">
        <v>348</v>
      </c>
      <c r="Z19" s="504"/>
      <c r="AA19" s="502"/>
      <c r="AB19" s="69">
        <v>75</v>
      </c>
      <c r="AC19" s="505"/>
      <c r="AD19" s="506"/>
      <c r="AE19" s="507"/>
      <c r="AF19" s="506"/>
      <c r="AG19" s="505"/>
      <c r="AH19" s="67">
        <f t="shared" si="3"/>
        <v>61.5</v>
      </c>
      <c r="AI19" s="510">
        <f t="shared" si="4"/>
        <v>61.5</v>
      </c>
      <c r="AJ19" s="69"/>
      <c r="AK19" s="69"/>
      <c r="AL19" s="69"/>
      <c r="AM19" s="69"/>
      <c r="AN19" s="69"/>
      <c r="AO19" s="69"/>
      <c r="AP19" s="69"/>
      <c r="AQ19" s="507"/>
      <c r="AR19" s="52"/>
      <c r="AS19" s="52"/>
    </row>
    <row r="20" spans="1:45" x14ac:dyDescent="0.25">
      <c r="A20" s="500"/>
      <c r="B20" s="501"/>
      <c r="C20" s="501"/>
      <c r="D20" s="501"/>
      <c r="E20" s="501"/>
      <c r="F20" s="501"/>
      <c r="G20" s="138"/>
      <c r="H20" s="138"/>
      <c r="I20" s="138"/>
      <c r="J20" s="138"/>
      <c r="K20" s="138"/>
      <c r="L20" s="501"/>
      <c r="M20" s="501"/>
      <c r="N20" s="69"/>
      <c r="O20" s="138"/>
      <c r="P20" s="138"/>
      <c r="Q20" s="513"/>
      <c r="R20" s="513">
        <v>134</v>
      </c>
      <c r="S20" s="513"/>
      <c r="T20" s="138"/>
      <c r="U20" s="138"/>
      <c r="V20" s="138"/>
      <c r="W20" s="138"/>
      <c r="X20" s="503">
        <f t="shared" si="0"/>
        <v>134</v>
      </c>
      <c r="Y20" s="235" t="s">
        <v>349</v>
      </c>
      <c r="Z20" s="504"/>
      <c r="AA20" s="502"/>
      <c r="AB20" s="69">
        <v>65</v>
      </c>
      <c r="AC20" s="505"/>
      <c r="AD20" s="506"/>
      <c r="AE20" s="507"/>
      <c r="AF20" s="506"/>
      <c r="AG20" s="505"/>
      <c r="AH20" s="67">
        <f t="shared" si="3"/>
        <v>87.1</v>
      </c>
      <c r="AI20" s="510">
        <f t="shared" si="4"/>
        <v>87.1</v>
      </c>
      <c r="AJ20" s="69"/>
      <c r="AK20" s="69"/>
      <c r="AL20" s="69"/>
      <c r="AM20" s="69"/>
      <c r="AN20" s="69"/>
      <c r="AO20" s="69"/>
      <c r="AP20" s="69"/>
      <c r="AQ20" s="507"/>
      <c r="AR20" s="52"/>
      <c r="AS20" s="524"/>
    </row>
    <row r="21" spans="1:45" x14ac:dyDescent="0.25">
      <c r="A21" s="500"/>
      <c r="B21" s="501"/>
      <c r="C21" s="501"/>
      <c r="D21" s="501"/>
      <c r="E21" s="501"/>
      <c r="F21" s="501"/>
      <c r="G21" s="138"/>
      <c r="H21" s="138"/>
      <c r="I21" s="138"/>
      <c r="J21" s="138"/>
      <c r="K21" s="138"/>
      <c r="L21" s="501"/>
      <c r="M21" s="501"/>
      <c r="N21" s="69"/>
      <c r="O21" s="138"/>
      <c r="P21" s="138"/>
      <c r="Q21" s="513">
        <v>20</v>
      </c>
      <c r="R21" s="513"/>
      <c r="S21" s="513"/>
      <c r="T21" s="138"/>
      <c r="U21" s="138"/>
      <c r="V21" s="138"/>
      <c r="W21" s="138"/>
      <c r="X21" s="503">
        <f t="shared" si="0"/>
        <v>20</v>
      </c>
      <c r="Y21" s="235" t="s">
        <v>350</v>
      </c>
      <c r="Z21" s="504"/>
      <c r="AA21" s="502"/>
      <c r="AB21" s="69">
        <v>65</v>
      </c>
      <c r="AC21" s="505"/>
      <c r="AD21" s="506"/>
      <c r="AE21" s="507"/>
      <c r="AF21" s="506"/>
      <c r="AG21" s="505"/>
      <c r="AH21" s="67">
        <f t="shared" si="3"/>
        <v>13</v>
      </c>
      <c r="AI21" s="510">
        <f t="shared" si="4"/>
        <v>13</v>
      </c>
      <c r="AJ21" s="69"/>
      <c r="AK21" s="69"/>
      <c r="AL21" s="69"/>
      <c r="AM21" s="69"/>
      <c r="AN21" s="69"/>
      <c r="AO21" s="69"/>
      <c r="AP21" s="69"/>
      <c r="AQ21" s="507"/>
      <c r="AR21" s="52"/>
      <c r="AS21" s="524"/>
    </row>
    <row r="22" spans="1:45" x14ac:dyDescent="0.25">
      <c r="A22" s="500"/>
      <c r="B22" s="501"/>
      <c r="C22" s="501"/>
      <c r="D22" s="501"/>
      <c r="E22" s="501"/>
      <c r="F22" s="501"/>
      <c r="G22" s="138"/>
      <c r="H22" s="138"/>
      <c r="I22" s="138"/>
      <c r="J22" s="138"/>
      <c r="K22" s="138"/>
      <c r="L22" s="513">
        <v>3.09</v>
      </c>
      <c r="M22" s="501"/>
      <c r="N22" s="69"/>
      <c r="O22" s="138"/>
      <c r="P22" s="138"/>
      <c r="Q22" s="138"/>
      <c r="R22" s="138"/>
      <c r="S22" s="138"/>
      <c r="T22" s="138"/>
      <c r="U22" s="138"/>
      <c r="V22" s="138"/>
      <c r="W22" s="138"/>
      <c r="X22" s="503">
        <f t="shared" si="0"/>
        <v>3.09</v>
      </c>
      <c r="Y22" s="235" t="s">
        <v>331</v>
      </c>
      <c r="Z22" s="504"/>
      <c r="AA22" s="502"/>
      <c r="AB22" s="502">
        <v>100</v>
      </c>
      <c r="AC22" s="505"/>
      <c r="AD22" s="506"/>
      <c r="AE22" s="507"/>
      <c r="AF22" s="506"/>
      <c r="AG22" s="505"/>
      <c r="AH22" s="67">
        <f t="shared" si="3"/>
        <v>3.09</v>
      </c>
      <c r="AI22" s="510">
        <f t="shared" si="4"/>
        <v>3.09</v>
      </c>
      <c r="AJ22" s="69"/>
      <c r="AK22" s="69"/>
      <c r="AL22" s="69"/>
      <c r="AM22" s="69"/>
      <c r="AN22" s="69"/>
      <c r="AO22" s="69"/>
      <c r="AP22" s="69"/>
      <c r="AQ22" s="507"/>
      <c r="AR22" s="52"/>
      <c r="AS22" s="137"/>
    </row>
    <row r="23" spans="1:45" x14ac:dyDescent="0.25">
      <c r="A23" s="500"/>
      <c r="B23" s="501"/>
      <c r="C23" s="138"/>
      <c r="D23" s="138"/>
      <c r="E23" s="513">
        <v>27.38</v>
      </c>
      <c r="F23" s="138"/>
      <c r="G23" s="138"/>
      <c r="H23" s="138"/>
      <c r="I23" s="138"/>
      <c r="J23" s="138"/>
      <c r="K23" s="138"/>
      <c r="L23" s="138"/>
      <c r="M23" s="138"/>
      <c r="N23" s="69"/>
      <c r="O23" s="138"/>
      <c r="P23" s="138"/>
      <c r="Q23" s="138"/>
      <c r="R23" s="138"/>
      <c r="S23" s="138"/>
      <c r="T23" s="138"/>
      <c r="U23" s="138"/>
      <c r="V23" s="138"/>
      <c r="W23" s="138"/>
      <c r="X23" s="503">
        <f t="shared" si="0"/>
        <v>27.38</v>
      </c>
      <c r="Y23" s="235" t="s">
        <v>292</v>
      </c>
      <c r="Z23" s="504"/>
      <c r="AA23" s="502">
        <v>90</v>
      </c>
      <c r="AB23" s="502"/>
      <c r="AC23" s="505"/>
      <c r="AD23" s="506"/>
      <c r="AE23" s="507"/>
      <c r="AF23" s="506"/>
      <c r="AG23" s="505"/>
      <c r="AH23" s="67">
        <f t="shared" si="3"/>
        <v>24.641999999999999</v>
      </c>
      <c r="AI23" s="510"/>
      <c r="AJ23" s="69"/>
      <c r="AK23" s="69"/>
      <c r="AL23" s="69"/>
      <c r="AM23" s="69"/>
      <c r="AN23" s="69">
        <f>X23*AA23/100</f>
        <v>24.641999999999999</v>
      </c>
      <c r="AO23" s="69"/>
      <c r="AP23" s="69"/>
      <c r="AQ23" s="507"/>
      <c r="AR23" s="52"/>
      <c r="AS23" s="52"/>
    </row>
    <row r="24" spans="1:45" x14ac:dyDescent="0.25">
      <c r="A24" s="500"/>
      <c r="B24" s="501"/>
      <c r="C24" s="138"/>
      <c r="D24" s="138"/>
      <c r="E24" s="138"/>
      <c r="F24" s="138"/>
      <c r="G24" s="138"/>
      <c r="H24" s="138"/>
      <c r="I24" s="513">
        <v>753</v>
      </c>
      <c r="J24" s="138"/>
      <c r="K24" s="138"/>
      <c r="L24" s="138"/>
      <c r="M24" s="138"/>
      <c r="N24" s="69"/>
      <c r="O24" s="138"/>
      <c r="P24" s="138"/>
      <c r="Q24" s="138"/>
      <c r="R24" s="138"/>
      <c r="S24" s="138"/>
      <c r="T24" s="138"/>
      <c r="U24" s="138"/>
      <c r="V24" s="138"/>
      <c r="W24" s="138"/>
      <c r="X24" s="503">
        <f t="shared" si="0"/>
        <v>753</v>
      </c>
      <c r="Y24" s="235" t="s">
        <v>294</v>
      </c>
      <c r="Z24" s="504"/>
      <c r="AA24" s="502">
        <v>90</v>
      </c>
      <c r="AB24" s="502"/>
      <c r="AC24" s="505"/>
      <c r="AD24" s="506"/>
      <c r="AE24" s="507"/>
      <c r="AF24" s="506"/>
      <c r="AG24" s="505"/>
      <c r="AH24" s="67">
        <f t="shared" si="3"/>
        <v>677.7</v>
      </c>
      <c r="AI24" s="510"/>
      <c r="AJ24" s="69"/>
      <c r="AK24" s="69"/>
      <c r="AL24" s="69"/>
      <c r="AM24" s="69"/>
      <c r="AN24" s="69">
        <f>X24*AA24/100</f>
        <v>677.7</v>
      </c>
      <c r="AO24" s="69"/>
      <c r="AP24" s="69"/>
      <c r="AQ24" s="507"/>
      <c r="AR24" s="52"/>
      <c r="AS24" s="524"/>
    </row>
    <row r="25" spans="1:45" x14ac:dyDescent="0.25">
      <c r="A25" s="525"/>
      <c r="B25" s="138"/>
      <c r="C25" s="138"/>
      <c r="D25" s="513"/>
      <c r="E25" s="138"/>
      <c r="F25" s="138"/>
      <c r="G25" s="138"/>
      <c r="H25" s="138"/>
      <c r="I25" s="513"/>
      <c r="J25" s="138"/>
      <c r="K25" s="138"/>
      <c r="L25" s="138"/>
      <c r="M25" s="138"/>
      <c r="N25" s="138"/>
      <c r="O25" s="138"/>
      <c r="P25" s="138"/>
      <c r="Q25" s="138"/>
      <c r="R25" s="138"/>
      <c r="S25" s="513"/>
      <c r="T25" s="138"/>
      <c r="U25" s="138"/>
      <c r="V25" s="138"/>
      <c r="W25" s="138"/>
      <c r="X25" s="503"/>
      <c r="Y25" s="235" t="s">
        <v>355</v>
      </c>
      <c r="Z25" s="504"/>
      <c r="AA25" s="502">
        <v>90</v>
      </c>
      <c r="AB25" s="502"/>
      <c r="AC25" s="505"/>
      <c r="AD25" s="506"/>
      <c r="AE25" s="507"/>
      <c r="AF25" s="506"/>
      <c r="AG25" s="505"/>
      <c r="AH25" s="67">
        <f t="shared" si="3"/>
        <v>0</v>
      </c>
      <c r="AI25" s="510"/>
      <c r="AJ25" s="69"/>
      <c r="AK25" s="69"/>
      <c r="AL25" s="69"/>
      <c r="AM25" s="69"/>
      <c r="AN25" s="69">
        <f>X25*AA25/100</f>
        <v>0</v>
      </c>
      <c r="AO25" s="69"/>
      <c r="AP25" s="69"/>
      <c r="AQ25" s="507"/>
      <c r="AR25" s="68"/>
      <c r="AS25" s="524"/>
    </row>
    <row r="26" spans="1:45" x14ac:dyDescent="0.25">
      <c r="A26" s="500"/>
      <c r="B26" s="501"/>
      <c r="C26" s="138"/>
      <c r="D26" s="138"/>
      <c r="E26" s="138"/>
      <c r="F26" s="138"/>
      <c r="G26" s="138"/>
      <c r="H26" s="138"/>
      <c r="I26" s="138"/>
      <c r="J26" s="138"/>
      <c r="K26" s="138"/>
      <c r="L26" s="513">
        <v>18.670000000000002</v>
      </c>
      <c r="M26" s="138"/>
      <c r="N26" s="69"/>
      <c r="O26" s="138"/>
      <c r="P26" s="138"/>
      <c r="Q26" s="138"/>
      <c r="R26" s="138"/>
      <c r="S26" s="138"/>
      <c r="T26" s="138"/>
      <c r="U26" s="138"/>
      <c r="V26" s="138"/>
      <c r="W26" s="138"/>
      <c r="X26" s="503">
        <f t="shared" si="0"/>
        <v>18.670000000000002</v>
      </c>
      <c r="Y26" s="235" t="s">
        <v>131</v>
      </c>
      <c r="Z26" s="502">
        <v>100</v>
      </c>
      <c r="AA26" s="502"/>
      <c r="AB26" s="502"/>
      <c r="AC26" s="505"/>
      <c r="AD26" s="506">
        <f>X26*Z26/100</f>
        <v>18.670000000000002</v>
      </c>
      <c r="AE26" s="507"/>
      <c r="AF26" s="506"/>
      <c r="AG26" s="505"/>
      <c r="AH26" s="67">
        <f t="shared" si="3"/>
        <v>0</v>
      </c>
      <c r="AI26" s="510"/>
      <c r="AJ26" s="69"/>
      <c r="AK26" s="69"/>
      <c r="AL26" s="69"/>
      <c r="AM26" s="69"/>
      <c r="AN26" s="69"/>
      <c r="AO26" s="69"/>
      <c r="AP26" s="69"/>
      <c r="AQ26" s="507"/>
      <c r="AR26" s="52"/>
      <c r="AS26" s="52"/>
    </row>
    <row r="27" spans="1:45" x14ac:dyDescent="0.25">
      <c r="A27" s="500"/>
      <c r="B27" s="501"/>
      <c r="C27" s="138"/>
      <c r="D27" s="138"/>
      <c r="E27" s="138"/>
      <c r="F27" s="138"/>
      <c r="G27" s="138"/>
      <c r="H27" s="138"/>
      <c r="I27" s="138"/>
      <c r="J27" s="513">
        <v>80</v>
      </c>
      <c r="K27" s="138"/>
      <c r="L27" s="138"/>
      <c r="M27" s="138"/>
      <c r="N27" s="69"/>
      <c r="O27" s="138"/>
      <c r="P27" s="138"/>
      <c r="Q27" s="138"/>
      <c r="R27" s="138"/>
      <c r="S27" s="138"/>
      <c r="T27" s="138"/>
      <c r="U27" s="138"/>
      <c r="V27" s="138"/>
      <c r="W27" s="138"/>
      <c r="X27" s="503">
        <f t="shared" si="0"/>
        <v>80</v>
      </c>
      <c r="Y27" s="235" t="s">
        <v>135</v>
      </c>
      <c r="Z27" s="502">
        <v>100</v>
      </c>
      <c r="AA27" s="502"/>
      <c r="AB27" s="502"/>
      <c r="AC27" s="505"/>
      <c r="AD27" s="506">
        <f>Z27*X27/100</f>
        <v>80</v>
      </c>
      <c r="AE27" s="507"/>
      <c r="AF27" s="506"/>
      <c r="AG27" s="505"/>
      <c r="AH27" s="67">
        <f t="shared" si="3"/>
        <v>0</v>
      </c>
      <c r="AI27" s="510"/>
      <c r="AJ27" s="69"/>
      <c r="AK27" s="69"/>
      <c r="AL27" s="69"/>
      <c r="AM27" s="69"/>
      <c r="AN27" s="69"/>
      <c r="AO27" s="69"/>
      <c r="AP27" s="69"/>
      <c r="AQ27" s="507"/>
      <c r="AR27" s="52"/>
      <c r="AS27" s="52"/>
    </row>
    <row r="28" spans="1:45" x14ac:dyDescent="0.25">
      <c r="A28" s="500"/>
      <c r="B28" s="501"/>
      <c r="C28" s="138"/>
      <c r="D28" s="138"/>
      <c r="E28" s="138"/>
      <c r="F28" s="138"/>
      <c r="G28" s="138"/>
      <c r="H28" s="138"/>
      <c r="I28" s="138"/>
      <c r="J28" s="238"/>
      <c r="K28" s="138"/>
      <c r="L28" s="138"/>
      <c r="M28" s="138"/>
      <c r="N28" s="69"/>
      <c r="O28" s="138"/>
      <c r="P28" s="138"/>
      <c r="Q28" s="138"/>
      <c r="R28" s="138"/>
      <c r="S28" s="138"/>
      <c r="T28" s="138"/>
      <c r="U28" s="138"/>
      <c r="V28" s="138"/>
      <c r="W28" s="138"/>
      <c r="X28" s="503">
        <f t="shared" si="0"/>
        <v>0</v>
      </c>
      <c r="Y28" s="235" t="s">
        <v>137</v>
      </c>
      <c r="Z28" s="506">
        <v>100</v>
      </c>
      <c r="AA28" s="69"/>
      <c r="AB28" s="69"/>
      <c r="AC28" s="507"/>
      <c r="AD28" s="506">
        <f>Z28*X28/100</f>
        <v>0</v>
      </c>
      <c r="AE28" s="507"/>
      <c r="AF28" s="506"/>
      <c r="AG28" s="505"/>
      <c r="AH28" s="67">
        <f t="shared" si="3"/>
        <v>0</v>
      </c>
      <c r="AI28" s="510"/>
      <c r="AJ28" s="69"/>
      <c r="AK28" s="69"/>
      <c r="AL28" s="69"/>
      <c r="AM28" s="69"/>
      <c r="AN28" s="69"/>
      <c r="AO28" s="69"/>
      <c r="AP28" s="69"/>
      <c r="AQ28" s="507"/>
      <c r="AR28" s="52"/>
      <c r="AS28" s="52"/>
    </row>
    <row r="29" spans="1:45" x14ac:dyDescent="0.25">
      <c r="A29" s="500"/>
      <c r="B29" s="501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69"/>
      <c r="O29" s="138"/>
      <c r="P29" s="138"/>
      <c r="Q29" s="138"/>
      <c r="R29" s="138"/>
      <c r="S29" s="138"/>
      <c r="T29" s="138"/>
      <c r="U29" s="138"/>
      <c r="V29" s="138"/>
      <c r="W29" s="138"/>
      <c r="X29" s="503">
        <f t="shared" si="0"/>
        <v>0</v>
      </c>
      <c r="Y29" s="235" t="s">
        <v>139</v>
      </c>
      <c r="Z29" s="69">
        <v>100</v>
      </c>
      <c r="AA29" s="69"/>
      <c r="AB29" s="69"/>
      <c r="AC29" s="507"/>
      <c r="AD29" s="506">
        <f>Z29*X29/100</f>
        <v>0</v>
      </c>
      <c r="AE29" s="507"/>
      <c r="AF29" s="506"/>
      <c r="AG29" s="505"/>
      <c r="AH29" s="67">
        <f t="shared" si="3"/>
        <v>0</v>
      </c>
      <c r="AI29" s="526"/>
      <c r="AJ29" s="502"/>
      <c r="AK29" s="502"/>
      <c r="AL29" s="502"/>
      <c r="AM29" s="502"/>
      <c r="AN29" s="502"/>
      <c r="AO29" s="502"/>
      <c r="AP29" s="502"/>
      <c r="AQ29" s="505"/>
      <c r="AR29" s="52"/>
      <c r="AS29" s="52"/>
    </row>
    <row r="30" spans="1:45" x14ac:dyDescent="0.25">
      <c r="A30" s="500"/>
      <c r="B30" s="501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69"/>
      <c r="O30" s="138"/>
      <c r="P30" s="138"/>
      <c r="Q30" s="138"/>
      <c r="R30" s="138"/>
      <c r="S30" s="138"/>
      <c r="T30" s="138"/>
      <c r="U30" s="138"/>
      <c r="V30" s="138"/>
      <c r="W30" s="138"/>
      <c r="X30" s="503">
        <f t="shared" si="0"/>
        <v>0</v>
      </c>
      <c r="Y30" s="235" t="s">
        <v>141</v>
      </c>
      <c r="Z30" s="69">
        <v>100</v>
      </c>
      <c r="AA30" s="69"/>
      <c r="AB30" s="69"/>
      <c r="AC30" s="507"/>
      <c r="AD30" s="506">
        <f>Z30*X30/100</f>
        <v>0</v>
      </c>
      <c r="AE30" s="507"/>
      <c r="AF30" s="506"/>
      <c r="AG30" s="505"/>
      <c r="AH30" s="67">
        <f t="shared" si="3"/>
        <v>0</v>
      </c>
      <c r="AI30" s="526"/>
      <c r="AJ30" s="502"/>
      <c r="AK30" s="502"/>
      <c r="AL30" s="502"/>
      <c r="AM30" s="502"/>
      <c r="AN30" s="502"/>
      <c r="AO30" s="502"/>
      <c r="AP30" s="502"/>
      <c r="AQ30" s="505"/>
      <c r="AR30" s="52"/>
      <c r="AS30" s="52"/>
    </row>
    <row r="31" spans="1:45" x14ac:dyDescent="0.25">
      <c r="A31" s="527"/>
      <c r="B31" s="502"/>
      <c r="C31" s="502"/>
      <c r="D31" s="502"/>
      <c r="E31" s="502"/>
      <c r="F31" s="502"/>
      <c r="G31" s="502"/>
      <c r="H31" s="502"/>
      <c r="I31" s="513">
        <f>-(O31+T31)*AA31%</f>
        <v>0</v>
      </c>
      <c r="J31" s="238"/>
      <c r="K31" s="138"/>
      <c r="L31" s="138"/>
      <c r="M31" s="138"/>
      <c r="N31" s="69"/>
      <c r="O31" s="138"/>
      <c r="P31" s="138"/>
      <c r="Q31" s="138"/>
      <c r="R31" s="138"/>
      <c r="S31" s="138"/>
      <c r="T31" s="138"/>
      <c r="U31" s="138"/>
      <c r="V31" s="138"/>
      <c r="W31" s="138"/>
      <c r="X31" s="503">
        <f t="shared" si="0"/>
        <v>0</v>
      </c>
      <c r="Y31" s="239" t="s">
        <v>462</v>
      </c>
      <c r="Z31" s="528"/>
      <c r="AA31" s="138">
        <v>100</v>
      </c>
      <c r="AB31" s="138"/>
      <c r="AC31" s="509"/>
      <c r="AD31" s="525"/>
      <c r="AE31" s="509"/>
      <c r="AF31" s="525"/>
      <c r="AG31" s="503"/>
      <c r="AH31" s="192"/>
      <c r="AI31" s="527"/>
      <c r="AJ31" s="501"/>
      <c r="AK31" s="501"/>
      <c r="AL31" s="501"/>
      <c r="AM31" s="501"/>
      <c r="AN31" s="501"/>
      <c r="AO31" s="501"/>
      <c r="AP31" s="501"/>
      <c r="AQ31" s="503"/>
      <c r="AR31" s="159"/>
      <c r="AS31" s="159"/>
    </row>
    <row r="32" spans="1:45" x14ac:dyDescent="0.25">
      <c r="A32" s="501"/>
      <c r="B32" s="501"/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503">
        <f t="shared" si="0"/>
        <v>0</v>
      </c>
      <c r="Y32" s="239" t="s">
        <v>463</v>
      </c>
      <c r="Z32" s="525"/>
      <c r="AA32" s="138"/>
      <c r="AB32" s="138"/>
      <c r="AC32" s="509"/>
      <c r="AD32" s="506">
        <f>X32*Z32/100</f>
        <v>0</v>
      </c>
      <c r="AE32" s="507"/>
      <c r="AF32" s="506">
        <f>X32*AB32/100</f>
        <v>0</v>
      </c>
      <c r="AG32" s="507"/>
      <c r="AH32" s="67">
        <f>SUM(AI32:AQ32)</f>
        <v>0</v>
      </c>
      <c r="AI32" s="526"/>
      <c r="AJ32" s="138"/>
      <c r="AK32" s="501"/>
      <c r="AL32" s="501"/>
      <c r="AM32" s="501"/>
      <c r="AN32" s="501"/>
      <c r="AO32" s="501"/>
      <c r="AP32" s="138"/>
      <c r="AQ32" s="505"/>
      <c r="AR32" s="52"/>
      <c r="AS32" s="52"/>
    </row>
    <row r="33" spans="1:45" x14ac:dyDescent="0.25">
      <c r="A33" s="501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254"/>
      <c r="O33" s="138"/>
      <c r="P33" s="138"/>
      <c r="Q33" s="138"/>
      <c r="R33" s="138"/>
      <c r="S33" s="138"/>
      <c r="T33" s="138"/>
      <c r="U33" s="138"/>
      <c r="V33" s="138"/>
      <c r="W33" s="138"/>
      <c r="X33" s="503">
        <f t="shared" si="0"/>
        <v>0</v>
      </c>
      <c r="Y33" s="235" t="s">
        <v>145</v>
      </c>
      <c r="Z33" s="525"/>
      <c r="AA33" s="138"/>
      <c r="AB33" s="138"/>
      <c r="AC33" s="507"/>
      <c r="AD33" s="506">
        <f>X33*Z33/100</f>
        <v>0</v>
      </c>
      <c r="AE33" s="507"/>
      <c r="AF33" s="506">
        <f>X33*AB33/100</f>
        <v>0</v>
      </c>
      <c r="AG33" s="505"/>
      <c r="AH33" s="67">
        <f t="shared" si="3"/>
        <v>0</v>
      </c>
      <c r="AI33" s="526"/>
      <c r="AJ33" s="502"/>
      <c r="AK33" s="502"/>
      <c r="AL33" s="502"/>
      <c r="AM33" s="502"/>
      <c r="AN33" s="502"/>
      <c r="AO33" s="502"/>
      <c r="AP33" s="502"/>
      <c r="AQ33" s="505"/>
      <c r="AR33" s="52"/>
      <c r="AS33" s="52"/>
    </row>
    <row r="34" spans="1:45" x14ac:dyDescent="0.25">
      <c r="A34" s="501"/>
      <c r="B34" s="501"/>
      <c r="C34" s="501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254"/>
      <c r="O34" s="138"/>
      <c r="P34" s="138"/>
      <c r="Q34" s="138"/>
      <c r="R34" s="138"/>
      <c r="S34" s="138"/>
      <c r="T34" s="138"/>
      <c r="U34" s="138"/>
      <c r="V34" s="138"/>
      <c r="W34" s="138"/>
      <c r="X34" s="503">
        <f t="shared" si="0"/>
        <v>0</v>
      </c>
      <c r="Y34" s="235" t="s">
        <v>147</v>
      </c>
      <c r="Z34" s="525"/>
      <c r="AA34" s="138"/>
      <c r="AB34" s="138"/>
      <c r="AC34" s="507"/>
      <c r="AD34" s="506">
        <f>X34*Z34/100</f>
        <v>0</v>
      </c>
      <c r="AE34" s="507"/>
      <c r="AF34" s="506">
        <f>X34*AB34</f>
        <v>0</v>
      </c>
      <c r="AG34" s="505"/>
      <c r="AH34" s="67">
        <f t="shared" si="3"/>
        <v>0</v>
      </c>
      <c r="AI34" s="526"/>
      <c r="AJ34" s="502"/>
      <c r="AK34" s="502"/>
      <c r="AL34" s="502"/>
      <c r="AM34" s="502"/>
      <c r="AN34" s="502"/>
      <c r="AO34" s="502"/>
      <c r="AP34" s="502"/>
      <c r="AQ34" s="505"/>
      <c r="AR34" s="52"/>
      <c r="AS34" s="52"/>
    </row>
    <row r="35" spans="1:45" x14ac:dyDescent="0.25">
      <c r="A35" s="501"/>
      <c r="B35" s="501"/>
      <c r="C35" s="501"/>
      <c r="D35" s="138"/>
      <c r="E35" s="529"/>
      <c r="F35" s="138"/>
      <c r="G35" s="138"/>
      <c r="H35" s="138"/>
      <c r="I35" s="138"/>
      <c r="J35" s="138"/>
      <c r="K35" s="138"/>
      <c r="L35" s="138"/>
      <c r="M35" s="138"/>
      <c r="N35" s="254"/>
      <c r="O35" s="138"/>
      <c r="P35" s="138"/>
      <c r="Q35" s="138"/>
      <c r="R35" s="138"/>
      <c r="S35" s="138"/>
      <c r="T35" s="138"/>
      <c r="U35" s="138"/>
      <c r="V35" s="138"/>
      <c r="W35" s="138"/>
      <c r="X35" s="503">
        <f t="shared" si="0"/>
        <v>0</v>
      </c>
      <c r="Y35" s="235" t="s">
        <v>149</v>
      </c>
      <c r="Z35" s="525"/>
      <c r="AA35" s="138"/>
      <c r="AB35" s="138"/>
      <c r="AC35" s="507"/>
      <c r="AD35" s="506">
        <f>X35*Z35/100</f>
        <v>0</v>
      </c>
      <c r="AE35" s="507"/>
      <c r="AF35" s="506">
        <f>X35*AB35</f>
        <v>0</v>
      </c>
      <c r="AG35" s="505"/>
      <c r="AH35" s="67">
        <f t="shared" si="3"/>
        <v>0</v>
      </c>
      <c r="AI35" s="526"/>
      <c r="AJ35" s="502"/>
      <c r="AK35" s="502"/>
      <c r="AL35" s="502"/>
      <c r="AM35" s="502"/>
      <c r="AN35" s="502"/>
      <c r="AO35" s="502"/>
      <c r="AP35" s="502"/>
      <c r="AQ35" s="505"/>
      <c r="AR35" s="52"/>
      <c r="AS35" s="52"/>
    </row>
    <row r="36" spans="1:45" x14ac:dyDescent="0.25">
      <c r="A36" s="501"/>
      <c r="B36" s="501"/>
      <c r="C36" s="501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254"/>
      <c r="O36" s="138"/>
      <c r="P36" s="138"/>
      <c r="Q36" s="138"/>
      <c r="R36" s="138"/>
      <c r="S36" s="138"/>
      <c r="T36" s="138"/>
      <c r="U36" s="138"/>
      <c r="V36" s="138"/>
      <c r="W36" s="138"/>
      <c r="X36" s="503">
        <f t="shared" si="0"/>
        <v>0</v>
      </c>
      <c r="Y36" s="235" t="s">
        <v>151</v>
      </c>
      <c r="Z36" s="525"/>
      <c r="AA36" s="138"/>
      <c r="AB36" s="138"/>
      <c r="AC36" s="507"/>
      <c r="AD36" s="506"/>
      <c r="AE36" s="507"/>
      <c r="AF36" s="506">
        <f>X36*AB36/100</f>
        <v>0</v>
      </c>
      <c r="AG36" s="505"/>
      <c r="AH36" s="67">
        <f t="shared" si="3"/>
        <v>0</v>
      </c>
      <c r="AI36" s="526"/>
      <c r="AJ36" s="502"/>
      <c r="AK36" s="502"/>
      <c r="AL36" s="502"/>
      <c r="AM36" s="502"/>
      <c r="AN36" s="502"/>
      <c r="AO36" s="502"/>
      <c r="AP36" s="502"/>
      <c r="AQ36" s="505"/>
      <c r="AR36" s="52"/>
      <c r="AS36" s="52"/>
    </row>
    <row r="37" spans="1:45" x14ac:dyDescent="0.25">
      <c r="A37" s="501"/>
      <c r="B37" s="501"/>
      <c r="C37" s="501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513">
        <f>AF37-AE37</f>
        <v>0</v>
      </c>
      <c r="O37" s="138"/>
      <c r="P37" s="138"/>
      <c r="Q37" s="138"/>
      <c r="R37" s="138"/>
      <c r="S37" s="138"/>
      <c r="T37" s="138"/>
      <c r="U37" s="138"/>
      <c r="V37" s="138"/>
      <c r="W37" s="138"/>
      <c r="X37" s="503">
        <f t="shared" si="0"/>
        <v>0</v>
      </c>
      <c r="Y37" s="239" t="s">
        <v>153</v>
      </c>
      <c r="Z37" s="506"/>
      <c r="AA37" s="69"/>
      <c r="AB37" s="69"/>
      <c r="AC37" s="507"/>
      <c r="AD37" s="525">
        <f>-AE37/$D$2%</f>
        <v>0</v>
      </c>
      <c r="AE37" s="530"/>
      <c r="AF37" s="531">
        <f>AE37*AB37%</f>
        <v>0</v>
      </c>
      <c r="AG37" s="503"/>
      <c r="AH37" s="192"/>
      <c r="AI37" s="532"/>
      <c r="AJ37" s="532"/>
      <c r="AK37" s="513"/>
      <c r="AL37" s="513"/>
      <c r="AM37" s="513"/>
      <c r="AN37" s="513"/>
      <c r="AO37" s="513"/>
      <c r="AP37" s="513"/>
      <c r="AQ37" s="507"/>
      <c r="AR37" s="159"/>
      <c r="AS37" s="159"/>
    </row>
    <row r="38" spans="1:45" x14ac:dyDescent="0.25">
      <c r="A38" s="501"/>
      <c r="B38" s="501"/>
      <c r="C38" s="501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503">
        <f t="shared" si="0"/>
        <v>0</v>
      </c>
      <c r="Y38" s="239" t="s">
        <v>155</v>
      </c>
      <c r="Z38" s="506"/>
      <c r="AA38" s="69"/>
      <c r="AB38" s="69"/>
      <c r="AC38" s="507"/>
      <c r="AD38" s="525">
        <f>-AE38/$D$2%</f>
        <v>0</v>
      </c>
      <c r="AE38" s="507"/>
      <c r="AF38" s="506">
        <f>AE38*AB38%</f>
        <v>0</v>
      </c>
      <c r="AG38" s="509"/>
      <c r="AH38" s="192"/>
      <c r="AI38" s="532"/>
      <c r="AJ38" s="532"/>
      <c r="AK38" s="513"/>
      <c r="AL38" s="513"/>
      <c r="AM38" s="513"/>
      <c r="AN38" s="513"/>
      <c r="AO38" s="513"/>
      <c r="AP38" s="513"/>
      <c r="AQ38" s="507"/>
      <c r="AR38" s="52"/>
      <c r="AS38" s="52"/>
    </row>
    <row r="39" spans="1:45" x14ac:dyDescent="0.25">
      <c r="A39" s="501"/>
      <c r="B39" s="501"/>
      <c r="C39" s="501"/>
      <c r="D39" s="501"/>
      <c r="E39" s="501"/>
      <c r="F39" s="501"/>
      <c r="G39" s="501"/>
      <c r="H39" s="501"/>
      <c r="I39" s="501"/>
      <c r="J39" s="501"/>
      <c r="K39" s="501"/>
      <c r="L39" s="501"/>
      <c r="M39" s="501"/>
      <c r="N39" s="254"/>
      <c r="O39" s="138"/>
      <c r="P39" s="138"/>
      <c r="Q39" s="138"/>
      <c r="R39" s="138"/>
      <c r="S39" s="138"/>
      <c r="T39" s="138"/>
      <c r="U39" s="138"/>
      <c r="V39" s="138"/>
      <c r="W39" s="138"/>
      <c r="X39" s="503">
        <f t="shared" si="0"/>
        <v>0</v>
      </c>
      <c r="Y39" s="235" t="s">
        <v>157</v>
      </c>
      <c r="Z39" s="525"/>
      <c r="AA39" s="138"/>
      <c r="AB39" s="138"/>
      <c r="AC39" s="533">
        <f>100-20.6</f>
        <v>79.400000000000006</v>
      </c>
      <c r="AD39" s="506"/>
      <c r="AE39" s="507"/>
      <c r="AF39" s="506">
        <f>-SUM(AF33:AF36)</f>
        <v>0</v>
      </c>
      <c r="AG39" s="507">
        <f>-AF39*AC39/100</f>
        <v>0</v>
      </c>
      <c r="AH39" s="67">
        <f>SUM(AI39:AQ39)</f>
        <v>0</v>
      </c>
      <c r="AI39" s="532">
        <f>AG39*65.1%</f>
        <v>0</v>
      </c>
      <c r="AJ39" s="532">
        <f>AG39*9.9%</f>
        <v>0</v>
      </c>
      <c r="AK39" s="513">
        <f>AG39*13.3%</f>
        <v>0</v>
      </c>
      <c r="AL39" s="513">
        <f>AG39*7%</f>
        <v>0</v>
      </c>
      <c r="AM39" s="513">
        <f>AG39*0%</f>
        <v>0</v>
      </c>
      <c r="AN39" s="513">
        <f>AG39*3.2%</f>
        <v>0</v>
      </c>
      <c r="AO39" s="513">
        <f>AG39*1.5%</f>
        <v>0</v>
      </c>
      <c r="AP39" s="513"/>
      <c r="AQ39" s="507"/>
      <c r="AR39" s="216"/>
      <c r="AS39" s="52"/>
    </row>
    <row r="40" spans="1:45" x14ac:dyDescent="0.25">
      <c r="A40" s="501"/>
      <c r="B40" s="501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254"/>
      <c r="O40" s="138"/>
      <c r="P40" s="138"/>
      <c r="Q40" s="138"/>
      <c r="R40" s="138"/>
      <c r="S40" s="138"/>
      <c r="T40" s="138"/>
      <c r="U40" s="138"/>
      <c r="V40" s="138"/>
      <c r="W40" s="138"/>
      <c r="X40" s="503">
        <f t="shared" si="0"/>
        <v>0</v>
      </c>
      <c r="Y40" s="235" t="s">
        <v>163</v>
      </c>
      <c r="Z40" s="525"/>
      <c r="AA40" s="138"/>
      <c r="AB40" s="138"/>
      <c r="AC40" s="509"/>
      <c r="AD40" s="506">
        <f>X40*Z40/100</f>
        <v>0</v>
      </c>
      <c r="AE40" s="507"/>
      <c r="AF40" s="506">
        <f>X40*AB40/100</f>
        <v>0</v>
      </c>
      <c r="AG40" s="507"/>
      <c r="AH40" s="67">
        <f t="shared" si="3"/>
        <v>0</v>
      </c>
      <c r="AI40" s="532"/>
      <c r="AJ40" s="532"/>
      <c r="AK40" s="513"/>
      <c r="AL40" s="513"/>
      <c r="AM40" s="513"/>
      <c r="AN40" s="513"/>
      <c r="AO40" s="513"/>
      <c r="AP40" s="513"/>
      <c r="AQ40" s="507"/>
      <c r="AR40" s="52"/>
      <c r="AS40" s="52"/>
    </row>
    <row r="41" spans="1:45" x14ac:dyDescent="0.25">
      <c r="A41" s="501"/>
      <c r="B41" s="501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254"/>
      <c r="O41" s="138"/>
      <c r="P41" s="138"/>
      <c r="Q41" s="138"/>
      <c r="R41" s="138"/>
      <c r="S41" s="138"/>
      <c r="T41" s="138"/>
      <c r="U41" s="138"/>
      <c r="V41" s="138"/>
      <c r="W41" s="138"/>
      <c r="X41" s="503">
        <f t="shared" si="0"/>
        <v>0</v>
      </c>
      <c r="Y41" s="235" t="s">
        <v>165</v>
      </c>
      <c r="Z41" s="525"/>
      <c r="AA41" s="138"/>
      <c r="AB41" s="138"/>
      <c r="AC41" s="509"/>
      <c r="AD41" s="506">
        <f>X41*Z41/100</f>
        <v>0</v>
      </c>
      <c r="AE41" s="507"/>
      <c r="AF41" s="506">
        <f>X41*AB41/100</f>
        <v>0</v>
      </c>
      <c r="AG41" s="507"/>
      <c r="AH41" s="67">
        <f t="shared" si="3"/>
        <v>0</v>
      </c>
      <c r="AI41" s="532"/>
      <c r="AJ41" s="532"/>
      <c r="AK41" s="513"/>
      <c r="AL41" s="513"/>
      <c r="AM41" s="513"/>
      <c r="AN41" s="513"/>
      <c r="AO41" s="513"/>
      <c r="AP41" s="513"/>
      <c r="AQ41" s="507"/>
      <c r="AR41" s="52"/>
      <c r="AS41" s="52"/>
    </row>
    <row r="42" spans="1:45" x14ac:dyDescent="0.25">
      <c r="A42" s="501"/>
      <c r="B42" s="501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254"/>
      <c r="O42" s="138"/>
      <c r="P42" s="138"/>
      <c r="Q42" s="138"/>
      <c r="R42" s="138"/>
      <c r="S42" s="138"/>
      <c r="T42" s="138"/>
      <c r="U42" s="138"/>
      <c r="V42" s="138"/>
      <c r="W42" s="138"/>
      <c r="X42" s="503">
        <f t="shared" si="0"/>
        <v>0</v>
      </c>
      <c r="Y42" s="235" t="s">
        <v>167</v>
      </c>
      <c r="Z42" s="525"/>
      <c r="AA42" s="138"/>
      <c r="AB42" s="138"/>
      <c r="AC42" s="509"/>
      <c r="AD42" s="506">
        <f>X42*Z42/100</f>
        <v>0</v>
      </c>
      <c r="AE42" s="507"/>
      <c r="AF42" s="506">
        <f>X42*AB42/100</f>
        <v>0</v>
      </c>
      <c r="AG42" s="507"/>
      <c r="AH42" s="67">
        <f t="shared" si="3"/>
        <v>0</v>
      </c>
      <c r="AI42" s="532"/>
      <c r="AJ42" s="532"/>
      <c r="AK42" s="513"/>
      <c r="AL42" s="513"/>
      <c r="AM42" s="513"/>
      <c r="AN42" s="513"/>
      <c r="AO42" s="513"/>
      <c r="AP42" s="513"/>
      <c r="AQ42" s="507"/>
      <c r="AR42" s="52"/>
      <c r="AS42" s="52"/>
    </row>
    <row r="43" spans="1:45" x14ac:dyDescent="0.25">
      <c r="A43" s="501"/>
      <c r="B43" s="501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254"/>
      <c r="O43" s="138"/>
      <c r="P43" s="138"/>
      <c r="Q43" s="138"/>
      <c r="R43" s="138"/>
      <c r="S43" s="138"/>
      <c r="T43" s="138"/>
      <c r="U43" s="138"/>
      <c r="V43" s="138"/>
      <c r="W43" s="138"/>
      <c r="X43" s="503">
        <f t="shared" si="0"/>
        <v>0</v>
      </c>
      <c r="Y43" s="235" t="s">
        <v>169</v>
      </c>
      <c r="Z43" s="525"/>
      <c r="AA43" s="138"/>
      <c r="AB43" s="138"/>
      <c r="AC43" s="533">
        <f>100-20.6</f>
        <v>79.400000000000006</v>
      </c>
      <c r="AD43" s="506"/>
      <c r="AE43" s="507"/>
      <c r="AF43" s="506">
        <f>-SUM(AF40:AF42)</f>
        <v>0</v>
      </c>
      <c r="AG43" s="507">
        <f>-AF43*AC43/100</f>
        <v>0</v>
      </c>
      <c r="AH43" s="67">
        <f t="shared" si="3"/>
        <v>0</v>
      </c>
      <c r="AI43" s="532">
        <f>AG43*65.1%</f>
        <v>0</v>
      </c>
      <c r="AJ43" s="532">
        <f>AG43*9.9%</f>
        <v>0</v>
      </c>
      <c r="AK43" s="513">
        <f>AG43*13.3%</f>
        <v>0</v>
      </c>
      <c r="AL43" s="513">
        <f>AG43*7%</f>
        <v>0</v>
      </c>
      <c r="AM43" s="513">
        <f>AG43*0%</f>
        <v>0</v>
      </c>
      <c r="AN43" s="513">
        <f>AG43*3.2%</f>
        <v>0</v>
      </c>
      <c r="AO43" s="513">
        <f>AG43*1.5%</f>
        <v>0</v>
      </c>
      <c r="AP43" s="513"/>
      <c r="AQ43" s="507"/>
      <c r="AR43" s="52"/>
      <c r="AS43" s="52"/>
    </row>
    <row r="44" spans="1:45" x14ac:dyDescent="0.25">
      <c r="A44" s="501"/>
      <c r="B44" s="501"/>
      <c r="C44" s="534"/>
      <c r="D44" s="138"/>
      <c r="E44" s="534"/>
      <c r="F44" s="138"/>
      <c r="G44" s="138"/>
      <c r="H44" s="138"/>
      <c r="I44" s="138"/>
      <c r="J44" s="138"/>
      <c r="K44" s="138"/>
      <c r="L44" s="138"/>
      <c r="M44" s="138"/>
      <c r="N44" s="254"/>
      <c r="O44" s="138"/>
      <c r="P44" s="138"/>
      <c r="Q44" s="138"/>
      <c r="R44" s="138"/>
      <c r="S44" s="138"/>
      <c r="T44" s="138"/>
      <c r="U44" s="138"/>
      <c r="V44" s="138"/>
      <c r="W44" s="138"/>
      <c r="X44" s="503">
        <f t="shared" si="0"/>
        <v>0</v>
      </c>
      <c r="Y44" s="235" t="s">
        <v>173</v>
      </c>
      <c r="Z44" s="525"/>
      <c r="AA44" s="138"/>
      <c r="AB44" s="138"/>
      <c r="AC44" s="509"/>
      <c r="AD44" s="506">
        <f>X44*Z44/100</f>
        <v>0</v>
      </c>
      <c r="AE44" s="507"/>
      <c r="AF44" s="506">
        <f t="shared" ref="AF44:AF51" si="5">X44*AB44/100</f>
        <v>0</v>
      </c>
      <c r="AG44" s="507"/>
      <c r="AH44" s="67">
        <f t="shared" si="3"/>
        <v>0</v>
      </c>
      <c r="AI44" s="532"/>
      <c r="AJ44" s="532"/>
      <c r="AK44" s="513"/>
      <c r="AL44" s="513"/>
      <c r="AM44" s="513"/>
      <c r="AN44" s="513"/>
      <c r="AO44" s="513"/>
      <c r="AP44" s="513"/>
      <c r="AQ44" s="507"/>
      <c r="AR44" s="52"/>
      <c r="AS44" s="52"/>
    </row>
    <row r="45" spans="1:45" x14ac:dyDescent="0.25">
      <c r="A45" s="501"/>
      <c r="B45" s="501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254"/>
      <c r="O45" s="138"/>
      <c r="P45" s="138"/>
      <c r="Q45" s="138"/>
      <c r="R45" s="138"/>
      <c r="S45" s="138"/>
      <c r="T45" s="138"/>
      <c r="U45" s="138"/>
      <c r="V45" s="138"/>
      <c r="W45" s="138"/>
      <c r="X45" s="503">
        <f t="shared" si="0"/>
        <v>0</v>
      </c>
      <c r="Y45" s="235" t="s">
        <v>175</v>
      </c>
      <c r="Z45" s="525"/>
      <c r="AA45" s="138"/>
      <c r="AB45" s="138"/>
      <c r="AC45" s="509"/>
      <c r="AD45" s="506">
        <f>X45*Z45/100</f>
        <v>0</v>
      </c>
      <c r="AE45" s="507"/>
      <c r="AF45" s="506">
        <f t="shared" si="5"/>
        <v>0</v>
      </c>
      <c r="AG45" s="507"/>
      <c r="AH45" s="67">
        <f t="shared" si="3"/>
        <v>0</v>
      </c>
      <c r="AI45" s="532"/>
      <c r="AJ45" s="532"/>
      <c r="AK45" s="513"/>
      <c r="AL45" s="513"/>
      <c r="AM45" s="513"/>
      <c r="AN45" s="513"/>
      <c r="AO45" s="513"/>
      <c r="AP45" s="513"/>
      <c r="AQ45" s="507"/>
      <c r="AR45" s="52"/>
      <c r="AS45" s="52"/>
    </row>
    <row r="46" spans="1:45" x14ac:dyDescent="0.25">
      <c r="A46" s="501"/>
      <c r="B46" s="501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254"/>
      <c r="O46" s="138"/>
      <c r="P46" s="138"/>
      <c r="Q46" s="138"/>
      <c r="R46" s="138"/>
      <c r="S46" s="535"/>
      <c r="T46" s="138"/>
      <c r="U46" s="138"/>
      <c r="V46" s="138"/>
      <c r="W46" s="138"/>
      <c r="X46" s="503">
        <f t="shared" si="0"/>
        <v>0</v>
      </c>
      <c r="Y46" s="235" t="s">
        <v>177</v>
      </c>
      <c r="Z46" s="525"/>
      <c r="AA46" s="138"/>
      <c r="AB46" s="138"/>
      <c r="AC46" s="509"/>
      <c r="AD46" s="506">
        <f>X46*Z46/100</f>
        <v>0</v>
      </c>
      <c r="AE46" s="507"/>
      <c r="AF46" s="506">
        <f t="shared" si="5"/>
        <v>0</v>
      </c>
      <c r="AG46" s="507"/>
      <c r="AH46" s="67">
        <f t="shared" si="3"/>
        <v>0</v>
      </c>
      <c r="AI46" s="532"/>
      <c r="AJ46" s="532"/>
      <c r="AK46" s="513"/>
      <c r="AL46" s="513"/>
      <c r="AM46" s="513"/>
      <c r="AN46" s="513"/>
      <c r="AO46" s="513"/>
      <c r="AP46" s="513"/>
      <c r="AQ46" s="507"/>
      <c r="AR46" s="52"/>
      <c r="AS46" s="52"/>
    </row>
    <row r="47" spans="1:45" x14ac:dyDescent="0.25">
      <c r="A47" s="501"/>
      <c r="B47" s="501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254"/>
      <c r="O47" s="138"/>
      <c r="P47" s="138"/>
      <c r="Q47" s="138"/>
      <c r="R47" s="138"/>
      <c r="S47" s="138"/>
      <c r="T47" s="138"/>
      <c r="U47" s="138"/>
      <c r="V47" s="138"/>
      <c r="W47" s="138"/>
      <c r="X47" s="503">
        <f t="shared" si="0"/>
        <v>0</v>
      </c>
      <c r="Y47" s="235" t="s">
        <v>179</v>
      </c>
      <c r="Z47" s="525"/>
      <c r="AA47" s="138"/>
      <c r="AB47" s="138"/>
      <c r="AC47" s="509"/>
      <c r="AD47" s="506">
        <f>X47*Z47/100</f>
        <v>0</v>
      </c>
      <c r="AE47" s="507"/>
      <c r="AF47" s="506">
        <f t="shared" si="5"/>
        <v>0</v>
      </c>
      <c r="AG47" s="507"/>
      <c r="AH47" s="67">
        <f t="shared" si="3"/>
        <v>0</v>
      </c>
      <c r="AI47" s="532"/>
      <c r="AJ47" s="532"/>
      <c r="AK47" s="513"/>
      <c r="AL47" s="513"/>
      <c r="AM47" s="513"/>
      <c r="AN47" s="513"/>
      <c r="AO47" s="513"/>
      <c r="AP47" s="513"/>
      <c r="AQ47" s="507"/>
      <c r="AR47" s="52"/>
      <c r="AS47" s="52"/>
    </row>
    <row r="48" spans="1:45" x14ac:dyDescent="0.25">
      <c r="A48" s="502"/>
      <c r="B48" s="502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513">
        <f>AF48-AE48</f>
        <v>0</v>
      </c>
      <c r="O48" s="69"/>
      <c r="P48" s="69"/>
      <c r="Q48" s="69"/>
      <c r="R48" s="69"/>
      <c r="S48" s="69"/>
      <c r="T48" s="69"/>
      <c r="U48" s="69"/>
      <c r="V48" s="69"/>
      <c r="W48" s="69"/>
      <c r="X48" s="503">
        <f t="shared" si="0"/>
        <v>0</v>
      </c>
      <c r="Y48" s="235" t="s">
        <v>181</v>
      </c>
      <c r="Z48" s="506"/>
      <c r="AA48" s="69"/>
      <c r="AB48" s="69"/>
      <c r="AC48" s="507"/>
      <c r="AD48" s="525">
        <f>-AE48/$D$2%</f>
        <v>0</v>
      </c>
      <c r="AE48" s="509"/>
      <c r="AF48" s="506">
        <f>AE48*AB48%</f>
        <v>0</v>
      </c>
      <c r="AG48" s="509"/>
      <c r="AH48" s="192"/>
      <c r="AI48" s="532"/>
      <c r="AJ48" s="532"/>
      <c r="AK48" s="513"/>
      <c r="AL48" s="513"/>
      <c r="AM48" s="513"/>
      <c r="AN48" s="513"/>
      <c r="AO48" s="513"/>
      <c r="AP48" s="513"/>
      <c r="AQ48" s="507"/>
      <c r="AR48" s="159"/>
      <c r="AS48" s="159"/>
    </row>
    <row r="49" spans="1:45" x14ac:dyDescent="0.25">
      <c r="A49" s="502"/>
      <c r="B49" s="502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503">
        <f t="shared" si="0"/>
        <v>0</v>
      </c>
      <c r="Y49" s="235" t="s">
        <v>183</v>
      </c>
      <c r="Z49" s="506"/>
      <c r="AA49" s="69"/>
      <c r="AB49" s="69"/>
      <c r="AC49" s="507"/>
      <c r="AD49" s="525">
        <f>-AE49/$D$2%</f>
        <v>0</v>
      </c>
      <c r="AE49" s="509"/>
      <c r="AF49" s="525">
        <f>AE49*AB49%</f>
        <v>0</v>
      </c>
      <c r="AG49" s="509"/>
      <c r="AH49" s="192"/>
      <c r="AI49" s="532"/>
      <c r="AJ49" s="532"/>
      <c r="AK49" s="513"/>
      <c r="AL49" s="513"/>
      <c r="AM49" s="513"/>
      <c r="AN49" s="513"/>
      <c r="AO49" s="513"/>
      <c r="AP49" s="513"/>
      <c r="AQ49" s="507"/>
      <c r="AR49" s="159"/>
      <c r="AS49" s="159"/>
    </row>
    <row r="50" spans="1:45" x14ac:dyDescent="0.25">
      <c r="A50" s="501"/>
      <c r="B50" s="501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503">
        <f t="shared" si="0"/>
        <v>0</v>
      </c>
      <c r="Y50" s="536" t="s">
        <v>185</v>
      </c>
      <c r="Z50" s="525"/>
      <c r="AA50" s="138"/>
      <c r="AB50" s="138"/>
      <c r="AC50" s="509"/>
      <c r="AD50" s="506"/>
      <c r="AE50" s="507"/>
      <c r="AF50" s="506">
        <f t="shared" si="5"/>
        <v>0</v>
      </c>
      <c r="AG50" s="507"/>
      <c r="AH50" s="67">
        <f t="shared" si="3"/>
        <v>0</v>
      </c>
      <c r="AI50" s="532"/>
      <c r="AJ50" s="532"/>
      <c r="AK50" s="513"/>
      <c r="AL50" s="513"/>
      <c r="AM50" s="513"/>
      <c r="AN50" s="513"/>
      <c r="AO50" s="513"/>
      <c r="AP50" s="513"/>
      <c r="AQ50" s="507"/>
      <c r="AR50" s="52"/>
      <c r="AS50" s="52"/>
    </row>
    <row r="51" spans="1:45" x14ac:dyDescent="0.25">
      <c r="A51" s="501"/>
      <c r="B51" s="501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503">
        <f t="shared" si="0"/>
        <v>0</v>
      </c>
      <c r="Y51" s="235" t="s">
        <v>187</v>
      </c>
      <c r="Z51" s="525"/>
      <c r="AA51" s="138"/>
      <c r="AB51" s="138"/>
      <c r="AC51" s="509"/>
      <c r="AD51" s="506">
        <f>X51*Z51/100</f>
        <v>0</v>
      </c>
      <c r="AE51" s="507"/>
      <c r="AF51" s="506">
        <f t="shared" si="5"/>
        <v>0</v>
      </c>
      <c r="AG51" s="507"/>
      <c r="AH51" s="67">
        <f t="shared" si="3"/>
        <v>0</v>
      </c>
      <c r="AI51" s="532"/>
      <c r="AJ51" s="532"/>
      <c r="AK51" s="513"/>
      <c r="AL51" s="513"/>
      <c r="AM51" s="513"/>
      <c r="AN51" s="513"/>
      <c r="AO51" s="513"/>
      <c r="AP51" s="513"/>
      <c r="AQ51" s="507"/>
      <c r="AR51" s="52"/>
      <c r="AS51" s="52"/>
    </row>
    <row r="52" spans="1:45" x14ac:dyDescent="0.25">
      <c r="A52" s="501"/>
      <c r="B52" s="501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503">
        <f t="shared" si="0"/>
        <v>0</v>
      </c>
      <c r="Y52" s="235" t="s">
        <v>189</v>
      </c>
      <c r="Z52" s="525"/>
      <c r="AA52" s="138"/>
      <c r="AB52" s="138"/>
      <c r="AC52" s="533">
        <f>100-20.6</f>
        <v>79.400000000000006</v>
      </c>
      <c r="AD52" s="506"/>
      <c r="AE52" s="507"/>
      <c r="AF52" s="506">
        <f>-SUM(AF44:AF51)</f>
        <v>0</v>
      </c>
      <c r="AG52" s="507">
        <f>-AF52*AC52/100</f>
        <v>0</v>
      </c>
      <c r="AH52" s="67">
        <f t="shared" si="3"/>
        <v>0</v>
      </c>
      <c r="AI52" s="532">
        <f>AG52*65.1%</f>
        <v>0</v>
      </c>
      <c r="AJ52" s="532">
        <f>AG52*9.9%</f>
        <v>0</v>
      </c>
      <c r="AK52" s="513">
        <f>AG52*13.3%</f>
        <v>0</v>
      </c>
      <c r="AL52" s="513">
        <f>AG52*7%</f>
        <v>0</v>
      </c>
      <c r="AM52" s="513">
        <f>AG52*0%</f>
        <v>0</v>
      </c>
      <c r="AN52" s="513">
        <f>AG52*3.2%</f>
        <v>0</v>
      </c>
      <c r="AO52" s="513">
        <f>AG52*1.5%</f>
        <v>0</v>
      </c>
      <c r="AP52" s="513"/>
      <c r="AQ52" s="507"/>
      <c r="AR52" s="52"/>
      <c r="AS52" s="52"/>
    </row>
    <row r="53" spans="1:45" x14ac:dyDescent="0.25">
      <c r="A53" s="501"/>
      <c r="B53" s="501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503">
        <f t="shared" si="0"/>
        <v>0</v>
      </c>
      <c r="Y53" s="235" t="s">
        <v>193</v>
      </c>
      <c r="Z53" s="525"/>
      <c r="AA53" s="138"/>
      <c r="AB53" s="138"/>
      <c r="AC53" s="509"/>
      <c r="AD53" s="506">
        <f>X53*Z53/100</f>
        <v>0</v>
      </c>
      <c r="AE53" s="507"/>
      <c r="AF53" s="506">
        <f>X53*AB53/100</f>
        <v>0</v>
      </c>
      <c r="AG53" s="507"/>
      <c r="AH53" s="67">
        <f t="shared" ref="AH53:AH80" si="6">SUM(AI53:AQ53)</f>
        <v>0</v>
      </c>
      <c r="AI53" s="532"/>
      <c r="AJ53" s="532"/>
      <c r="AK53" s="513"/>
      <c r="AL53" s="513"/>
      <c r="AM53" s="513"/>
      <c r="AN53" s="513"/>
      <c r="AO53" s="513"/>
      <c r="AP53" s="513"/>
      <c r="AQ53" s="507"/>
      <c r="AR53" s="52"/>
      <c r="AS53" s="52"/>
    </row>
    <row r="54" spans="1:45" x14ac:dyDescent="0.25">
      <c r="A54" s="501"/>
      <c r="B54" s="501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503">
        <f t="shared" si="0"/>
        <v>0</v>
      </c>
      <c r="Y54" s="235" t="s">
        <v>195</v>
      </c>
      <c r="Z54" s="525"/>
      <c r="AA54" s="138"/>
      <c r="AB54" s="138"/>
      <c r="AC54" s="509"/>
      <c r="AD54" s="506">
        <f>X54*Z54/100</f>
        <v>0</v>
      </c>
      <c r="AE54" s="507"/>
      <c r="AF54" s="506">
        <f>X54*AB54/100</f>
        <v>0</v>
      </c>
      <c r="AG54" s="507"/>
      <c r="AH54" s="67">
        <f t="shared" si="6"/>
        <v>0</v>
      </c>
      <c r="AI54" s="532"/>
      <c r="AJ54" s="532"/>
      <c r="AK54" s="513"/>
      <c r="AL54" s="513"/>
      <c r="AM54" s="513"/>
      <c r="AN54" s="513"/>
      <c r="AO54" s="513"/>
      <c r="AP54" s="513"/>
      <c r="AQ54" s="507"/>
      <c r="AR54" s="52"/>
      <c r="AS54" s="52"/>
    </row>
    <row r="55" spans="1:45" x14ac:dyDescent="0.25">
      <c r="A55" s="501"/>
      <c r="B55" s="501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503">
        <f t="shared" si="0"/>
        <v>0</v>
      </c>
      <c r="Y55" s="235" t="s">
        <v>197</v>
      </c>
      <c r="Z55" s="525"/>
      <c r="AA55" s="138"/>
      <c r="AB55" s="138"/>
      <c r="AC55" s="533">
        <f>100-20.6</f>
        <v>79.400000000000006</v>
      </c>
      <c r="AD55" s="506"/>
      <c r="AE55" s="507"/>
      <c r="AF55" s="506">
        <f>-SUM(AF53:AF54)</f>
        <v>0</v>
      </c>
      <c r="AG55" s="507">
        <f>-AF55*AC55/100</f>
        <v>0</v>
      </c>
      <c r="AH55" s="67">
        <f t="shared" si="6"/>
        <v>0</v>
      </c>
      <c r="AI55" s="532">
        <f>AG55*65.1%</f>
        <v>0</v>
      </c>
      <c r="AJ55" s="532">
        <f>AG55*9.9%</f>
        <v>0</v>
      </c>
      <c r="AK55" s="513">
        <f>AG55*13.3%</f>
        <v>0</v>
      </c>
      <c r="AL55" s="513">
        <f>AG55*7%</f>
        <v>0</v>
      </c>
      <c r="AM55" s="513">
        <f>AG55*0%</f>
        <v>0</v>
      </c>
      <c r="AN55" s="513">
        <f>AG55*3.2%</f>
        <v>0</v>
      </c>
      <c r="AO55" s="513">
        <f>AG55*1.5%</f>
        <v>0</v>
      </c>
      <c r="AP55" s="513"/>
      <c r="AQ55" s="507"/>
      <c r="AR55" s="52"/>
      <c r="AS55" s="52"/>
    </row>
    <row r="56" spans="1:45" x14ac:dyDescent="0.25">
      <c r="A56" s="501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503">
        <f t="shared" si="0"/>
        <v>0</v>
      </c>
      <c r="Y56" s="235" t="s">
        <v>201</v>
      </c>
      <c r="Z56" s="525"/>
      <c r="AA56" s="138"/>
      <c r="AB56" s="138"/>
      <c r="AC56" s="509"/>
      <c r="AD56" s="506"/>
      <c r="AE56" s="507"/>
      <c r="AF56" s="506">
        <f>X56*AB56/100</f>
        <v>0</v>
      </c>
      <c r="AG56" s="507"/>
      <c r="AH56" s="67">
        <f t="shared" si="6"/>
        <v>0</v>
      </c>
      <c r="AI56" s="532"/>
      <c r="AJ56" s="532"/>
      <c r="AK56" s="513"/>
      <c r="AL56" s="513"/>
      <c r="AM56" s="513"/>
      <c r="AN56" s="513"/>
      <c r="AO56" s="513"/>
      <c r="AP56" s="513"/>
      <c r="AQ56" s="507"/>
      <c r="AR56" s="52"/>
      <c r="AS56" s="52"/>
    </row>
    <row r="57" spans="1:45" x14ac:dyDescent="0.25">
      <c r="A57" s="502"/>
      <c r="B57" s="502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513">
        <f>AF57-AE57</f>
        <v>0</v>
      </c>
      <c r="O57" s="69"/>
      <c r="P57" s="69"/>
      <c r="Q57" s="69"/>
      <c r="R57" s="69"/>
      <c r="S57" s="69"/>
      <c r="T57" s="69"/>
      <c r="U57" s="69"/>
      <c r="V57" s="69"/>
      <c r="W57" s="69"/>
      <c r="X57" s="503">
        <f t="shared" si="0"/>
        <v>0</v>
      </c>
      <c r="Y57" s="235" t="s">
        <v>203</v>
      </c>
      <c r="Z57" s="506"/>
      <c r="AA57" s="69"/>
      <c r="AB57" s="69"/>
      <c r="AC57" s="507"/>
      <c r="AD57" s="506">
        <f>-AE57/$D$2%</f>
        <v>0</v>
      </c>
      <c r="AE57" s="507"/>
      <c r="AF57" s="506">
        <f>AE57*AB57%</f>
        <v>0</v>
      </c>
      <c r="AG57" s="507"/>
      <c r="AH57" s="67"/>
      <c r="AI57" s="532"/>
      <c r="AJ57" s="532"/>
      <c r="AK57" s="513"/>
      <c r="AL57" s="513"/>
      <c r="AM57" s="513"/>
      <c r="AN57" s="513"/>
      <c r="AO57" s="513"/>
      <c r="AP57" s="513"/>
      <c r="AQ57" s="507"/>
      <c r="AR57" s="52"/>
      <c r="AS57" s="52"/>
    </row>
    <row r="58" spans="1:45" x14ac:dyDescent="0.25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537"/>
      <c r="O58" s="69"/>
      <c r="P58" s="69"/>
      <c r="Q58" s="69"/>
      <c r="R58" s="69"/>
      <c r="S58" s="69"/>
      <c r="T58" s="69"/>
      <c r="U58" s="69"/>
      <c r="V58" s="69"/>
      <c r="W58" s="69"/>
      <c r="X58" s="503">
        <f t="shared" si="0"/>
        <v>0</v>
      </c>
      <c r="Y58" s="235" t="s">
        <v>205</v>
      </c>
      <c r="Z58" s="506"/>
      <c r="AA58" s="69"/>
      <c r="AB58" s="69"/>
      <c r="AC58" s="507"/>
      <c r="AD58" s="506">
        <f>-AE58/$D$2%</f>
        <v>0</v>
      </c>
      <c r="AE58" s="507"/>
      <c r="AF58" s="506">
        <f>X58*AB58/100</f>
        <v>0</v>
      </c>
      <c r="AG58" s="507"/>
      <c r="AH58" s="67"/>
      <c r="AI58" s="532"/>
      <c r="AJ58" s="532"/>
      <c r="AK58" s="513"/>
      <c r="AL58" s="513"/>
      <c r="AM58" s="513"/>
      <c r="AN58" s="513"/>
      <c r="AO58" s="513"/>
      <c r="AP58" s="513"/>
      <c r="AQ58" s="507"/>
      <c r="AR58" s="52"/>
      <c r="AS58" s="52"/>
    </row>
    <row r="59" spans="1:45" x14ac:dyDescent="0.25">
      <c r="A59" s="502"/>
      <c r="B59" s="502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537"/>
      <c r="O59" s="69"/>
      <c r="P59" s="69"/>
      <c r="Q59" s="69"/>
      <c r="R59" s="69"/>
      <c r="S59" s="69"/>
      <c r="T59" s="69"/>
      <c r="U59" s="69"/>
      <c r="V59" s="69"/>
      <c r="W59" s="69"/>
      <c r="X59" s="503">
        <f t="shared" si="0"/>
        <v>0</v>
      </c>
      <c r="Y59" s="235" t="s">
        <v>207</v>
      </c>
      <c r="Z59" s="506"/>
      <c r="AA59" s="69"/>
      <c r="AB59" s="69"/>
      <c r="AC59" s="507"/>
      <c r="AD59" s="506"/>
      <c r="AE59" s="507"/>
      <c r="AF59" s="506">
        <f>X59*AB59/100</f>
        <v>0</v>
      </c>
      <c r="AG59" s="507"/>
      <c r="AH59" s="67"/>
      <c r="AI59" s="532"/>
      <c r="AJ59" s="532"/>
      <c r="AK59" s="513"/>
      <c r="AL59" s="513"/>
      <c r="AM59" s="513"/>
      <c r="AN59" s="513"/>
      <c r="AO59" s="513"/>
      <c r="AP59" s="513"/>
      <c r="AQ59" s="507"/>
      <c r="AR59" s="52"/>
      <c r="AS59" s="52"/>
    </row>
    <row r="60" spans="1:45" x14ac:dyDescent="0.25">
      <c r="A60" s="501"/>
      <c r="B60" s="501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254"/>
      <c r="O60" s="138"/>
      <c r="P60" s="138"/>
      <c r="Q60" s="138"/>
      <c r="R60" s="138"/>
      <c r="S60" s="138"/>
      <c r="T60" s="138"/>
      <c r="U60" s="138"/>
      <c r="V60" s="138"/>
      <c r="W60" s="138"/>
      <c r="X60" s="503">
        <f t="shared" si="0"/>
        <v>0</v>
      </c>
      <c r="Y60" s="235" t="s">
        <v>362</v>
      </c>
      <c r="Z60" s="525"/>
      <c r="AA60" s="138"/>
      <c r="AB60" s="138"/>
      <c r="AC60" s="509"/>
      <c r="AD60" s="506"/>
      <c r="AE60" s="507"/>
      <c r="AF60" s="506">
        <f>X60*AB60/100</f>
        <v>0</v>
      </c>
      <c r="AG60" s="507"/>
      <c r="AH60" s="67">
        <f t="shared" si="6"/>
        <v>0</v>
      </c>
      <c r="AI60" s="532"/>
      <c r="AJ60" s="532"/>
      <c r="AK60" s="513"/>
      <c r="AL60" s="513"/>
      <c r="AM60" s="513"/>
      <c r="AN60" s="513"/>
      <c r="AO60" s="513"/>
      <c r="AP60" s="513"/>
      <c r="AQ60" s="507"/>
      <c r="AR60" s="52"/>
      <c r="AS60" s="52"/>
    </row>
    <row r="61" spans="1:45" x14ac:dyDescent="0.25">
      <c r="A61" s="525"/>
      <c r="B61" s="138"/>
      <c r="C61" s="138"/>
      <c r="D61" s="138"/>
      <c r="E61" s="513">
        <f>5.4*31.8%</f>
        <v>1.7172000000000001</v>
      </c>
      <c r="F61" s="513"/>
      <c r="G61" s="513"/>
      <c r="H61" s="513"/>
      <c r="I61" s="513">
        <v>1800</v>
      </c>
      <c r="J61" s="513"/>
      <c r="K61" s="513"/>
      <c r="L61" s="513"/>
      <c r="M61" s="513"/>
      <c r="N61" s="513"/>
      <c r="O61" s="513"/>
      <c r="P61" s="513"/>
      <c r="Q61" s="513"/>
      <c r="R61" s="513">
        <v>800</v>
      </c>
      <c r="S61" s="513">
        <f>(5.5+37.4)*31.8%</f>
        <v>13.642199999999999</v>
      </c>
      <c r="T61" s="513"/>
      <c r="U61" s="513">
        <f>1512.3*0.55*31.8%</f>
        <v>264.50126999999998</v>
      </c>
      <c r="V61" s="513">
        <f>43*31.8%</f>
        <v>13.673999999999999</v>
      </c>
      <c r="W61" s="513">
        <f>1512.3*0.45*31.8%</f>
        <v>216.41012999999998</v>
      </c>
      <c r="X61" s="503">
        <f t="shared" si="0"/>
        <v>3109.9448000000002</v>
      </c>
      <c r="Y61" s="235" t="s">
        <v>159</v>
      </c>
      <c r="Z61" s="504">
        <v>22.6</v>
      </c>
      <c r="AA61" s="502"/>
      <c r="AB61" s="502">
        <v>52.5</v>
      </c>
      <c r="AC61" s="505"/>
      <c r="AD61" s="525">
        <f>X61*Z61/100</f>
        <v>702.84752480000009</v>
      </c>
      <c r="AE61" s="509"/>
      <c r="AF61" s="506">
        <f>X61*AB61%</f>
        <v>1632.7210200000002</v>
      </c>
      <c r="AG61" s="507"/>
      <c r="AH61" s="67">
        <f t="shared" si="6"/>
        <v>0</v>
      </c>
      <c r="AI61" s="510"/>
      <c r="AJ61" s="69"/>
      <c r="AK61" s="69"/>
      <c r="AL61" s="69"/>
      <c r="AM61" s="69"/>
      <c r="AN61" s="69"/>
      <c r="AO61" s="69"/>
      <c r="AP61" s="69"/>
      <c r="AQ61" s="507"/>
      <c r="AR61" s="52"/>
      <c r="AS61" s="52"/>
    </row>
    <row r="62" spans="1:45" x14ac:dyDescent="0.25">
      <c r="A62" s="501"/>
      <c r="B62" s="501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538"/>
      <c r="O62" s="138"/>
      <c r="P62" s="138"/>
      <c r="Q62" s="138"/>
      <c r="R62" s="138"/>
      <c r="S62" s="138"/>
      <c r="T62" s="138"/>
      <c r="U62" s="138"/>
      <c r="V62" s="138"/>
      <c r="W62" s="501"/>
      <c r="X62" s="503">
        <f t="shared" si="0"/>
        <v>0</v>
      </c>
      <c r="Y62" s="235" t="s">
        <v>211</v>
      </c>
      <c r="Z62" s="504"/>
      <c r="AA62" s="502"/>
      <c r="AB62" s="502"/>
      <c r="AC62" s="505">
        <f>100-20.6</f>
        <v>79.400000000000006</v>
      </c>
      <c r="AD62" s="525"/>
      <c r="AE62" s="509"/>
      <c r="AF62" s="525">
        <f>-SUM(AF56:AF61)</f>
        <v>-1632.7210200000002</v>
      </c>
      <c r="AG62" s="507">
        <f>-AF62*AC62/100</f>
        <v>1296.3804898800001</v>
      </c>
      <c r="AH62" s="67">
        <f>SUM(AI62:AQ62)</f>
        <v>1296.3804898799999</v>
      </c>
      <c r="AI62" s="532">
        <f>AG62*65.1%</f>
        <v>843.94369891188001</v>
      </c>
      <c r="AJ62" s="532">
        <f>AG62*9.9%</f>
        <v>128.34166849812001</v>
      </c>
      <c r="AK62" s="513">
        <f>AG62*13.3%</f>
        <v>172.41860515404002</v>
      </c>
      <c r="AL62" s="513">
        <f>AG62*7%</f>
        <v>90.746634291600017</v>
      </c>
      <c r="AM62" s="513">
        <f>AG62*0%</f>
        <v>0</v>
      </c>
      <c r="AN62" s="513">
        <f>AG62*3.2%</f>
        <v>41.484175676160007</v>
      </c>
      <c r="AO62" s="513">
        <f>AG62*1.5%</f>
        <v>19.445707348200003</v>
      </c>
      <c r="AP62" s="513"/>
      <c r="AQ62" s="507"/>
      <c r="AR62" s="52"/>
      <c r="AS62" s="52"/>
    </row>
    <row r="63" spans="1:45" x14ac:dyDescent="0.25">
      <c r="A63" s="501"/>
      <c r="B63" s="501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538"/>
      <c r="O63" s="138"/>
      <c r="P63" s="138"/>
      <c r="Q63" s="138"/>
      <c r="R63" s="138"/>
      <c r="S63" s="138"/>
      <c r="T63" s="138"/>
      <c r="U63" s="138"/>
      <c r="V63" s="138"/>
      <c r="W63" s="501"/>
      <c r="X63" s="503">
        <f t="shared" si="0"/>
        <v>0</v>
      </c>
      <c r="Y63" s="235" t="s">
        <v>215</v>
      </c>
      <c r="Z63" s="525"/>
      <c r="AA63" s="138"/>
      <c r="AB63" s="138"/>
      <c r="AC63" s="509"/>
      <c r="AD63" s="525">
        <f t="shared" ref="AD63:AD68" si="7">Z63/100*X63</f>
        <v>0</v>
      </c>
      <c r="AE63" s="509"/>
      <c r="AF63" s="506">
        <f t="shared" ref="AF63:AF67" si="8">X63*AB63/100</f>
        <v>0</v>
      </c>
      <c r="AG63" s="507"/>
      <c r="AH63" s="67">
        <f t="shared" si="6"/>
        <v>0</v>
      </c>
      <c r="AI63" s="510"/>
      <c r="AJ63" s="69"/>
      <c r="AK63" s="69"/>
      <c r="AL63" s="69"/>
      <c r="AM63" s="69"/>
      <c r="AN63" s="69"/>
      <c r="AO63" s="69"/>
      <c r="AP63" s="69"/>
      <c r="AQ63" s="507"/>
      <c r="AR63" s="52"/>
      <c r="AS63" s="52"/>
    </row>
    <row r="64" spans="1:45" x14ac:dyDescent="0.25">
      <c r="A64" s="501"/>
      <c r="B64" s="501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538"/>
      <c r="O64" s="138"/>
      <c r="P64" s="138"/>
      <c r="Q64" s="138"/>
      <c r="R64" s="138"/>
      <c r="S64" s="138"/>
      <c r="T64" s="138"/>
      <c r="U64" s="138"/>
      <c r="V64" s="138"/>
      <c r="W64" s="501"/>
      <c r="X64" s="503">
        <f t="shared" si="0"/>
        <v>0</v>
      </c>
      <c r="Y64" s="235" t="s">
        <v>217</v>
      </c>
      <c r="Z64" s="525"/>
      <c r="AA64" s="138"/>
      <c r="AB64" s="138"/>
      <c r="AC64" s="509"/>
      <c r="AD64" s="525">
        <f t="shared" si="7"/>
        <v>0</v>
      </c>
      <c r="AE64" s="509"/>
      <c r="AF64" s="506">
        <f t="shared" si="8"/>
        <v>0</v>
      </c>
      <c r="AG64" s="507"/>
      <c r="AH64" s="67">
        <f t="shared" si="6"/>
        <v>0</v>
      </c>
      <c r="AI64" s="510"/>
      <c r="AJ64" s="69"/>
      <c r="AK64" s="69"/>
      <c r="AL64" s="69"/>
      <c r="AM64" s="69"/>
      <c r="AN64" s="69"/>
      <c r="AO64" s="69"/>
      <c r="AP64" s="69"/>
      <c r="AQ64" s="507"/>
      <c r="AR64" s="52"/>
      <c r="AS64" s="52"/>
    </row>
    <row r="65" spans="1:45" x14ac:dyDescent="0.25">
      <c r="A65" s="501"/>
      <c r="B65" s="501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538"/>
      <c r="O65" s="138"/>
      <c r="P65" s="138"/>
      <c r="Q65" s="138"/>
      <c r="R65" s="138"/>
      <c r="S65" s="138"/>
      <c r="T65" s="138"/>
      <c r="U65" s="138"/>
      <c r="V65" s="138"/>
      <c r="W65" s="501"/>
      <c r="X65" s="503">
        <f t="shared" si="0"/>
        <v>0</v>
      </c>
      <c r="Y65" s="235" t="s">
        <v>219</v>
      </c>
      <c r="Z65" s="525"/>
      <c r="AA65" s="138"/>
      <c r="AB65" s="138"/>
      <c r="AC65" s="509"/>
      <c r="AD65" s="525">
        <f t="shared" si="7"/>
        <v>0</v>
      </c>
      <c r="AE65" s="509"/>
      <c r="AF65" s="506">
        <f t="shared" si="8"/>
        <v>0</v>
      </c>
      <c r="AG65" s="507"/>
      <c r="AH65" s="67">
        <f t="shared" si="6"/>
        <v>0</v>
      </c>
      <c r="AI65" s="510"/>
      <c r="AJ65" s="69"/>
      <c r="AK65" s="69"/>
      <c r="AL65" s="69"/>
      <c r="AM65" s="69"/>
      <c r="AN65" s="69"/>
      <c r="AO65" s="69"/>
      <c r="AP65" s="69"/>
      <c r="AQ65" s="507"/>
      <c r="AR65" s="52"/>
      <c r="AS65" s="52"/>
    </row>
    <row r="66" spans="1:45" x14ac:dyDescent="0.25">
      <c r="A66" s="501"/>
      <c r="B66" s="501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502"/>
      <c r="O66" s="138"/>
      <c r="P66" s="138"/>
      <c r="Q66" s="138"/>
      <c r="R66" s="138"/>
      <c r="S66" s="138"/>
      <c r="T66" s="138"/>
      <c r="U66" s="138"/>
      <c r="V66" s="138"/>
      <c r="W66" s="501"/>
      <c r="X66" s="503">
        <f t="shared" si="0"/>
        <v>0</v>
      </c>
      <c r="Y66" s="235" t="s">
        <v>221</v>
      </c>
      <c r="Z66" s="525"/>
      <c r="AA66" s="138"/>
      <c r="AB66" s="138"/>
      <c r="AC66" s="509"/>
      <c r="AD66" s="525">
        <f t="shared" si="7"/>
        <v>0</v>
      </c>
      <c r="AE66" s="509"/>
      <c r="AF66" s="506">
        <f t="shared" si="8"/>
        <v>0</v>
      </c>
      <c r="AG66" s="507"/>
      <c r="AH66" s="67">
        <f t="shared" si="6"/>
        <v>0</v>
      </c>
      <c r="AI66" s="510"/>
      <c r="AJ66" s="69"/>
      <c r="AK66" s="69"/>
      <c r="AL66" s="69"/>
      <c r="AM66" s="69"/>
      <c r="AN66" s="69"/>
      <c r="AO66" s="69"/>
      <c r="AP66" s="69"/>
      <c r="AQ66" s="507"/>
      <c r="AR66" s="52"/>
      <c r="AS66" s="52"/>
    </row>
    <row r="67" spans="1:45" x14ac:dyDescent="0.25">
      <c r="A67" s="501"/>
      <c r="B67" s="501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502"/>
      <c r="O67" s="138"/>
      <c r="P67" s="138"/>
      <c r="Q67" s="138"/>
      <c r="R67" s="138"/>
      <c r="S67" s="138"/>
      <c r="T67" s="138"/>
      <c r="U67" s="138"/>
      <c r="V67" s="138"/>
      <c r="W67" s="501"/>
      <c r="X67" s="503">
        <f t="shared" si="0"/>
        <v>0</v>
      </c>
      <c r="Y67" s="235" t="s">
        <v>223</v>
      </c>
      <c r="Z67" s="525"/>
      <c r="AA67" s="138"/>
      <c r="AB67" s="138"/>
      <c r="AC67" s="509"/>
      <c r="AD67" s="525">
        <f t="shared" si="7"/>
        <v>0</v>
      </c>
      <c r="AE67" s="509"/>
      <c r="AF67" s="506">
        <f t="shared" si="8"/>
        <v>0</v>
      </c>
      <c r="AG67" s="507"/>
      <c r="AH67" s="67">
        <f t="shared" si="6"/>
        <v>0</v>
      </c>
      <c r="AI67" s="510"/>
      <c r="AJ67" s="69"/>
      <c r="AK67" s="69"/>
      <c r="AL67" s="69"/>
      <c r="AM67" s="69"/>
      <c r="AN67" s="69"/>
      <c r="AO67" s="69"/>
      <c r="AP67" s="69"/>
      <c r="AQ67" s="507"/>
      <c r="AR67" s="52"/>
      <c r="AS67" s="52"/>
    </row>
    <row r="68" spans="1:45" x14ac:dyDescent="0.25">
      <c r="A68" s="501"/>
      <c r="B68" s="501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502"/>
      <c r="O68" s="138"/>
      <c r="P68" s="138"/>
      <c r="Q68" s="138"/>
      <c r="R68" s="138"/>
      <c r="S68" s="138"/>
      <c r="T68" s="138"/>
      <c r="U68" s="138"/>
      <c r="V68" s="138"/>
      <c r="W68" s="501"/>
      <c r="X68" s="503">
        <f t="shared" si="0"/>
        <v>0</v>
      </c>
      <c r="Y68" s="235" t="s">
        <v>225</v>
      </c>
      <c r="Z68" s="525"/>
      <c r="AA68" s="138"/>
      <c r="AB68" s="138"/>
      <c r="AC68" s="509"/>
      <c r="AD68" s="506">
        <f t="shared" si="7"/>
        <v>0</v>
      </c>
      <c r="AE68" s="509"/>
      <c r="AF68" s="506">
        <f>1171.8*31.8%</f>
        <v>372.63240000000002</v>
      </c>
      <c r="AG68" s="507"/>
      <c r="AH68" s="67">
        <f t="shared" si="6"/>
        <v>0</v>
      </c>
      <c r="AI68" s="510"/>
      <c r="AJ68" s="69"/>
      <c r="AK68" s="69"/>
      <c r="AL68" s="69"/>
      <c r="AM68" s="69"/>
      <c r="AN68" s="69"/>
      <c r="AO68" s="69"/>
      <c r="AP68" s="69"/>
      <c r="AQ68" s="507"/>
      <c r="AR68" s="52"/>
      <c r="AS68" s="52"/>
    </row>
    <row r="69" spans="1:45" x14ac:dyDescent="0.25">
      <c r="A69" s="501"/>
      <c r="B69" s="501"/>
      <c r="C69" s="501"/>
      <c r="D69" s="501"/>
      <c r="E69" s="501"/>
      <c r="F69" s="501"/>
      <c r="G69" s="501"/>
      <c r="H69" s="501"/>
      <c r="I69" s="501"/>
      <c r="J69" s="501"/>
      <c r="K69" s="501"/>
      <c r="L69" s="501"/>
      <c r="M69" s="501"/>
      <c r="N69" s="502"/>
      <c r="O69" s="501"/>
      <c r="P69" s="501"/>
      <c r="Q69" s="501"/>
      <c r="R69" s="501"/>
      <c r="S69" s="501"/>
      <c r="T69" s="501"/>
      <c r="U69" s="501"/>
      <c r="V69" s="501"/>
      <c r="W69" s="501"/>
      <c r="X69" s="503">
        <f t="shared" si="0"/>
        <v>0</v>
      </c>
      <c r="Y69" s="536" t="s">
        <v>227</v>
      </c>
      <c r="Z69" s="500"/>
      <c r="AA69" s="501"/>
      <c r="AB69" s="501"/>
      <c r="AC69" s="535"/>
      <c r="AD69" s="506">
        <f>-AE69</f>
        <v>-142.40040000000002</v>
      </c>
      <c r="AE69" s="507">
        <f>447.8*31.8%</f>
        <v>142.40040000000002</v>
      </c>
      <c r="AF69" s="525"/>
      <c r="AG69" s="507"/>
      <c r="AH69" s="67">
        <f t="shared" si="6"/>
        <v>142.40040000000002</v>
      </c>
      <c r="AI69" s="510"/>
      <c r="AJ69" s="69"/>
      <c r="AK69" s="69"/>
      <c r="AL69" s="69"/>
      <c r="AM69" s="69"/>
      <c r="AN69" s="69">
        <f>AE69</f>
        <v>142.40040000000002</v>
      </c>
      <c r="AO69" s="69"/>
      <c r="AP69" s="69"/>
      <c r="AQ69" s="507"/>
      <c r="AR69" s="52"/>
      <c r="AS69" s="52"/>
    </row>
    <row r="70" spans="1:45" x14ac:dyDescent="0.25">
      <c r="A70" s="501"/>
      <c r="B70" s="501"/>
      <c r="C70" s="501"/>
      <c r="D70" s="501"/>
      <c r="E70" s="138"/>
      <c r="F70" s="138"/>
      <c r="G70" s="138"/>
      <c r="H70" s="138"/>
      <c r="I70" s="138"/>
      <c r="J70" s="138"/>
      <c r="K70" s="138"/>
      <c r="L70" s="138"/>
      <c r="M70" s="138"/>
      <c r="N70" s="502"/>
      <c r="O70" s="138"/>
      <c r="P70" s="138"/>
      <c r="Q70" s="138"/>
      <c r="R70" s="501"/>
      <c r="S70" s="501"/>
      <c r="T70" s="501"/>
      <c r="U70" s="501"/>
      <c r="V70" s="501"/>
      <c r="W70" s="501"/>
      <c r="X70" s="503">
        <f t="shared" si="0"/>
        <v>0</v>
      </c>
      <c r="Y70" s="536" t="s">
        <v>229</v>
      </c>
      <c r="Z70" s="500"/>
      <c r="AA70" s="501"/>
      <c r="AB70" s="501"/>
      <c r="AC70" s="509"/>
      <c r="AD70" s="525"/>
      <c r="AE70" s="509"/>
      <c r="AF70" s="525"/>
      <c r="AG70" s="539"/>
      <c r="AH70" s="67">
        <f t="shared" si="6"/>
        <v>0</v>
      </c>
      <c r="AI70" s="510"/>
      <c r="AJ70" s="69"/>
      <c r="AK70" s="69"/>
      <c r="AL70" s="69"/>
      <c r="AM70" s="69"/>
      <c r="AN70" s="69">
        <f>-AF70</f>
        <v>0</v>
      </c>
      <c r="AO70" s="69"/>
      <c r="AP70" s="69"/>
      <c r="AQ70" s="507"/>
      <c r="AR70" s="52"/>
      <c r="AS70" s="52"/>
    </row>
    <row r="71" spans="1:45" x14ac:dyDescent="0.25">
      <c r="A71" s="501"/>
      <c r="B71" s="501"/>
      <c r="C71" s="501"/>
      <c r="D71" s="501"/>
      <c r="E71" s="138"/>
      <c r="F71" s="138"/>
      <c r="G71" s="138"/>
      <c r="H71" s="138"/>
      <c r="I71" s="138"/>
      <c r="J71" s="138"/>
      <c r="K71" s="138"/>
      <c r="L71" s="138"/>
      <c r="M71" s="138"/>
      <c r="N71" s="502"/>
      <c r="O71" s="138"/>
      <c r="P71" s="138"/>
      <c r="Q71" s="138"/>
      <c r="R71" s="501"/>
      <c r="S71" s="501"/>
      <c r="T71" s="501"/>
      <c r="U71" s="501"/>
      <c r="V71" s="501"/>
      <c r="W71" s="501"/>
      <c r="X71" s="503">
        <f t="shared" si="0"/>
        <v>0</v>
      </c>
      <c r="Y71" s="235" t="s">
        <v>231</v>
      </c>
      <c r="Z71" s="500"/>
      <c r="AA71" s="501"/>
      <c r="AB71" s="501"/>
      <c r="AC71" s="533">
        <f>100-20.6</f>
        <v>79.400000000000006</v>
      </c>
      <c r="AD71" s="525"/>
      <c r="AE71" s="509"/>
      <c r="AF71" s="506">
        <f>-SUM(AF63:AF70)</f>
        <v>-372.63240000000002</v>
      </c>
      <c r="AG71" s="507">
        <f>-AF71*AC71/100</f>
        <v>295.87012560000005</v>
      </c>
      <c r="AH71" s="67">
        <f>SUM(AI71:AQ71)</f>
        <v>295.87012560000005</v>
      </c>
      <c r="AI71" s="532">
        <f>AG71*65.1%</f>
        <v>192.61145176560001</v>
      </c>
      <c r="AJ71" s="532">
        <f>AG71*9.9%</f>
        <v>29.291142434400008</v>
      </c>
      <c r="AK71" s="513">
        <f>AG71*13.3%</f>
        <v>39.35072670480001</v>
      </c>
      <c r="AL71" s="513">
        <f>AG71*7%</f>
        <v>20.710908792000005</v>
      </c>
      <c r="AM71" s="513">
        <f>AG71*0%</f>
        <v>0</v>
      </c>
      <c r="AN71" s="513">
        <f>AG71*3.2%</f>
        <v>9.4678440192000011</v>
      </c>
      <c r="AO71" s="513">
        <f>AG71*1.5%</f>
        <v>4.4380518840000009</v>
      </c>
      <c r="AP71" s="513"/>
      <c r="AQ71" s="507"/>
      <c r="AR71" s="52"/>
      <c r="AS71" s="52"/>
    </row>
    <row r="72" spans="1:45" x14ac:dyDescent="0.25">
      <c r="A72" s="525"/>
      <c r="B72" s="138"/>
      <c r="C72" s="138"/>
      <c r="D72" s="138"/>
      <c r="E72" s="138"/>
      <c r="F72" s="138"/>
      <c r="G72" s="138"/>
      <c r="H72" s="513">
        <f>541.39*(100%-3.1%)</f>
        <v>524.60690999999997</v>
      </c>
      <c r="I72" s="513"/>
      <c r="J72" s="513"/>
      <c r="K72" s="513"/>
      <c r="L72" s="513"/>
      <c r="M72" s="513"/>
      <c r="N72" s="513"/>
      <c r="O72" s="513"/>
      <c r="P72" s="513">
        <f>541.39*3.1%</f>
        <v>16.783089999999998</v>
      </c>
      <c r="Q72" s="138"/>
      <c r="R72" s="138"/>
      <c r="S72" s="138"/>
      <c r="T72" s="138"/>
      <c r="U72" s="138"/>
      <c r="V72" s="138"/>
      <c r="W72" s="138"/>
      <c r="X72" s="503">
        <f t="shared" ref="X72:X80" si="9">SUM(A72:W72)</f>
        <v>541.39</v>
      </c>
      <c r="Y72" s="235" t="s">
        <v>241</v>
      </c>
      <c r="Z72" s="504"/>
      <c r="AA72" s="502">
        <v>20</v>
      </c>
      <c r="AB72" s="502"/>
      <c r="AC72" s="507"/>
      <c r="AD72" s="525"/>
      <c r="AE72" s="509"/>
      <c r="AF72" s="506"/>
      <c r="AG72" s="507"/>
      <c r="AH72" s="67">
        <f t="shared" si="6"/>
        <v>108.27799999999999</v>
      </c>
      <c r="AI72" s="510"/>
      <c r="AJ72" s="69"/>
      <c r="AK72" s="69"/>
      <c r="AL72" s="69"/>
      <c r="AM72" s="69"/>
      <c r="AN72" s="69"/>
      <c r="AO72" s="69"/>
      <c r="AP72" s="69"/>
      <c r="AQ72" s="507">
        <f>X72*AA72/100</f>
        <v>108.27799999999999</v>
      </c>
      <c r="AR72" s="52"/>
      <c r="AS72" s="52"/>
    </row>
    <row r="73" spans="1:45" x14ac:dyDescent="0.25">
      <c r="A73" s="525"/>
      <c r="B73" s="138"/>
      <c r="C73" s="138"/>
      <c r="D73" s="138"/>
      <c r="E73" s="138"/>
      <c r="F73" s="513">
        <f>411.28*(100%-6.9%)</f>
        <v>382.90168</v>
      </c>
      <c r="G73" s="513"/>
      <c r="H73" s="513"/>
      <c r="I73" s="513"/>
      <c r="J73" s="513"/>
      <c r="K73" s="513"/>
      <c r="L73" s="513"/>
      <c r="M73" s="513"/>
      <c r="N73" s="513"/>
      <c r="O73" s="513"/>
      <c r="P73" s="513">
        <f>411.28*6.9%</f>
        <v>28.378320000000002</v>
      </c>
      <c r="Q73" s="138"/>
      <c r="R73" s="138"/>
      <c r="S73" s="138"/>
      <c r="T73" s="138"/>
      <c r="U73" s="138"/>
      <c r="V73" s="138"/>
      <c r="W73" s="138"/>
      <c r="X73" s="503">
        <f t="shared" si="9"/>
        <v>411.28</v>
      </c>
      <c r="Y73" s="235" t="s">
        <v>243</v>
      </c>
      <c r="Z73" s="504"/>
      <c r="AA73" s="502">
        <v>25</v>
      </c>
      <c r="AB73" s="502"/>
      <c r="AC73" s="505"/>
      <c r="AD73" s="500"/>
      <c r="AE73" s="503"/>
      <c r="AF73" s="506"/>
      <c r="AG73" s="505"/>
      <c r="AH73" s="67">
        <f t="shared" si="6"/>
        <v>102.82</v>
      </c>
      <c r="AI73" s="510"/>
      <c r="AJ73" s="69"/>
      <c r="AK73" s="69"/>
      <c r="AL73" s="69"/>
      <c r="AM73" s="69"/>
      <c r="AN73" s="69"/>
      <c r="AO73" s="69"/>
      <c r="AP73" s="69"/>
      <c r="AQ73" s="507">
        <f>X73*AA73/100</f>
        <v>102.82</v>
      </c>
      <c r="AR73" s="52"/>
      <c r="AS73" s="52"/>
    </row>
    <row r="74" spans="1:45" x14ac:dyDescent="0.25">
      <c r="A74" s="506"/>
      <c r="B74" s="138"/>
      <c r="C74" s="138"/>
      <c r="D74" s="138"/>
      <c r="E74" s="138"/>
      <c r="F74" s="513">
        <f>170.73*(100%-6.9%)</f>
        <v>158.94962999999998</v>
      </c>
      <c r="G74" s="513"/>
      <c r="H74" s="513"/>
      <c r="I74" s="513"/>
      <c r="J74" s="513"/>
      <c r="K74" s="513"/>
      <c r="L74" s="513"/>
      <c r="M74" s="513"/>
      <c r="N74" s="513"/>
      <c r="O74" s="513"/>
      <c r="P74" s="513">
        <f>170.73*6.9%</f>
        <v>11.78037</v>
      </c>
      <c r="Q74" s="138"/>
      <c r="R74" s="138"/>
      <c r="S74" s="138"/>
      <c r="T74" s="138"/>
      <c r="U74" s="138"/>
      <c r="V74" s="138"/>
      <c r="W74" s="138"/>
      <c r="X74" s="503">
        <f t="shared" si="9"/>
        <v>170.73</v>
      </c>
      <c r="Y74" s="235" t="s">
        <v>244</v>
      </c>
      <c r="Z74" s="504"/>
      <c r="AA74" s="502">
        <v>25</v>
      </c>
      <c r="AB74" s="502"/>
      <c r="AC74" s="505"/>
      <c r="AD74" s="500"/>
      <c r="AE74" s="503"/>
      <c r="AF74" s="506"/>
      <c r="AG74" s="505"/>
      <c r="AH74" s="67">
        <f t="shared" si="6"/>
        <v>42.682499999999997</v>
      </c>
      <c r="AI74" s="510"/>
      <c r="AJ74" s="69"/>
      <c r="AK74" s="69"/>
      <c r="AL74" s="69"/>
      <c r="AM74" s="69"/>
      <c r="AN74" s="69"/>
      <c r="AO74" s="69"/>
      <c r="AP74" s="69"/>
      <c r="AQ74" s="507">
        <f>X74*AA74/100</f>
        <v>42.682499999999997</v>
      </c>
      <c r="AR74" s="52"/>
      <c r="AS74" s="52"/>
    </row>
    <row r="75" spans="1:45" x14ac:dyDescent="0.25">
      <c r="A75" s="525"/>
      <c r="B75" s="138"/>
      <c r="C75" s="138"/>
      <c r="D75" s="138"/>
      <c r="E75" s="138"/>
      <c r="F75" s="513">
        <f>49.1*(100%-6.9%)</f>
        <v>45.712100000000007</v>
      </c>
      <c r="G75" s="513"/>
      <c r="H75" s="513"/>
      <c r="I75" s="513"/>
      <c r="J75" s="513"/>
      <c r="K75" s="513"/>
      <c r="L75" s="513"/>
      <c r="M75" s="513"/>
      <c r="N75" s="513"/>
      <c r="O75" s="513"/>
      <c r="P75" s="513">
        <f>49.1*6.9%</f>
        <v>3.3879000000000006</v>
      </c>
      <c r="Q75" s="138"/>
      <c r="R75" s="138"/>
      <c r="S75" s="138"/>
      <c r="T75" s="138"/>
      <c r="U75" s="138"/>
      <c r="V75" s="138"/>
      <c r="W75" s="138"/>
      <c r="X75" s="503">
        <f t="shared" si="9"/>
        <v>49.100000000000009</v>
      </c>
      <c r="Y75" s="235" t="s">
        <v>246</v>
      </c>
      <c r="Z75" s="504"/>
      <c r="AA75" s="502">
        <v>33</v>
      </c>
      <c r="AB75" s="502"/>
      <c r="AC75" s="505"/>
      <c r="AD75" s="500"/>
      <c r="AE75" s="503"/>
      <c r="AF75" s="506"/>
      <c r="AG75" s="505"/>
      <c r="AH75" s="67">
        <f t="shared" si="6"/>
        <v>16.203000000000003</v>
      </c>
      <c r="AI75" s="510"/>
      <c r="AJ75" s="69"/>
      <c r="AK75" s="69"/>
      <c r="AL75" s="69"/>
      <c r="AM75" s="69"/>
      <c r="AN75" s="69"/>
      <c r="AO75" s="69"/>
      <c r="AP75" s="69"/>
      <c r="AQ75" s="507">
        <f>X75*AA75/100</f>
        <v>16.203000000000003</v>
      </c>
      <c r="AR75" s="52"/>
      <c r="AS75" s="52"/>
    </row>
    <row r="76" spans="1:45" x14ac:dyDescent="0.25">
      <c r="A76" s="525"/>
      <c r="B76" s="138"/>
      <c r="C76" s="138"/>
      <c r="D76" s="138"/>
      <c r="E76" s="138"/>
      <c r="F76" s="513">
        <f>330.7*(100%-6.9%)</f>
        <v>307.88170000000002</v>
      </c>
      <c r="G76" s="513"/>
      <c r="H76" s="513"/>
      <c r="I76" s="513"/>
      <c r="J76" s="513"/>
      <c r="K76" s="513"/>
      <c r="L76" s="513"/>
      <c r="M76" s="513"/>
      <c r="N76" s="513"/>
      <c r="O76" s="513"/>
      <c r="P76" s="513">
        <f>330.7*6.9%</f>
        <v>22.818300000000001</v>
      </c>
      <c r="Q76" s="138"/>
      <c r="R76" s="138"/>
      <c r="S76" s="138"/>
      <c r="T76" s="138"/>
      <c r="U76" s="138"/>
      <c r="V76" s="138"/>
      <c r="W76" s="138"/>
      <c r="X76" s="503">
        <f t="shared" si="9"/>
        <v>330.70000000000005</v>
      </c>
      <c r="Y76" s="235" t="s">
        <v>248</v>
      </c>
      <c r="Z76" s="504"/>
      <c r="AA76" s="502">
        <v>33</v>
      </c>
      <c r="AB76" s="502"/>
      <c r="AC76" s="505"/>
      <c r="AD76" s="500"/>
      <c r="AE76" s="503"/>
      <c r="AF76" s="506"/>
      <c r="AG76" s="505"/>
      <c r="AH76" s="67">
        <f t="shared" si="6"/>
        <v>109.13100000000003</v>
      </c>
      <c r="AI76" s="510"/>
      <c r="AJ76" s="69"/>
      <c r="AK76" s="69"/>
      <c r="AL76" s="69"/>
      <c r="AM76" s="69"/>
      <c r="AN76" s="69"/>
      <c r="AO76" s="69"/>
      <c r="AP76" s="69"/>
      <c r="AQ76" s="507">
        <f>X76*AA76/100</f>
        <v>109.13100000000003</v>
      </c>
      <c r="AR76" s="52"/>
      <c r="AS76" s="52"/>
    </row>
    <row r="77" spans="1:45" x14ac:dyDescent="0.25">
      <c r="A77" s="500"/>
      <c r="B77" s="501"/>
      <c r="C77" s="501"/>
      <c r="D77" s="501"/>
      <c r="E77" s="138"/>
      <c r="F77" s="513">
        <v>34.909999999999997</v>
      </c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501"/>
      <c r="S77" s="501"/>
      <c r="T77" s="501"/>
      <c r="U77" s="501"/>
      <c r="V77" s="501"/>
      <c r="W77" s="501"/>
      <c r="X77" s="503">
        <f t="shared" si="9"/>
        <v>34.909999999999997</v>
      </c>
      <c r="Y77" s="235" t="s">
        <v>285</v>
      </c>
      <c r="Z77" s="504"/>
      <c r="AA77" s="502">
        <v>33</v>
      </c>
      <c r="AB77" s="502"/>
      <c r="AC77" s="505"/>
      <c r="AD77" s="500">
        <f>-AE77/$D$2%</f>
        <v>0</v>
      </c>
      <c r="AE77" s="540"/>
      <c r="AF77" s="506"/>
      <c r="AG77" s="505"/>
      <c r="AH77" s="67">
        <f t="shared" si="6"/>
        <v>11.520299999999999</v>
      </c>
      <c r="AI77" s="510"/>
      <c r="AJ77" s="69"/>
      <c r="AK77" s="69"/>
      <c r="AL77" s="69"/>
      <c r="AM77" s="69"/>
      <c r="AN77" s="69"/>
      <c r="AO77" s="69"/>
      <c r="AP77" s="69">
        <f>X77*AA77%</f>
        <v>11.520299999999999</v>
      </c>
      <c r="AQ77" s="507"/>
      <c r="AR77" s="52"/>
      <c r="AS77" s="52"/>
    </row>
    <row r="78" spans="1:45" x14ac:dyDescent="0.25">
      <c r="A78" s="541"/>
      <c r="B78" s="542"/>
      <c r="C78" s="543"/>
      <c r="D78" s="543"/>
      <c r="E78" s="543"/>
      <c r="F78" s="513">
        <v>29.17</v>
      </c>
      <c r="G78" s="543"/>
      <c r="H78" s="543"/>
      <c r="I78" s="543"/>
      <c r="J78" s="542"/>
      <c r="K78" s="542"/>
      <c r="L78" s="542"/>
      <c r="M78" s="542"/>
      <c r="N78" s="544"/>
      <c r="O78" s="542"/>
      <c r="P78" s="542"/>
      <c r="Q78" s="542"/>
      <c r="R78" s="542"/>
      <c r="S78" s="542"/>
      <c r="T78" s="542"/>
      <c r="U78" s="542"/>
      <c r="V78" s="542"/>
      <c r="W78" s="542"/>
      <c r="X78" s="503">
        <f t="shared" si="9"/>
        <v>29.17</v>
      </c>
      <c r="Y78" s="257" t="s">
        <v>250</v>
      </c>
      <c r="Z78" s="545"/>
      <c r="AA78" s="502">
        <v>33</v>
      </c>
      <c r="AB78" s="544"/>
      <c r="AC78" s="546"/>
      <c r="AD78" s="541"/>
      <c r="AE78" s="547"/>
      <c r="AF78" s="548"/>
      <c r="AG78" s="546"/>
      <c r="AH78" s="67">
        <f t="shared" si="6"/>
        <v>9.626100000000001</v>
      </c>
      <c r="AI78" s="429"/>
      <c r="AJ78" s="549"/>
      <c r="AK78" s="549"/>
      <c r="AL78" s="549"/>
      <c r="AM78" s="549"/>
      <c r="AN78" s="549"/>
      <c r="AO78" s="549"/>
      <c r="AP78" s="549"/>
      <c r="AQ78" s="507">
        <f>X78*AA78/100+AE78*AA78%</f>
        <v>9.626100000000001</v>
      </c>
      <c r="AR78" s="52"/>
      <c r="AS78" s="52"/>
    </row>
    <row r="79" spans="1:45" ht="15.75" thickBot="1" x14ac:dyDescent="0.3">
      <c r="A79" s="541"/>
      <c r="B79" s="542"/>
      <c r="C79" s="543"/>
      <c r="D79" s="543"/>
      <c r="E79" s="543"/>
      <c r="F79" s="543"/>
      <c r="G79" s="513">
        <v>385.51</v>
      </c>
      <c r="H79" s="513">
        <v>0.27</v>
      </c>
      <c r="I79" s="543"/>
      <c r="J79" s="542"/>
      <c r="K79" s="542"/>
      <c r="L79" s="542"/>
      <c r="M79" s="542"/>
      <c r="N79" s="544"/>
      <c r="O79" s="542"/>
      <c r="P79" s="542"/>
      <c r="Q79" s="542"/>
      <c r="R79" s="542"/>
      <c r="S79" s="542"/>
      <c r="T79" s="542"/>
      <c r="U79" s="542"/>
      <c r="V79" s="542"/>
      <c r="W79" s="542"/>
      <c r="X79" s="503">
        <f t="shared" si="9"/>
        <v>385.78</v>
      </c>
      <c r="Y79" s="257" t="s">
        <v>252</v>
      </c>
      <c r="Z79" s="545"/>
      <c r="AA79" s="502">
        <v>33</v>
      </c>
      <c r="AB79" s="544"/>
      <c r="AC79" s="546"/>
      <c r="AD79" s="550"/>
      <c r="AE79" s="551"/>
      <c r="AF79" s="548"/>
      <c r="AG79" s="546"/>
      <c r="AH79" s="67">
        <f t="shared" si="6"/>
        <v>127.3074</v>
      </c>
      <c r="AI79" s="429"/>
      <c r="AJ79" s="549"/>
      <c r="AK79" s="549"/>
      <c r="AL79" s="549"/>
      <c r="AM79" s="549"/>
      <c r="AN79" s="549"/>
      <c r="AO79" s="549"/>
      <c r="AP79" s="549"/>
      <c r="AQ79" s="507">
        <f>X79*AA79/100</f>
        <v>127.3074</v>
      </c>
      <c r="AR79" s="52"/>
      <c r="AS79" s="52"/>
    </row>
    <row r="80" spans="1:45" ht="15.75" thickBot="1" x14ac:dyDescent="0.3">
      <c r="A80" s="541"/>
      <c r="B80" s="542"/>
      <c r="C80" s="543"/>
      <c r="D80" s="513">
        <v>0</v>
      </c>
      <c r="E80" s="543"/>
      <c r="F80" s="513">
        <v>54.99</v>
      </c>
      <c r="G80" s="543"/>
      <c r="H80" s="543"/>
      <c r="I80" s="543"/>
      <c r="J80" s="542"/>
      <c r="K80" s="542"/>
      <c r="L80" s="542"/>
      <c r="M80" s="542"/>
      <c r="N80" s="544"/>
      <c r="O80" s="542"/>
      <c r="P80" s="542"/>
      <c r="Q80" s="542"/>
      <c r="R80" s="542"/>
      <c r="S80" s="542"/>
      <c r="T80" s="542"/>
      <c r="U80" s="542"/>
      <c r="V80" s="542"/>
      <c r="W80" s="542"/>
      <c r="X80" s="547">
        <f t="shared" si="9"/>
        <v>54.99</v>
      </c>
      <c r="Y80" s="258" t="s">
        <v>254</v>
      </c>
      <c r="Z80" s="552"/>
      <c r="AA80" s="502">
        <v>33</v>
      </c>
      <c r="AB80" s="553"/>
      <c r="AC80" s="554"/>
      <c r="AD80" s="552"/>
      <c r="AE80" s="554"/>
      <c r="AF80" s="552"/>
      <c r="AG80" s="554"/>
      <c r="AH80" s="71">
        <f t="shared" si="6"/>
        <v>18.146699999999999</v>
      </c>
      <c r="AI80" s="555"/>
      <c r="AJ80" s="556"/>
      <c r="AK80" s="556"/>
      <c r="AL80" s="556"/>
      <c r="AM80" s="556"/>
      <c r="AN80" s="556"/>
      <c r="AO80" s="556"/>
      <c r="AP80" s="556"/>
      <c r="AQ80" s="507">
        <f>X80*AA80/100</f>
        <v>18.146699999999999</v>
      </c>
      <c r="AR80" s="52"/>
      <c r="AS80" s="52"/>
    </row>
    <row r="81" spans="1:51" ht="15.75" thickBot="1" x14ac:dyDescent="0.3">
      <c r="A81" s="557">
        <f>SUM(A8:A80)</f>
        <v>615.98219800377046</v>
      </c>
      <c r="B81" s="558">
        <f t="shared" ref="B81:W81" si="10">SUM(B8:B80)</f>
        <v>22.25</v>
      </c>
      <c r="C81" s="558">
        <f t="shared" si="10"/>
        <v>0</v>
      </c>
      <c r="D81" s="558">
        <f t="shared" si="10"/>
        <v>0</v>
      </c>
      <c r="E81" s="558">
        <f t="shared" si="10"/>
        <v>79.097200000000001</v>
      </c>
      <c r="F81" s="558">
        <f t="shared" si="10"/>
        <v>1014.5151099999999</v>
      </c>
      <c r="G81" s="558">
        <f t="shared" si="10"/>
        <v>385.51</v>
      </c>
      <c r="H81" s="558">
        <f t="shared" si="10"/>
        <v>524.87690999999995</v>
      </c>
      <c r="I81" s="558">
        <f t="shared" si="10"/>
        <v>2553.4</v>
      </c>
      <c r="J81" s="558">
        <f t="shared" si="10"/>
        <v>80</v>
      </c>
      <c r="K81" s="558">
        <f t="shared" si="10"/>
        <v>0</v>
      </c>
      <c r="L81" s="558">
        <f t="shared" si="10"/>
        <v>21.76</v>
      </c>
      <c r="M81" s="558">
        <f t="shared" si="10"/>
        <v>0</v>
      </c>
      <c r="N81" s="558">
        <f t="shared" si="10"/>
        <v>-0.4</v>
      </c>
      <c r="O81" s="558">
        <f t="shared" si="10"/>
        <v>0</v>
      </c>
      <c r="P81" s="558">
        <f t="shared" si="10"/>
        <v>83.147980000000004</v>
      </c>
      <c r="Q81" s="558">
        <f t="shared" si="10"/>
        <v>20</v>
      </c>
      <c r="R81" s="558">
        <f t="shared" si="10"/>
        <v>934</v>
      </c>
      <c r="S81" s="558">
        <f t="shared" si="10"/>
        <v>95.642200000000003</v>
      </c>
      <c r="T81" s="558">
        <f t="shared" si="10"/>
        <v>0</v>
      </c>
      <c r="U81" s="558">
        <f t="shared" si="10"/>
        <v>264.50126999999998</v>
      </c>
      <c r="V81" s="558">
        <f t="shared" si="10"/>
        <v>13.673999999999999</v>
      </c>
      <c r="W81" s="558">
        <f t="shared" si="10"/>
        <v>216.41012999999998</v>
      </c>
      <c r="X81" s="559">
        <f>SUM(X8:X80)</f>
        <v>6924.3669980037703</v>
      </c>
      <c r="Y81" s="72" t="s">
        <v>464</v>
      </c>
      <c r="Z81" s="560"/>
      <c r="AA81" s="560"/>
      <c r="AB81" s="560"/>
      <c r="AC81" s="560"/>
      <c r="AD81" s="557">
        <f t="shared" ref="AD81:AQ81" si="11">SUM(AD8:AD80)</f>
        <v>-2.8421709430404007E-14</v>
      </c>
      <c r="AE81" s="559">
        <f t="shared" si="11"/>
        <v>1313.451618062983</v>
      </c>
      <c r="AF81" s="557">
        <f t="shared" si="11"/>
        <v>0</v>
      </c>
      <c r="AG81" s="559">
        <f t="shared" si="11"/>
        <v>1592.2506154800003</v>
      </c>
      <c r="AH81" s="72">
        <f t="shared" si="11"/>
        <v>4213.5930154799998</v>
      </c>
      <c r="AI81" s="561">
        <f t="shared" si="11"/>
        <v>1467.4761506774798</v>
      </c>
      <c r="AJ81" s="558">
        <f t="shared" si="11"/>
        <v>261.83281093252003</v>
      </c>
      <c r="AK81" s="558">
        <f t="shared" si="11"/>
        <v>272.76933185884002</v>
      </c>
      <c r="AL81" s="558">
        <f t="shared" si="11"/>
        <v>179.25754308360001</v>
      </c>
      <c r="AM81" s="558">
        <f t="shared" si="11"/>
        <v>4.5</v>
      </c>
      <c r="AN81" s="558">
        <f t="shared" si="11"/>
        <v>1447.0674196953601</v>
      </c>
      <c r="AO81" s="558">
        <f t="shared" si="11"/>
        <v>24.283759232200001</v>
      </c>
      <c r="AP81" s="558">
        <f t="shared" si="11"/>
        <v>19.220299999999998</v>
      </c>
      <c r="AQ81" s="559">
        <f t="shared" si="11"/>
        <v>537.18570000000011</v>
      </c>
      <c r="AR81" s="52"/>
      <c r="AS81" s="52"/>
    </row>
    <row r="82" spans="1:51" x14ac:dyDescent="0.25">
      <c r="A82" s="522">
        <f>A81*A89/1000</f>
        <v>68.324745402578216</v>
      </c>
      <c r="B82" s="518">
        <f t="shared" ref="B82:V82" si="12">B81*B89/1000</f>
        <v>1.4039750000000002</v>
      </c>
      <c r="C82" s="518">
        <f t="shared" si="12"/>
        <v>0</v>
      </c>
      <c r="D82" s="518">
        <f t="shared" si="12"/>
        <v>0</v>
      </c>
      <c r="E82" s="518">
        <f t="shared" si="12"/>
        <v>5.8531927999999995</v>
      </c>
      <c r="F82" s="518">
        <f t="shared" si="12"/>
        <v>75.074118139999996</v>
      </c>
      <c r="G82" s="518">
        <f t="shared" si="12"/>
        <v>27.756720000000001</v>
      </c>
      <c r="H82" s="518">
        <f t="shared" si="12"/>
        <v>38.316014429999996</v>
      </c>
      <c r="I82" s="518">
        <f t="shared" si="12"/>
        <v>145.5438</v>
      </c>
      <c r="J82" s="518">
        <f t="shared" si="12"/>
        <v>0</v>
      </c>
      <c r="K82" s="518">
        <f t="shared" si="12"/>
        <v>0</v>
      </c>
      <c r="L82" s="518">
        <f t="shared" si="12"/>
        <v>0</v>
      </c>
      <c r="M82" s="518">
        <f t="shared" si="12"/>
        <v>0</v>
      </c>
      <c r="N82" s="518">
        <v>0</v>
      </c>
      <c r="O82" s="518">
        <f t="shared" si="12"/>
        <v>0</v>
      </c>
      <c r="P82" s="518">
        <f t="shared" si="12"/>
        <v>0</v>
      </c>
      <c r="Q82" s="518">
        <f t="shared" si="12"/>
        <v>0</v>
      </c>
      <c r="R82" s="518">
        <f t="shared" si="12"/>
        <v>0</v>
      </c>
      <c r="S82" s="518">
        <f>S81*S89/1000</f>
        <v>0</v>
      </c>
      <c r="T82" s="518">
        <f t="shared" si="12"/>
        <v>0</v>
      </c>
      <c r="U82" s="518">
        <f t="shared" si="12"/>
        <v>0</v>
      </c>
      <c r="V82" s="518">
        <f t="shared" si="12"/>
        <v>0</v>
      </c>
      <c r="W82" s="518">
        <f>W81*W89/1000</f>
        <v>17.793240888599996</v>
      </c>
      <c r="X82" s="521">
        <f>SUM(A82:W82)</f>
        <v>380.06580666117821</v>
      </c>
      <c r="Y82" s="73" t="s">
        <v>551</v>
      </c>
      <c r="Z82" s="562">
        <f>X82*1000/D1</f>
        <v>7.4716090009667813</v>
      </c>
      <c r="AA82" s="563" t="s">
        <v>465</v>
      </c>
      <c r="AB82" s="563"/>
      <c r="AC82" s="564"/>
      <c r="AD82" s="565"/>
      <c r="AE82" s="565"/>
      <c r="AF82" s="565"/>
      <c r="AG82" s="565"/>
      <c r="AH82" s="565"/>
      <c r="AI82" s="565"/>
      <c r="AJ82" s="565"/>
      <c r="AK82" s="565"/>
      <c r="AL82" s="566"/>
      <c r="AM82" s="566"/>
      <c r="AN82" s="566"/>
      <c r="AO82" s="566"/>
      <c r="AP82" s="566"/>
      <c r="AQ82" s="566"/>
      <c r="AR82" s="52"/>
      <c r="AS82" s="52"/>
      <c r="AT82" s="137"/>
      <c r="AU82" s="137"/>
      <c r="AV82" s="137"/>
      <c r="AW82" s="137"/>
      <c r="AX82" s="137"/>
      <c r="AY82" s="137"/>
    </row>
    <row r="83" spans="1:51" x14ac:dyDescent="0.25">
      <c r="A83" s="504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13">
        <v>229.66365161464361</v>
      </c>
      <c r="P83" s="513">
        <v>674.58061439999994</v>
      </c>
      <c r="Q83" s="513">
        <v>690.99633108414662</v>
      </c>
      <c r="R83" s="513">
        <v>438.65263353147589</v>
      </c>
      <c r="S83" s="502"/>
      <c r="T83" s="502"/>
      <c r="U83" s="502"/>
      <c r="V83" s="502"/>
      <c r="W83" s="502"/>
      <c r="X83" s="505">
        <f>SUM(A83:W83)</f>
        <v>2033.8932306302661</v>
      </c>
      <c r="Y83" s="67" t="s">
        <v>466</v>
      </c>
      <c r="Z83" s="567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23.770685099055012</v>
      </c>
      <c r="AA83" s="74" t="s">
        <v>550</v>
      </c>
      <c r="AB83" s="74"/>
      <c r="AC83" s="568"/>
      <c r="AD83" s="565"/>
      <c r="AE83" s="565"/>
      <c r="AF83" s="565"/>
      <c r="AG83" s="565"/>
      <c r="AH83" s="565"/>
      <c r="AI83" s="565"/>
      <c r="AJ83" s="565"/>
      <c r="AK83" s="565"/>
      <c r="AL83" s="566"/>
      <c r="AM83" s="566"/>
      <c r="AN83" s="566"/>
      <c r="AO83" s="566"/>
      <c r="AP83" s="566"/>
      <c r="AQ83" s="566"/>
      <c r="AR83" s="52"/>
      <c r="AS83" s="52"/>
      <c r="AT83" s="137"/>
      <c r="AU83" s="137"/>
      <c r="AV83" s="137"/>
      <c r="AW83" s="137"/>
      <c r="AX83" s="137"/>
      <c r="AY83" s="137"/>
    </row>
    <row r="84" spans="1:51" ht="15.75" thickBot="1" x14ac:dyDescent="0.3">
      <c r="A84" s="552"/>
      <c r="B84" s="553"/>
      <c r="C84" s="553"/>
      <c r="D84" s="553"/>
      <c r="E84" s="553"/>
      <c r="F84" s="553"/>
      <c r="G84" s="553"/>
      <c r="H84" s="553"/>
      <c r="I84" s="553"/>
      <c r="J84" s="553" t="str">
        <f>IF(J83&gt;0,J81/J83*100,"")</f>
        <v/>
      </c>
      <c r="K84" s="553" t="str">
        <f t="shared" ref="K84:W84" si="13">IF(K83&gt;0,K81/K83*100,"")</f>
        <v/>
      </c>
      <c r="L84" s="553" t="str">
        <f t="shared" si="13"/>
        <v/>
      </c>
      <c r="M84" s="553" t="str">
        <f t="shared" si="13"/>
        <v/>
      </c>
      <c r="N84" s="553" t="str">
        <f t="shared" si="13"/>
        <v/>
      </c>
      <c r="O84" s="553">
        <f t="shared" si="13"/>
        <v>0</v>
      </c>
      <c r="P84" s="553">
        <f>IF(P83&gt;0,P81/P83*100,"")</f>
        <v>12.325877474844912</v>
      </c>
      <c r="Q84" s="553">
        <f t="shared" si="13"/>
        <v>2.8943713736686227</v>
      </c>
      <c r="R84" s="553">
        <f t="shared" si="13"/>
        <v>212.9247446847894</v>
      </c>
      <c r="S84" s="553" t="str">
        <f t="shared" si="13"/>
        <v/>
      </c>
      <c r="T84" s="553" t="str">
        <f t="shared" si="13"/>
        <v/>
      </c>
      <c r="U84" s="553" t="str">
        <f t="shared" si="13"/>
        <v/>
      </c>
      <c r="V84" s="553" t="str">
        <f>IF(V83&gt;0,V81/V83*100,"")</f>
        <v/>
      </c>
      <c r="W84" s="553" t="str">
        <f t="shared" si="13"/>
        <v/>
      </c>
      <c r="X84" s="554">
        <f>SUMIF(J83:W83,"&gt;0",J81:W81)/SUM(J83:W83)%</f>
        <v>50.993236241737577</v>
      </c>
      <c r="Y84" s="71" t="s">
        <v>467</v>
      </c>
      <c r="Z84" s="569"/>
      <c r="AA84" s="253"/>
      <c r="AB84" s="253"/>
      <c r="AC84" s="570"/>
      <c r="AD84" s="565"/>
      <c r="AE84" s="565"/>
      <c r="AF84" s="565"/>
      <c r="AG84" s="565"/>
      <c r="AH84" s="565"/>
      <c r="AI84" s="565"/>
      <c r="AJ84" s="565"/>
      <c r="AK84" s="565"/>
      <c r="AL84" s="566"/>
      <c r="AM84" s="566"/>
      <c r="AN84" s="566"/>
      <c r="AO84" s="566"/>
      <c r="AP84" s="566"/>
      <c r="AQ84" s="566"/>
      <c r="AR84" s="52"/>
      <c r="AS84" s="52"/>
      <c r="AT84" s="137"/>
      <c r="AU84" s="137"/>
      <c r="AV84" s="137"/>
      <c r="AW84" s="137"/>
      <c r="AX84" s="137"/>
      <c r="AY84" s="137"/>
    </row>
    <row r="85" spans="1:51" ht="15.75" thickBot="1" x14ac:dyDescent="0.3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55"/>
      <c r="AB85" s="136"/>
      <c r="AC85" s="136"/>
      <c r="AD85" s="55"/>
      <c r="AE85" s="55"/>
      <c r="AF85" s="55"/>
      <c r="AG85" s="55"/>
      <c r="AH85" s="55"/>
      <c r="AI85" s="55"/>
      <c r="AJ85" s="55"/>
      <c r="AK85" s="55"/>
      <c r="AL85" s="136"/>
      <c r="AM85" s="136"/>
      <c r="AN85" s="136"/>
      <c r="AO85" s="136"/>
      <c r="AP85" s="136"/>
      <c r="AQ85" s="136"/>
      <c r="AR85" s="52"/>
      <c r="AS85" s="52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571" t="s">
        <v>468</v>
      </c>
      <c r="B86" s="798" t="str">
        <f t="shared" ref="B86:W86" si="14">B7</f>
        <v xml:space="preserve">  LPG og petroleum</v>
      </c>
      <c r="C86" s="798" t="str">
        <f t="shared" si="14"/>
        <v xml:space="preserve">  Kul</v>
      </c>
      <c r="D86" s="798" t="str">
        <f t="shared" si="14"/>
        <v xml:space="preserve">  Fuelolie</v>
      </c>
      <c r="E86" s="798" t="str">
        <f t="shared" si="14"/>
        <v xml:space="preserve">  Brændselsolie</v>
      </c>
      <c r="F86" s="798" t="str">
        <f t="shared" si="14"/>
        <v xml:space="preserve">  Dieselolie</v>
      </c>
      <c r="G86" s="798" t="str">
        <f t="shared" si="14"/>
        <v xml:space="preserve">  JP1</v>
      </c>
      <c r="H86" s="798" t="str">
        <f t="shared" si="14"/>
        <v xml:space="preserve">  Benzin</v>
      </c>
      <c r="I86" s="798" t="str">
        <f t="shared" si="14"/>
        <v xml:space="preserve">  Naturgas og raffinaderigas</v>
      </c>
      <c r="J86" s="798" t="str">
        <f t="shared" si="14"/>
        <v xml:space="preserve">  Vindenergi</v>
      </c>
      <c r="K86" s="798" t="str">
        <f t="shared" si="14"/>
        <v xml:space="preserve">  Vandenergi</v>
      </c>
      <c r="L86" s="798" t="str">
        <f t="shared" si="14"/>
        <v xml:space="preserve">  Solenergi</v>
      </c>
      <c r="M86" s="798" t="str">
        <f t="shared" si="14"/>
        <v xml:space="preserve">  Geotermi</v>
      </c>
      <c r="N86" s="798" t="str">
        <f t="shared" si="14"/>
        <v xml:space="preserve">  Varmekilder til varmepumper</v>
      </c>
      <c r="O86" s="798" t="str">
        <f t="shared" si="14"/>
        <v xml:space="preserve">  Husdyrsgødning</v>
      </c>
      <c r="P86" s="798" t="str">
        <f t="shared" si="14"/>
        <v xml:space="preserve">  Biobrændstof og energiafgrøder</v>
      </c>
      <c r="Q86" s="798" t="str">
        <f t="shared" si="14"/>
        <v xml:space="preserve">  Halm</v>
      </c>
      <c r="R86" s="798" t="str">
        <f t="shared" si="14"/>
        <v xml:space="preserve">  Brænde og træflis</v>
      </c>
      <c r="S86" s="798" t="str">
        <f t="shared" si="14"/>
        <v xml:space="preserve">  Træpiller og træaffald</v>
      </c>
      <c r="T86" s="798" t="str">
        <f t="shared" si="14"/>
        <v xml:space="preserve">  Organisk affald, industri</v>
      </c>
      <c r="U86" s="798" t="str">
        <f t="shared" si="14"/>
        <v xml:space="preserve">  Organisk affald, husholdninger</v>
      </c>
      <c r="V86" s="798" t="str">
        <f t="shared" si="14"/>
        <v xml:space="preserve">  Deponi, slam, renseanlæg</v>
      </c>
      <c r="W86" s="801" t="str">
        <f t="shared" si="14"/>
        <v xml:space="preserve">  Affald, ikke bionedbrydeligt</v>
      </c>
      <c r="X86" s="136"/>
      <c r="Y86" s="136"/>
      <c r="Z86" s="136"/>
      <c r="AA86" s="55"/>
      <c r="AB86" s="136"/>
      <c r="AC86" s="136"/>
      <c r="AD86" s="55"/>
      <c r="AE86" s="55"/>
      <c r="AF86" s="55"/>
      <c r="AG86" s="55"/>
      <c r="AH86" s="55"/>
      <c r="AI86" s="55"/>
      <c r="AJ86" s="55"/>
      <c r="AK86" s="55"/>
      <c r="AL86" s="136"/>
      <c r="AM86" s="136"/>
      <c r="AN86" s="136"/>
      <c r="AO86" s="136"/>
      <c r="AP86" s="136"/>
      <c r="AQ86" s="136"/>
      <c r="AR86" s="52"/>
      <c r="AS86" s="52"/>
      <c r="AT86" s="137"/>
      <c r="AU86" s="137"/>
      <c r="AV86" s="137"/>
      <c r="AW86" s="137"/>
      <c r="AX86" s="137"/>
      <c r="AY86" s="137"/>
    </row>
    <row r="87" spans="1:51" ht="24" x14ac:dyDescent="0.25">
      <c r="A87" s="572">
        <v>50</v>
      </c>
      <c r="B87" s="799"/>
      <c r="C87" s="799"/>
      <c r="D87" s="799"/>
      <c r="E87" s="799"/>
      <c r="F87" s="799"/>
      <c r="G87" s="799"/>
      <c r="H87" s="799"/>
      <c r="I87" s="799"/>
      <c r="J87" s="799"/>
      <c r="K87" s="799"/>
      <c r="L87" s="799"/>
      <c r="M87" s="799"/>
      <c r="N87" s="799"/>
      <c r="O87" s="799"/>
      <c r="P87" s="799"/>
      <c r="Q87" s="799"/>
      <c r="R87" s="799"/>
      <c r="S87" s="799"/>
      <c r="T87" s="799"/>
      <c r="U87" s="799"/>
      <c r="V87" s="799"/>
      <c r="W87" s="802"/>
      <c r="X87" s="136"/>
      <c r="Y87" s="136"/>
      <c r="Z87" s="136"/>
      <c r="AA87" s="55"/>
      <c r="AB87" s="136"/>
      <c r="AC87" s="136"/>
      <c r="AD87" s="55"/>
      <c r="AE87" s="55"/>
      <c r="AF87" s="55"/>
      <c r="AG87" s="55"/>
      <c r="AH87" s="55"/>
      <c r="AI87" s="55"/>
      <c r="AJ87" s="55"/>
      <c r="AK87" s="55"/>
      <c r="AL87" s="136"/>
      <c r="AM87" s="136"/>
      <c r="AN87" s="136"/>
      <c r="AO87" s="136"/>
      <c r="AP87" s="136"/>
      <c r="AQ87" s="136"/>
      <c r="AR87" s="52"/>
      <c r="AS87" s="52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573" t="s">
        <v>469</v>
      </c>
      <c r="B88" s="800"/>
      <c r="C88" s="800"/>
      <c r="D88" s="800"/>
      <c r="E88" s="800"/>
      <c r="F88" s="800"/>
      <c r="G88" s="800"/>
      <c r="H88" s="800"/>
      <c r="I88" s="800"/>
      <c r="J88" s="800"/>
      <c r="K88" s="800"/>
      <c r="L88" s="800"/>
      <c r="M88" s="800"/>
      <c r="N88" s="800"/>
      <c r="O88" s="800"/>
      <c r="P88" s="800"/>
      <c r="Q88" s="800"/>
      <c r="R88" s="800"/>
      <c r="S88" s="800"/>
      <c r="T88" s="800"/>
      <c r="U88" s="800"/>
      <c r="V88" s="800"/>
      <c r="W88" s="803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52"/>
      <c r="AS88" s="52"/>
      <c r="AT88" s="137"/>
      <c r="AU88" s="137"/>
      <c r="AV88" s="137"/>
      <c r="AW88" s="137"/>
      <c r="AX88" s="137"/>
      <c r="AY88" s="137"/>
    </row>
    <row r="89" spans="1:51" ht="15.75" thickBot="1" x14ac:dyDescent="0.3">
      <c r="A89" s="574">
        <v>110.92</v>
      </c>
      <c r="B89" s="575">
        <v>63.1</v>
      </c>
      <c r="C89" s="575">
        <v>94.95</v>
      </c>
      <c r="D89" s="575">
        <v>78.84</v>
      </c>
      <c r="E89" s="575">
        <v>74</v>
      </c>
      <c r="F89" s="575">
        <v>74</v>
      </c>
      <c r="G89" s="575">
        <v>72</v>
      </c>
      <c r="H89" s="575">
        <v>73</v>
      </c>
      <c r="I89" s="575">
        <v>57</v>
      </c>
      <c r="J89" s="576"/>
      <c r="K89" s="576"/>
      <c r="L89" s="576"/>
      <c r="M89" s="576"/>
      <c r="N89" s="577"/>
      <c r="O89" s="576"/>
      <c r="P89" s="576"/>
      <c r="Q89" s="576"/>
      <c r="R89" s="576"/>
      <c r="S89" s="576"/>
      <c r="T89" s="576"/>
      <c r="U89" s="576"/>
      <c r="V89" s="577"/>
      <c r="W89" s="578">
        <v>82.22</v>
      </c>
      <c r="X89" s="75" t="s">
        <v>470</v>
      </c>
      <c r="Y89" s="579"/>
      <c r="Z89" s="580"/>
      <c r="AA89" s="580"/>
      <c r="AB89" s="580"/>
      <c r="AC89" s="580"/>
      <c r="AD89" s="580"/>
      <c r="AE89" s="580"/>
      <c r="AF89" s="580"/>
      <c r="AG89" s="580"/>
      <c r="AH89" s="580"/>
      <c r="AI89" s="580"/>
      <c r="AJ89" s="580"/>
      <c r="AK89" s="580"/>
      <c r="AL89" s="580"/>
      <c r="AM89" s="580"/>
      <c r="AN89" s="580"/>
      <c r="AO89" s="580"/>
      <c r="AP89" s="580"/>
      <c r="AQ89" s="580"/>
      <c r="AR89" s="229"/>
      <c r="AS89" s="229"/>
      <c r="AT89" s="140"/>
      <c r="AU89" s="140"/>
      <c r="AV89" s="140"/>
      <c r="AW89" s="140"/>
      <c r="AX89" s="140"/>
      <c r="AY89" s="140"/>
    </row>
    <row r="90" spans="1:51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52"/>
      <c r="AT90" s="137"/>
      <c r="AU90" s="137"/>
      <c r="AV90" s="137"/>
      <c r="AW90" s="137"/>
      <c r="AX90" s="137"/>
      <c r="AY90" s="137"/>
    </row>
    <row r="91" spans="1:51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68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137"/>
      <c r="AU91" s="137"/>
      <c r="AV91" s="137"/>
      <c r="AW91" s="137"/>
      <c r="AX91" s="137"/>
      <c r="AY91" s="137"/>
    </row>
    <row r="92" spans="1:51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166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137"/>
      <c r="AU92" s="137"/>
      <c r="AV92" s="137"/>
      <c r="AW92" s="137"/>
      <c r="AX92" s="137"/>
      <c r="AY92" s="137"/>
    </row>
    <row r="93" spans="1:51" ht="20.25" x14ac:dyDescent="0.3">
      <c r="A93" s="141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165"/>
      <c r="Y93" s="581"/>
      <c r="Z93" s="165"/>
      <c r="AA93" s="165"/>
      <c r="AB93" s="165"/>
      <c r="AC93" s="165"/>
      <c r="AD93" s="165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137"/>
      <c r="AU93" s="137"/>
      <c r="AV93" s="137"/>
      <c r="AW93" s="137"/>
      <c r="AX93" s="137"/>
      <c r="AY93" s="137"/>
    </row>
    <row r="94" spans="1:51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165"/>
      <c r="Y94" s="165"/>
      <c r="Z94" s="165"/>
      <c r="AA94" s="165"/>
      <c r="AB94" s="165"/>
      <c r="AC94" s="165"/>
      <c r="AD94" s="165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137"/>
      <c r="AU94" s="137"/>
      <c r="AV94" s="137"/>
      <c r="AW94" s="137"/>
      <c r="AX94" s="137"/>
      <c r="AY94" s="137"/>
    </row>
    <row r="95" spans="1:51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165"/>
      <c r="Y95" s="581"/>
      <c r="Z95" s="165"/>
      <c r="AA95" s="165"/>
      <c r="AB95" s="165"/>
      <c r="AC95" s="165"/>
      <c r="AD95" s="165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137"/>
      <c r="AU95" s="137"/>
      <c r="AV95" s="137"/>
      <c r="AW95" s="137"/>
      <c r="AX95" s="137"/>
      <c r="AY95" s="137"/>
    </row>
    <row r="96" spans="1:51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165"/>
      <c r="Y96" s="581"/>
      <c r="Z96" s="165"/>
      <c r="AA96" s="165"/>
      <c r="AB96" s="165"/>
      <c r="AC96" s="165"/>
      <c r="AD96" s="165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1:45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165"/>
      <c r="Y97" s="165"/>
      <c r="Z97" s="165"/>
      <c r="AA97" s="165"/>
      <c r="AB97" s="165"/>
      <c r="AC97" s="165"/>
      <c r="AD97" s="165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</row>
    <row r="98" spans="1:45" x14ac:dyDescent="0.25">
      <c r="A98" s="332"/>
      <c r="B98" s="332"/>
      <c r="C98" s="332"/>
      <c r="D98" s="332"/>
      <c r="E98" s="332"/>
      <c r="F98" s="332"/>
      <c r="G98" s="332"/>
      <c r="H98" s="332"/>
      <c r="I98" s="332"/>
      <c r="J98" s="332"/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2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32"/>
      <c r="AL98" s="332"/>
      <c r="AM98" s="332"/>
      <c r="AN98" s="332"/>
      <c r="AO98" s="332"/>
      <c r="AP98" s="332"/>
      <c r="AQ98" s="332"/>
      <c r="AR98" s="332"/>
      <c r="AS98" s="332"/>
    </row>
    <row r="99" spans="1:45" x14ac:dyDescent="0.25">
      <c r="A99" s="332"/>
      <c r="B99" s="332"/>
      <c r="C99" s="332"/>
      <c r="D99" s="332"/>
      <c r="E99" s="332"/>
      <c r="F99" s="332"/>
      <c r="G99" s="332"/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2"/>
      <c r="AH99" s="332"/>
      <c r="AI99" s="332"/>
      <c r="AJ99" s="332"/>
      <c r="AK99" s="332"/>
      <c r="AL99" s="332"/>
      <c r="AM99" s="332"/>
      <c r="AN99" s="332"/>
      <c r="AO99" s="332"/>
      <c r="AP99" s="332"/>
      <c r="AQ99" s="332"/>
      <c r="AR99" s="332"/>
      <c r="AS99" s="332"/>
    </row>
    <row r="100" spans="1:45" x14ac:dyDescent="0.25">
      <c r="A100" s="332"/>
      <c r="B100" s="332"/>
      <c r="C100" s="332"/>
      <c r="D100" s="332"/>
      <c r="E100" s="332"/>
      <c r="F100" s="332"/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2"/>
      <c r="AH100" s="332"/>
      <c r="AI100" s="332"/>
      <c r="AJ100" s="332"/>
      <c r="AK100" s="332"/>
      <c r="AL100" s="332"/>
      <c r="AM100" s="332"/>
      <c r="AN100" s="332"/>
      <c r="AO100" s="332"/>
      <c r="AP100" s="332"/>
      <c r="AQ100" s="332"/>
      <c r="AR100" s="332"/>
      <c r="AS100" s="332"/>
    </row>
    <row r="101" spans="1:45" x14ac:dyDescent="0.25">
      <c r="A101" s="332"/>
      <c r="B101" s="332"/>
      <c r="C101" s="332"/>
      <c r="D101" s="332"/>
      <c r="E101" s="332"/>
      <c r="F101" s="332"/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  <c r="AS101" s="332"/>
    </row>
    <row r="117" spans="2:2" x14ac:dyDescent="0.25">
      <c r="B117" s="231" t="e">
        <f>' Plan Energi 2019'!AD</f>
        <v>#NAME?</v>
      </c>
    </row>
  </sheetData>
  <mergeCells count="30">
    <mergeCell ref="D1:E1"/>
    <mergeCell ref="Y1:Y2"/>
    <mergeCell ref="Y3:Y4"/>
    <mergeCell ref="A6:X6"/>
    <mergeCell ref="Z6:AC6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</mergeCells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Y117"/>
  <sheetViews>
    <sheetView zoomScale="78" zoomScaleNormal="78" workbookViewId="0">
      <selection sqref="A1:AS101"/>
    </sheetView>
  </sheetViews>
  <sheetFormatPr defaultRowHeight="15" x14ac:dyDescent="0.25"/>
  <cols>
    <col min="1" max="24" width="9.140625" style="231"/>
    <col min="25" max="25" width="49.5703125" style="231" customWidth="1"/>
    <col min="26" max="29" width="9.140625" style="231"/>
    <col min="30" max="30" width="12.42578125" style="231" customWidth="1"/>
    <col min="31" max="16384" width="9.140625" style="231"/>
  </cols>
  <sheetData>
    <row r="1" spans="1:45" ht="23.25" x14ac:dyDescent="0.25">
      <c r="A1" s="50" t="s">
        <v>433</v>
      </c>
      <c r="B1" s="160"/>
      <c r="C1" s="160"/>
      <c r="D1" s="804">
        <v>50868</v>
      </c>
      <c r="E1" s="805"/>
      <c r="F1" s="161"/>
      <c r="G1" s="161"/>
      <c r="H1" s="161"/>
      <c r="I1" s="161"/>
      <c r="J1" s="165"/>
      <c r="K1" s="161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51"/>
      <c r="W1" s="51"/>
      <c r="X1" s="51"/>
      <c r="Y1" s="806" t="s">
        <v>434</v>
      </c>
      <c r="Z1" s="51"/>
      <c r="AA1" s="51"/>
      <c r="AB1" s="51"/>
      <c r="AC1" s="51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52"/>
      <c r="AS1" s="52"/>
    </row>
    <row r="2" spans="1:45" ht="23.25" x14ac:dyDescent="0.25">
      <c r="A2" s="53" t="s">
        <v>435</v>
      </c>
      <c r="B2" s="161"/>
      <c r="C2" s="161"/>
      <c r="D2" s="497">
        <v>91.84</v>
      </c>
      <c r="E2" s="54" t="s">
        <v>436</v>
      </c>
      <c r="F2" s="55"/>
      <c r="G2" s="161"/>
      <c r="H2" s="498"/>
      <c r="I2" s="498"/>
      <c r="J2" s="498"/>
      <c r="K2" s="498"/>
      <c r="L2" s="387"/>
      <c r="M2" s="387"/>
      <c r="N2" s="166"/>
      <c r="O2" s="166"/>
      <c r="P2" s="166"/>
      <c r="Q2" s="166"/>
      <c r="R2" s="166"/>
      <c r="S2" s="166"/>
      <c r="T2" s="166"/>
      <c r="U2" s="166"/>
      <c r="V2" s="51"/>
      <c r="W2" s="51"/>
      <c r="X2" s="51"/>
      <c r="Y2" s="806"/>
      <c r="Z2" s="51"/>
      <c r="AA2" s="51"/>
      <c r="AB2" s="51"/>
      <c r="AC2" s="51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52"/>
      <c r="AS2" s="52"/>
    </row>
    <row r="3" spans="1:45" ht="24" customHeight="1" thickBot="1" x14ac:dyDescent="0.3">
      <c r="A3" s="56" t="s">
        <v>437</v>
      </c>
      <c r="B3" s="163"/>
      <c r="C3" s="57"/>
      <c r="D3" s="163" t="s">
        <v>438</v>
      </c>
      <c r="E3" s="164"/>
      <c r="F3" s="161"/>
      <c r="G3" s="161"/>
      <c r="H3" s="499"/>
      <c r="I3" s="498"/>
      <c r="J3" s="498"/>
      <c r="K3" s="498"/>
      <c r="L3" s="387"/>
      <c r="M3" s="387"/>
      <c r="N3" s="166"/>
      <c r="O3" s="166"/>
      <c r="P3" s="166"/>
      <c r="Q3" s="166"/>
      <c r="R3" s="166"/>
      <c r="S3" s="166"/>
      <c r="T3" s="166"/>
      <c r="U3" s="166"/>
      <c r="V3" s="51"/>
      <c r="W3" s="51"/>
      <c r="X3" s="51"/>
      <c r="Y3" s="807" t="s">
        <v>789</v>
      </c>
      <c r="Z3" s="51"/>
      <c r="AA3" s="51"/>
      <c r="AB3" s="51"/>
      <c r="AC3" s="51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52"/>
      <c r="AS3" s="52"/>
    </row>
    <row r="4" spans="1:45" ht="23.25" customHeight="1" x14ac:dyDescent="0.25">
      <c r="A4" s="166"/>
      <c r="B4" s="166"/>
      <c r="C4" s="166"/>
      <c r="D4" s="166"/>
      <c r="E4" s="166"/>
      <c r="F4" s="166"/>
      <c r="G4" s="166"/>
      <c r="H4" s="387"/>
      <c r="I4" s="387"/>
      <c r="J4" s="387"/>
      <c r="K4" s="387"/>
      <c r="L4" s="387"/>
      <c r="M4" s="387"/>
      <c r="N4" s="166"/>
      <c r="O4" s="166"/>
      <c r="P4" s="166"/>
      <c r="Q4" s="166"/>
      <c r="R4" s="166"/>
      <c r="S4" s="166"/>
      <c r="T4" s="166"/>
      <c r="U4" s="166"/>
      <c r="V4" s="51"/>
      <c r="W4" s="51"/>
      <c r="X4" s="51"/>
      <c r="Y4" s="807"/>
      <c r="Z4" s="51"/>
      <c r="AA4" s="51"/>
      <c r="AB4" s="51"/>
      <c r="AC4" s="51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52"/>
      <c r="AS4" s="52"/>
    </row>
    <row r="5" spans="1:45" x14ac:dyDescent="0.25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52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52"/>
      <c r="AS5" s="52"/>
    </row>
    <row r="6" spans="1:45" ht="15.75" x14ac:dyDescent="0.25">
      <c r="A6" s="797" t="s">
        <v>439</v>
      </c>
      <c r="B6" s="797"/>
      <c r="C6" s="797"/>
      <c r="D6" s="797"/>
      <c r="E6" s="797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97"/>
      <c r="Q6" s="797"/>
      <c r="R6" s="797"/>
      <c r="S6" s="797"/>
      <c r="T6" s="797"/>
      <c r="U6" s="797"/>
      <c r="V6" s="797"/>
      <c r="W6" s="797"/>
      <c r="X6" s="797"/>
      <c r="Y6" s="385" t="s">
        <v>440</v>
      </c>
      <c r="Z6" s="797" t="s">
        <v>35</v>
      </c>
      <c r="AA6" s="797"/>
      <c r="AB6" s="797"/>
      <c r="AC6" s="797"/>
      <c r="AD6" s="797" t="s">
        <v>441</v>
      </c>
      <c r="AE6" s="797"/>
      <c r="AF6" s="797" t="s">
        <v>442</v>
      </c>
      <c r="AG6" s="797"/>
      <c r="AH6" s="58"/>
      <c r="AI6" s="797" t="s">
        <v>443</v>
      </c>
      <c r="AJ6" s="797"/>
      <c r="AK6" s="797"/>
      <c r="AL6" s="797"/>
      <c r="AM6" s="797"/>
      <c r="AN6" s="797"/>
      <c r="AO6" s="797"/>
      <c r="AP6" s="797"/>
      <c r="AQ6" s="797"/>
      <c r="AR6" s="52"/>
      <c r="AS6" s="52"/>
    </row>
    <row r="7" spans="1:45" ht="171.75" customHeight="1" thickBot="1" x14ac:dyDescent="0.65">
      <c r="A7" s="167" t="s">
        <v>378</v>
      </c>
      <c r="B7" s="168" t="s">
        <v>379</v>
      </c>
      <c r="C7" s="168" t="s">
        <v>380</v>
      </c>
      <c r="D7" s="168" t="s">
        <v>381</v>
      </c>
      <c r="E7" s="59" t="s">
        <v>383</v>
      </c>
      <c r="F7" s="168" t="s">
        <v>384</v>
      </c>
      <c r="G7" s="168" t="s">
        <v>385</v>
      </c>
      <c r="H7" s="59" t="s">
        <v>387</v>
      </c>
      <c r="I7" s="59" t="s">
        <v>790</v>
      </c>
      <c r="J7" s="59" t="s">
        <v>390</v>
      </c>
      <c r="K7" s="59" t="s">
        <v>392</v>
      </c>
      <c r="L7" s="59" t="s">
        <v>393</v>
      </c>
      <c r="M7" s="59" t="s">
        <v>394</v>
      </c>
      <c r="N7" s="59" t="s">
        <v>396</v>
      </c>
      <c r="O7" s="59" t="s">
        <v>397</v>
      </c>
      <c r="P7" s="59" t="s">
        <v>398</v>
      </c>
      <c r="Q7" s="59" t="s">
        <v>400</v>
      </c>
      <c r="R7" s="59" t="s">
        <v>401</v>
      </c>
      <c r="S7" s="59" t="s">
        <v>402</v>
      </c>
      <c r="T7" s="59" t="s">
        <v>403</v>
      </c>
      <c r="U7" s="59" t="s">
        <v>404</v>
      </c>
      <c r="V7" s="59" t="s">
        <v>405</v>
      </c>
      <c r="W7" s="59" t="s">
        <v>406</v>
      </c>
      <c r="X7" s="60" t="s">
        <v>444</v>
      </c>
      <c r="Y7" s="233"/>
      <c r="Z7" s="61" t="s">
        <v>445</v>
      </c>
      <c r="AA7" s="59" t="s">
        <v>446</v>
      </c>
      <c r="AB7" s="59" t="s">
        <v>447</v>
      </c>
      <c r="AC7" s="60" t="s">
        <v>448</v>
      </c>
      <c r="AD7" s="62" t="s">
        <v>449</v>
      </c>
      <c r="AE7" s="60" t="s">
        <v>450</v>
      </c>
      <c r="AF7" s="62" t="s">
        <v>449</v>
      </c>
      <c r="AG7" s="60" t="s">
        <v>450</v>
      </c>
      <c r="AH7" s="63" t="s">
        <v>451</v>
      </c>
      <c r="AI7" s="64" t="s">
        <v>452</v>
      </c>
      <c r="AJ7" s="59" t="s">
        <v>453</v>
      </c>
      <c r="AK7" s="59" t="s">
        <v>454</v>
      </c>
      <c r="AL7" s="59" t="s">
        <v>455</v>
      </c>
      <c r="AM7" s="59" t="s">
        <v>456</v>
      </c>
      <c r="AN7" s="59" t="s">
        <v>457</v>
      </c>
      <c r="AO7" s="65" t="s">
        <v>458</v>
      </c>
      <c r="AP7" s="65" t="s">
        <v>459</v>
      </c>
      <c r="AQ7" s="60" t="s">
        <v>460</v>
      </c>
      <c r="AR7" s="66"/>
      <c r="AS7" s="66"/>
    </row>
    <row r="8" spans="1:45" x14ac:dyDescent="0.25">
      <c r="A8" s="500"/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2"/>
      <c r="O8" s="501"/>
      <c r="P8" s="501"/>
      <c r="Q8" s="501"/>
      <c r="R8" s="501"/>
      <c r="S8" s="501"/>
      <c r="T8" s="501"/>
      <c r="U8" s="501"/>
      <c r="V8" s="501"/>
      <c r="W8" s="501"/>
      <c r="X8" s="503">
        <f t="shared" ref="X8:X71" si="0">SUM(A8:W8)</f>
        <v>0</v>
      </c>
      <c r="Y8" s="235" t="s">
        <v>307</v>
      </c>
      <c r="Z8" s="504"/>
      <c r="AA8" s="502">
        <v>44</v>
      </c>
      <c r="AB8" s="502"/>
      <c r="AC8" s="505"/>
      <c r="AD8" s="506">
        <f t="shared" ref="AD8:AD13" si="1">-AE8/$D$2%</f>
        <v>-39.594551789673744</v>
      </c>
      <c r="AE8" s="507">
        <f>AH8/AA8%</f>
        <v>36.363636363636367</v>
      </c>
      <c r="AF8" s="506"/>
      <c r="AG8" s="505"/>
      <c r="AH8" s="67">
        <f t="shared" ref="AH8:AH14" si="2">SUM(AI8:AQ8)</f>
        <v>16</v>
      </c>
      <c r="AI8" s="508">
        <v>16</v>
      </c>
      <c r="AJ8" s="138"/>
      <c r="AK8" s="138"/>
      <c r="AL8" s="138"/>
      <c r="AM8" s="138"/>
      <c r="AN8" s="138"/>
      <c r="AO8" s="138"/>
      <c r="AP8" s="138"/>
      <c r="AQ8" s="509"/>
      <c r="AR8" s="52"/>
      <c r="AS8" s="52"/>
    </row>
    <row r="9" spans="1:45" x14ac:dyDescent="0.25">
      <c r="A9" s="500"/>
      <c r="B9" s="501"/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502"/>
      <c r="O9" s="501"/>
      <c r="P9" s="501"/>
      <c r="Q9" s="501"/>
      <c r="R9" s="501"/>
      <c r="S9" s="501"/>
      <c r="T9" s="501"/>
      <c r="U9" s="501"/>
      <c r="V9" s="501"/>
      <c r="W9" s="501"/>
      <c r="X9" s="503">
        <f t="shared" si="0"/>
        <v>0</v>
      </c>
      <c r="Y9" s="235" t="s">
        <v>314</v>
      </c>
      <c r="Z9" s="504"/>
      <c r="AA9" s="502"/>
      <c r="AB9" s="502">
        <v>90</v>
      </c>
      <c r="AC9" s="505"/>
      <c r="AD9" s="506">
        <f t="shared" si="1"/>
        <v>-5.2022841656988001</v>
      </c>
      <c r="AE9" s="507">
        <f>AH9/AB9%</f>
        <v>4.7777777777777777</v>
      </c>
      <c r="AF9" s="506"/>
      <c r="AG9" s="505"/>
      <c r="AH9" s="67">
        <f t="shared" si="2"/>
        <v>4.3</v>
      </c>
      <c r="AI9" s="510">
        <v>4.3</v>
      </c>
      <c r="AJ9" s="510"/>
      <c r="AK9" s="138"/>
      <c r="AL9" s="138"/>
      <c r="AM9" s="138"/>
      <c r="AN9" s="138"/>
      <c r="AO9" s="138"/>
      <c r="AP9" s="138"/>
      <c r="AQ9" s="509"/>
      <c r="AR9" s="52"/>
      <c r="AS9" s="52"/>
    </row>
    <row r="10" spans="1:45" x14ac:dyDescent="0.25">
      <c r="A10" s="500"/>
      <c r="B10" s="501"/>
      <c r="C10" s="501"/>
      <c r="D10" s="501"/>
      <c r="E10" s="501"/>
      <c r="F10" s="501"/>
      <c r="G10" s="501"/>
      <c r="H10" s="501"/>
      <c r="I10" s="501"/>
      <c r="J10" s="501"/>
      <c r="K10" s="501"/>
      <c r="L10" s="501"/>
      <c r="M10" s="501"/>
      <c r="N10" s="502"/>
      <c r="O10" s="501"/>
      <c r="P10" s="501"/>
      <c r="Q10" s="501"/>
      <c r="R10" s="501"/>
      <c r="S10" s="501"/>
      <c r="T10" s="501"/>
      <c r="U10" s="501"/>
      <c r="V10" s="501"/>
      <c r="W10" s="501"/>
      <c r="X10" s="503">
        <f t="shared" si="0"/>
        <v>0</v>
      </c>
      <c r="Y10" s="235" t="s">
        <v>316</v>
      </c>
      <c r="Z10" s="504"/>
      <c r="AA10" s="502"/>
      <c r="AB10" s="502">
        <v>100</v>
      </c>
      <c r="AC10" s="505"/>
      <c r="AD10" s="506">
        <f t="shared" si="1"/>
        <v>-21.994773519163761</v>
      </c>
      <c r="AE10" s="507">
        <f>AH10/AB10%</f>
        <v>20.2</v>
      </c>
      <c r="AF10" s="506"/>
      <c r="AG10" s="505"/>
      <c r="AH10" s="67">
        <f t="shared" si="2"/>
        <v>20.2</v>
      </c>
      <c r="AI10" s="510">
        <v>20.2</v>
      </c>
      <c r="AJ10" s="138"/>
      <c r="AK10" s="138"/>
      <c r="AL10" s="138"/>
      <c r="AM10" s="138"/>
      <c r="AN10" s="138"/>
      <c r="AO10" s="138"/>
      <c r="AP10" s="138"/>
      <c r="AQ10" s="509"/>
      <c r="AR10" s="52"/>
      <c r="AS10" s="52"/>
    </row>
    <row r="11" spans="1:45" x14ac:dyDescent="0.25">
      <c r="A11" s="500"/>
      <c r="B11" s="501"/>
      <c r="C11" s="501"/>
      <c r="D11" s="501"/>
      <c r="E11" s="501"/>
      <c r="F11" s="501"/>
      <c r="G11" s="501"/>
      <c r="H11" s="501"/>
      <c r="I11" s="501"/>
      <c r="J11" s="501"/>
      <c r="K11" s="501"/>
      <c r="L11" s="501"/>
      <c r="M11" s="501"/>
      <c r="N11" s="502"/>
      <c r="O11" s="501"/>
      <c r="P11" s="501"/>
      <c r="Q11" s="501"/>
      <c r="R11" s="501"/>
      <c r="S11" s="501"/>
      <c r="T11" s="501"/>
      <c r="U11" s="501"/>
      <c r="V11" s="501"/>
      <c r="W11" s="501"/>
      <c r="X11" s="503">
        <f t="shared" si="0"/>
        <v>0</v>
      </c>
      <c r="Y11" s="235" t="s">
        <v>305</v>
      </c>
      <c r="Z11" s="504"/>
      <c r="AA11" s="502">
        <v>50</v>
      </c>
      <c r="AB11" s="502"/>
      <c r="AC11" s="505"/>
      <c r="AD11" s="506">
        <f t="shared" si="1"/>
        <v>-159.8432055749129</v>
      </c>
      <c r="AE11" s="507">
        <f>AH11/AA11%</f>
        <v>146.80000000000001</v>
      </c>
      <c r="AF11" s="506"/>
      <c r="AG11" s="505"/>
      <c r="AH11" s="67">
        <f t="shared" si="2"/>
        <v>73.400000000000006</v>
      </c>
      <c r="AI11" s="511">
        <v>18.2</v>
      </c>
      <c r="AJ11" s="482">
        <v>18.600000000000001</v>
      </c>
      <c r="AK11" s="482">
        <v>8.1</v>
      </c>
      <c r="AL11" s="482">
        <v>9</v>
      </c>
      <c r="AM11" s="482">
        <v>0.2</v>
      </c>
      <c r="AN11" s="482">
        <v>18.600000000000001</v>
      </c>
      <c r="AO11" s="482">
        <v>0</v>
      </c>
      <c r="AP11" s="482">
        <v>0.7</v>
      </c>
      <c r="AQ11" s="512"/>
      <c r="AR11" s="52"/>
      <c r="AS11" s="52"/>
    </row>
    <row r="12" spans="1:45" x14ac:dyDescent="0.25">
      <c r="A12" s="500"/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2"/>
      <c r="O12" s="501"/>
      <c r="P12" s="501"/>
      <c r="Q12" s="501"/>
      <c r="R12" s="501"/>
      <c r="S12" s="501"/>
      <c r="T12" s="501"/>
      <c r="U12" s="501"/>
      <c r="V12" s="501"/>
      <c r="W12" s="501"/>
      <c r="X12" s="503">
        <f t="shared" si="0"/>
        <v>0</v>
      </c>
      <c r="Y12" s="235" t="s">
        <v>309</v>
      </c>
      <c r="Z12" s="504"/>
      <c r="AA12" s="502">
        <v>150</v>
      </c>
      <c r="AB12" s="502"/>
      <c r="AC12" s="505"/>
      <c r="AD12" s="506">
        <f t="shared" si="1"/>
        <v>-143.00232288037168</v>
      </c>
      <c r="AE12" s="507">
        <f>AH12/AA12%</f>
        <v>131.33333333333334</v>
      </c>
      <c r="AF12" s="506"/>
      <c r="AG12" s="505"/>
      <c r="AH12" s="67">
        <f t="shared" si="2"/>
        <v>197</v>
      </c>
      <c r="AI12" s="510">
        <v>64.400000000000006</v>
      </c>
      <c r="AJ12" s="69">
        <v>0</v>
      </c>
      <c r="AK12" s="69">
        <v>27.1</v>
      </c>
      <c r="AL12" s="69">
        <v>30.1</v>
      </c>
      <c r="AM12" s="69">
        <v>0.6</v>
      </c>
      <c r="AN12" s="69">
        <v>74.400000000000006</v>
      </c>
      <c r="AO12" s="69">
        <v>0</v>
      </c>
      <c r="AP12" s="69">
        <v>0.4</v>
      </c>
      <c r="AQ12" s="507"/>
      <c r="AR12" s="52"/>
      <c r="AS12" s="52"/>
    </row>
    <row r="13" spans="1:45" x14ac:dyDescent="0.25">
      <c r="A13" s="500"/>
      <c r="B13" s="501"/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2"/>
      <c r="O13" s="501"/>
      <c r="P13" s="501"/>
      <c r="Q13" s="501"/>
      <c r="R13" s="501"/>
      <c r="S13" s="501"/>
      <c r="T13" s="501"/>
      <c r="U13" s="501"/>
      <c r="V13" s="501"/>
      <c r="W13" s="501"/>
      <c r="X13" s="503">
        <f>SUM(A13:W13)</f>
        <v>0</v>
      </c>
      <c r="Y13" s="235" t="s">
        <v>290</v>
      </c>
      <c r="Z13" s="504"/>
      <c r="AA13" s="502">
        <v>85</v>
      </c>
      <c r="AB13" s="502"/>
      <c r="AC13" s="505"/>
      <c r="AD13" s="506">
        <f t="shared" si="1"/>
        <v>-905.02664480426324</v>
      </c>
      <c r="AE13" s="507">
        <f>AH13/AA13%</f>
        <v>831.17647058823536</v>
      </c>
      <c r="AF13" s="506"/>
      <c r="AG13" s="505"/>
      <c r="AH13" s="67">
        <f t="shared" si="2"/>
        <v>706.5</v>
      </c>
      <c r="AI13" s="510">
        <v>101.1</v>
      </c>
      <c r="AJ13" s="69">
        <v>85.6</v>
      </c>
      <c r="AK13" s="69">
        <v>25.8</v>
      </c>
      <c r="AL13" s="69">
        <v>28.7</v>
      </c>
      <c r="AM13" s="69">
        <v>3.7</v>
      </c>
      <c r="AN13" s="69">
        <v>453.3</v>
      </c>
      <c r="AO13" s="69">
        <v>0.4</v>
      </c>
      <c r="AP13" s="69">
        <v>6.6</v>
      </c>
      <c r="AQ13" s="507">
        <v>1.3</v>
      </c>
      <c r="AR13" s="52"/>
      <c r="AS13" s="137"/>
    </row>
    <row r="14" spans="1:45" x14ac:dyDescent="0.25">
      <c r="A14" s="500"/>
      <c r="B14" s="501"/>
      <c r="C14" s="501"/>
      <c r="D14" s="501"/>
      <c r="E14" s="501"/>
      <c r="F14" s="501"/>
      <c r="G14" s="501"/>
      <c r="H14" s="501"/>
      <c r="I14" s="501"/>
      <c r="J14" s="501"/>
      <c r="K14" s="501"/>
      <c r="L14" s="501"/>
      <c r="M14" s="501"/>
      <c r="N14" s="513">
        <f>AH14-AE14</f>
        <v>-0.4</v>
      </c>
      <c r="O14" s="501"/>
      <c r="P14" s="501"/>
      <c r="Q14" s="501"/>
      <c r="R14" s="501"/>
      <c r="S14" s="501"/>
      <c r="T14" s="501"/>
      <c r="U14" s="501"/>
      <c r="V14" s="501"/>
      <c r="W14" s="501"/>
      <c r="X14" s="503">
        <f t="shared" si="0"/>
        <v>-0.4</v>
      </c>
      <c r="Y14" s="235" t="s">
        <v>344</v>
      </c>
      <c r="Z14" s="504"/>
      <c r="AA14" s="502"/>
      <c r="AB14" s="502">
        <v>300</v>
      </c>
      <c r="AC14" s="505"/>
      <c r="AD14" s="506">
        <f>-AE14/$D$2%</f>
        <v>-0.43554006968641118</v>
      </c>
      <c r="AE14" s="507">
        <f>0.1+0.3</f>
        <v>0.4</v>
      </c>
      <c r="AF14" s="506"/>
      <c r="AG14" s="505"/>
      <c r="AH14" s="67">
        <f t="shared" si="2"/>
        <v>0</v>
      </c>
      <c r="AI14" s="510"/>
      <c r="AJ14" s="69"/>
      <c r="AK14" s="69"/>
      <c r="AL14" s="69"/>
      <c r="AM14" s="69"/>
      <c r="AN14" s="69"/>
      <c r="AO14" s="69"/>
      <c r="AP14" s="69"/>
      <c r="AQ14" s="507"/>
      <c r="AR14" s="52"/>
      <c r="AS14" s="52"/>
    </row>
    <row r="15" spans="1:45" x14ac:dyDescent="0.25">
      <c r="A15" s="514">
        <f>Z15%*AD15</f>
        <v>615.98219800377046</v>
      </c>
      <c r="B15" s="501"/>
      <c r="C15" s="501"/>
      <c r="D15" s="501"/>
      <c r="E15" s="501"/>
      <c r="F15" s="501"/>
      <c r="G15" s="138"/>
      <c r="H15" s="138"/>
      <c r="I15" s="138"/>
      <c r="J15" s="138"/>
      <c r="K15" s="138"/>
      <c r="L15" s="501"/>
      <c r="M15" s="501"/>
      <c r="N15" s="502"/>
      <c r="O15" s="501"/>
      <c r="P15" s="501"/>
      <c r="Q15" s="501"/>
      <c r="R15" s="501"/>
      <c r="S15" s="501"/>
      <c r="T15" s="501"/>
      <c r="U15" s="501"/>
      <c r="V15" s="501"/>
      <c r="W15" s="501"/>
      <c r="X15" s="503">
        <f>SUM(A15:W15)</f>
        <v>615.98219800377046</v>
      </c>
      <c r="Y15" s="235" t="s">
        <v>461</v>
      </c>
      <c r="Z15" s="504">
        <v>100</v>
      </c>
      <c r="AA15" s="502"/>
      <c r="AB15" s="502"/>
      <c r="AC15" s="505"/>
      <c r="AD15" s="506">
        <f>-SUM(AD16:AD80,AD8:AD14)</f>
        <v>615.98219800377046</v>
      </c>
      <c r="AE15" s="507"/>
      <c r="AF15" s="506"/>
      <c r="AG15" s="505"/>
      <c r="AH15" s="67">
        <f t="shared" ref="AH15:AH52" si="3">SUM(AI15:AQ15)</f>
        <v>0</v>
      </c>
      <c r="AI15" s="510"/>
      <c r="AJ15" s="69"/>
      <c r="AK15" s="69"/>
      <c r="AL15" s="69"/>
      <c r="AM15" s="69"/>
      <c r="AN15" s="69"/>
      <c r="AO15" s="69"/>
      <c r="AP15" s="69"/>
      <c r="AQ15" s="507"/>
      <c r="AR15" s="52"/>
      <c r="AS15" s="52"/>
    </row>
    <row r="16" spans="1:45" x14ac:dyDescent="0.25">
      <c r="A16" s="515"/>
      <c r="B16" s="513">
        <v>22.25</v>
      </c>
      <c r="C16" s="516"/>
      <c r="D16" s="516"/>
      <c r="E16" s="516"/>
      <c r="F16" s="516"/>
      <c r="G16" s="482"/>
      <c r="H16" s="482"/>
      <c r="I16" s="517"/>
      <c r="J16" s="482"/>
      <c r="K16" s="482"/>
      <c r="L16" s="516"/>
      <c r="M16" s="516"/>
      <c r="N16" s="518"/>
      <c r="O16" s="516"/>
      <c r="P16" s="516"/>
      <c r="Q16" s="516"/>
      <c r="R16" s="516"/>
      <c r="S16" s="516"/>
      <c r="T16" s="516"/>
      <c r="U16" s="516"/>
      <c r="V16" s="516"/>
      <c r="W16" s="516"/>
      <c r="X16" s="519">
        <f t="shared" si="0"/>
        <v>22.25</v>
      </c>
      <c r="Y16" s="237" t="s">
        <v>345</v>
      </c>
      <c r="Z16" s="520"/>
      <c r="AA16" s="518"/>
      <c r="AB16" s="517">
        <v>38</v>
      </c>
      <c r="AC16" s="521"/>
      <c r="AD16" s="522"/>
      <c r="AE16" s="523"/>
      <c r="AF16" s="522"/>
      <c r="AG16" s="521"/>
      <c r="AH16" s="67">
        <f t="shared" si="3"/>
        <v>8.4550000000000001</v>
      </c>
      <c r="AI16" s="510">
        <f>X16*AB16/100*0.2</f>
        <v>1.6910000000000001</v>
      </c>
      <c r="AJ16" s="69"/>
      <c r="AK16" s="69"/>
      <c r="AL16" s="69"/>
      <c r="AM16" s="69"/>
      <c r="AN16" s="69">
        <f>X16*AB16/100*0.6</f>
        <v>5.0729999999999995</v>
      </c>
      <c r="AO16" s="69"/>
      <c r="AP16" s="69"/>
      <c r="AQ16" s="507">
        <f>X16*AB16/100*0.2</f>
        <v>1.6910000000000001</v>
      </c>
      <c r="AR16" s="52"/>
      <c r="AS16" s="52"/>
    </row>
    <row r="17" spans="1:45" x14ac:dyDescent="0.25">
      <c r="A17" s="500"/>
      <c r="B17" s="501"/>
      <c r="C17" s="501"/>
      <c r="D17" s="501"/>
      <c r="E17" s="513">
        <v>50</v>
      </c>
      <c r="F17" s="501"/>
      <c r="G17" s="138"/>
      <c r="H17" s="138"/>
      <c r="I17" s="138"/>
      <c r="J17" s="138"/>
      <c r="K17" s="138"/>
      <c r="L17" s="501"/>
      <c r="M17" s="501"/>
      <c r="N17" s="69"/>
      <c r="O17" s="138"/>
      <c r="P17" s="138"/>
      <c r="Q17" s="138"/>
      <c r="R17" s="138"/>
      <c r="S17" s="138"/>
      <c r="T17" s="138"/>
      <c r="U17" s="138"/>
      <c r="V17" s="138"/>
      <c r="W17" s="138"/>
      <c r="X17" s="503">
        <f t="shared" si="0"/>
        <v>50</v>
      </c>
      <c r="Y17" s="235" t="s">
        <v>346</v>
      </c>
      <c r="Z17" s="504"/>
      <c r="AA17" s="502"/>
      <c r="AB17" s="69">
        <v>80</v>
      </c>
      <c r="AC17" s="505"/>
      <c r="AD17" s="506"/>
      <c r="AE17" s="507"/>
      <c r="AF17" s="506"/>
      <c r="AG17" s="505"/>
      <c r="AH17" s="67">
        <f t="shared" si="3"/>
        <v>40</v>
      </c>
      <c r="AI17" s="510">
        <f t="shared" ref="AI17:AI22" si="4">X17*AB17/100</f>
        <v>40</v>
      </c>
      <c r="AJ17" s="69"/>
      <c r="AK17" s="69"/>
      <c r="AL17" s="69"/>
      <c r="AM17" s="69"/>
      <c r="AN17" s="69"/>
      <c r="AO17" s="69"/>
      <c r="AP17" s="69"/>
      <c r="AQ17" s="507"/>
      <c r="AR17" s="52"/>
      <c r="AS17" s="524"/>
    </row>
    <row r="18" spans="1:45" x14ac:dyDescent="0.25">
      <c r="A18" s="500"/>
      <c r="B18" s="501"/>
      <c r="C18" s="501"/>
      <c r="D18" s="501"/>
      <c r="E18" s="501"/>
      <c r="F18" s="501"/>
      <c r="G18" s="138"/>
      <c r="H18" s="138"/>
      <c r="I18" s="513">
        <v>0.4</v>
      </c>
      <c r="J18" s="138"/>
      <c r="K18" s="138"/>
      <c r="L18" s="501"/>
      <c r="M18" s="501"/>
      <c r="N18" s="69"/>
      <c r="O18" s="138"/>
      <c r="P18" s="138"/>
      <c r="Q18" s="138"/>
      <c r="R18" s="138"/>
      <c r="S18" s="138"/>
      <c r="T18" s="138"/>
      <c r="U18" s="138"/>
      <c r="V18" s="138"/>
      <c r="W18" s="138"/>
      <c r="X18" s="503">
        <f t="shared" si="0"/>
        <v>0.4</v>
      </c>
      <c r="Y18" s="235" t="s">
        <v>347</v>
      </c>
      <c r="Z18" s="504"/>
      <c r="AA18" s="502"/>
      <c r="AB18" s="69">
        <v>85</v>
      </c>
      <c r="AC18" s="505"/>
      <c r="AD18" s="506"/>
      <c r="AE18" s="507"/>
      <c r="AF18" s="506"/>
      <c r="AG18" s="505"/>
      <c r="AH18" s="67">
        <f t="shared" si="3"/>
        <v>0.34</v>
      </c>
      <c r="AI18" s="510">
        <f t="shared" si="4"/>
        <v>0.34</v>
      </c>
      <c r="AJ18" s="69"/>
      <c r="AK18" s="69"/>
      <c r="AL18" s="69"/>
      <c r="AM18" s="69"/>
      <c r="AN18" s="69"/>
      <c r="AO18" s="69"/>
      <c r="AP18" s="69"/>
      <c r="AQ18" s="507"/>
      <c r="AR18" s="52"/>
      <c r="AS18" s="524"/>
    </row>
    <row r="19" spans="1:45" x14ac:dyDescent="0.25">
      <c r="A19" s="500"/>
      <c r="B19" s="501"/>
      <c r="C19" s="501"/>
      <c r="D19" s="501"/>
      <c r="E19" s="501"/>
      <c r="F19" s="501"/>
      <c r="G19" s="138"/>
      <c r="H19" s="138"/>
      <c r="I19" s="138"/>
      <c r="J19" s="138"/>
      <c r="K19" s="138"/>
      <c r="L19" s="501"/>
      <c r="M19" s="501"/>
      <c r="N19" s="69"/>
      <c r="O19" s="138"/>
      <c r="P19" s="138"/>
      <c r="Q19" s="513"/>
      <c r="R19" s="513"/>
      <c r="S19" s="513">
        <v>82</v>
      </c>
      <c r="T19" s="138"/>
      <c r="U19" s="138"/>
      <c r="V19" s="138"/>
      <c r="W19" s="138"/>
      <c r="X19" s="503">
        <f t="shared" si="0"/>
        <v>82</v>
      </c>
      <c r="Y19" s="235" t="s">
        <v>348</v>
      </c>
      <c r="Z19" s="504"/>
      <c r="AA19" s="502"/>
      <c r="AB19" s="69">
        <v>75</v>
      </c>
      <c r="AC19" s="505"/>
      <c r="AD19" s="506"/>
      <c r="AE19" s="507"/>
      <c r="AF19" s="506"/>
      <c r="AG19" s="505"/>
      <c r="AH19" s="67">
        <f t="shared" si="3"/>
        <v>61.5</v>
      </c>
      <c r="AI19" s="510">
        <f t="shared" si="4"/>
        <v>61.5</v>
      </c>
      <c r="AJ19" s="69"/>
      <c r="AK19" s="69"/>
      <c r="AL19" s="69"/>
      <c r="AM19" s="69"/>
      <c r="AN19" s="69"/>
      <c r="AO19" s="69"/>
      <c r="AP19" s="69"/>
      <c r="AQ19" s="507"/>
      <c r="AR19" s="52"/>
      <c r="AS19" s="52"/>
    </row>
    <row r="20" spans="1:45" x14ac:dyDescent="0.25">
      <c r="A20" s="500"/>
      <c r="B20" s="501"/>
      <c r="C20" s="501"/>
      <c r="D20" s="501"/>
      <c r="E20" s="501"/>
      <c r="F20" s="501"/>
      <c r="G20" s="138"/>
      <c r="H20" s="138"/>
      <c r="I20" s="138"/>
      <c r="J20" s="138"/>
      <c r="K20" s="138"/>
      <c r="L20" s="501"/>
      <c r="M20" s="501"/>
      <c r="N20" s="69"/>
      <c r="O20" s="138"/>
      <c r="P20" s="138"/>
      <c r="Q20" s="513"/>
      <c r="R20" s="513">
        <v>134</v>
      </c>
      <c r="S20" s="513"/>
      <c r="T20" s="138"/>
      <c r="U20" s="138"/>
      <c r="V20" s="138"/>
      <c r="W20" s="138"/>
      <c r="X20" s="503">
        <f t="shared" si="0"/>
        <v>134</v>
      </c>
      <c r="Y20" s="235" t="s">
        <v>349</v>
      </c>
      <c r="Z20" s="504"/>
      <c r="AA20" s="502"/>
      <c r="AB20" s="69">
        <v>65</v>
      </c>
      <c r="AC20" s="505"/>
      <c r="AD20" s="506"/>
      <c r="AE20" s="507"/>
      <c r="AF20" s="506"/>
      <c r="AG20" s="505"/>
      <c r="AH20" s="67">
        <f t="shared" si="3"/>
        <v>87.1</v>
      </c>
      <c r="AI20" s="510">
        <f t="shared" si="4"/>
        <v>87.1</v>
      </c>
      <c r="AJ20" s="69"/>
      <c r="AK20" s="69"/>
      <c r="AL20" s="69"/>
      <c r="AM20" s="69"/>
      <c r="AN20" s="69"/>
      <c r="AO20" s="69"/>
      <c r="AP20" s="69"/>
      <c r="AQ20" s="507"/>
      <c r="AR20" s="52"/>
      <c r="AS20" s="524"/>
    </row>
    <row r="21" spans="1:45" x14ac:dyDescent="0.25">
      <c r="A21" s="500"/>
      <c r="B21" s="501"/>
      <c r="C21" s="501"/>
      <c r="D21" s="501"/>
      <c r="E21" s="501"/>
      <c r="F21" s="501"/>
      <c r="G21" s="138"/>
      <c r="H21" s="138"/>
      <c r="I21" s="138"/>
      <c r="J21" s="138"/>
      <c r="K21" s="138"/>
      <c r="L21" s="501"/>
      <c r="M21" s="501"/>
      <c r="N21" s="69"/>
      <c r="O21" s="138"/>
      <c r="P21" s="138"/>
      <c r="Q21" s="513">
        <v>20</v>
      </c>
      <c r="R21" s="513"/>
      <c r="S21" s="513"/>
      <c r="T21" s="138"/>
      <c r="U21" s="138"/>
      <c r="V21" s="138"/>
      <c r="W21" s="138"/>
      <c r="X21" s="503">
        <f t="shared" si="0"/>
        <v>20</v>
      </c>
      <c r="Y21" s="235" t="s">
        <v>350</v>
      </c>
      <c r="Z21" s="504"/>
      <c r="AA21" s="502"/>
      <c r="AB21" s="69">
        <v>65</v>
      </c>
      <c r="AC21" s="505"/>
      <c r="AD21" s="506"/>
      <c r="AE21" s="507"/>
      <c r="AF21" s="506"/>
      <c r="AG21" s="505"/>
      <c r="AH21" s="67">
        <f t="shared" si="3"/>
        <v>13</v>
      </c>
      <c r="AI21" s="510">
        <f t="shared" si="4"/>
        <v>13</v>
      </c>
      <c r="AJ21" s="69"/>
      <c r="AK21" s="69"/>
      <c r="AL21" s="69"/>
      <c r="AM21" s="69"/>
      <c r="AN21" s="69"/>
      <c r="AO21" s="69"/>
      <c r="AP21" s="69"/>
      <c r="AQ21" s="507"/>
      <c r="AR21" s="52"/>
      <c r="AS21" s="524"/>
    </row>
    <row r="22" spans="1:45" x14ac:dyDescent="0.25">
      <c r="A22" s="500"/>
      <c r="B22" s="501"/>
      <c r="C22" s="501"/>
      <c r="D22" s="501"/>
      <c r="E22" s="501"/>
      <c r="F22" s="501"/>
      <c r="G22" s="138"/>
      <c r="H22" s="138"/>
      <c r="I22" s="138"/>
      <c r="J22" s="138"/>
      <c r="K22" s="138"/>
      <c r="L22" s="513">
        <v>3.09</v>
      </c>
      <c r="M22" s="501"/>
      <c r="N22" s="69"/>
      <c r="O22" s="138"/>
      <c r="P22" s="138"/>
      <c r="Q22" s="138"/>
      <c r="R22" s="138"/>
      <c r="S22" s="138"/>
      <c r="T22" s="138"/>
      <c r="U22" s="138"/>
      <c r="V22" s="138"/>
      <c r="W22" s="138"/>
      <c r="X22" s="503">
        <f t="shared" si="0"/>
        <v>3.09</v>
      </c>
      <c r="Y22" s="235" t="s">
        <v>331</v>
      </c>
      <c r="Z22" s="504"/>
      <c r="AA22" s="502"/>
      <c r="AB22" s="502">
        <v>100</v>
      </c>
      <c r="AC22" s="505"/>
      <c r="AD22" s="506"/>
      <c r="AE22" s="507"/>
      <c r="AF22" s="506"/>
      <c r="AG22" s="505"/>
      <c r="AH22" s="67">
        <f t="shared" si="3"/>
        <v>3.09</v>
      </c>
      <c r="AI22" s="510">
        <f t="shared" si="4"/>
        <v>3.09</v>
      </c>
      <c r="AJ22" s="69"/>
      <c r="AK22" s="69"/>
      <c r="AL22" s="69"/>
      <c r="AM22" s="69"/>
      <c r="AN22" s="69"/>
      <c r="AO22" s="69"/>
      <c r="AP22" s="69"/>
      <c r="AQ22" s="507"/>
      <c r="AR22" s="52"/>
      <c r="AS22" s="137"/>
    </row>
    <row r="23" spans="1:45" x14ac:dyDescent="0.25">
      <c r="A23" s="500"/>
      <c r="B23" s="501"/>
      <c r="C23" s="138"/>
      <c r="D23" s="138"/>
      <c r="E23" s="513">
        <v>27.38</v>
      </c>
      <c r="F23" s="138"/>
      <c r="G23" s="138"/>
      <c r="H23" s="138"/>
      <c r="I23" s="138"/>
      <c r="J23" s="138"/>
      <c r="K23" s="138"/>
      <c r="L23" s="138"/>
      <c r="M23" s="138"/>
      <c r="N23" s="69"/>
      <c r="O23" s="138"/>
      <c r="P23" s="138"/>
      <c r="Q23" s="138"/>
      <c r="R23" s="138"/>
      <c r="S23" s="138"/>
      <c r="T23" s="138"/>
      <c r="U23" s="138"/>
      <c r="V23" s="138"/>
      <c r="W23" s="138"/>
      <c r="X23" s="503">
        <f t="shared" si="0"/>
        <v>27.38</v>
      </c>
      <c r="Y23" s="235" t="s">
        <v>292</v>
      </c>
      <c r="Z23" s="504"/>
      <c r="AA23" s="502">
        <v>90</v>
      </c>
      <c r="AB23" s="502"/>
      <c r="AC23" s="505"/>
      <c r="AD23" s="506"/>
      <c r="AE23" s="507"/>
      <c r="AF23" s="506"/>
      <c r="AG23" s="505"/>
      <c r="AH23" s="67">
        <f t="shared" si="3"/>
        <v>24.641999999999999</v>
      </c>
      <c r="AI23" s="510"/>
      <c r="AJ23" s="69"/>
      <c r="AK23" s="69"/>
      <c r="AL23" s="69"/>
      <c r="AM23" s="69"/>
      <c r="AN23" s="69">
        <f>X23*AA23/100</f>
        <v>24.641999999999999</v>
      </c>
      <c r="AO23" s="69"/>
      <c r="AP23" s="69"/>
      <c r="AQ23" s="507"/>
      <c r="AR23" s="52"/>
      <c r="AS23" s="52"/>
    </row>
    <row r="24" spans="1:45" x14ac:dyDescent="0.25">
      <c r="A24" s="500"/>
      <c r="B24" s="501"/>
      <c r="C24" s="138"/>
      <c r="D24" s="138"/>
      <c r="E24" s="138"/>
      <c r="F24" s="138"/>
      <c r="G24" s="138"/>
      <c r="H24" s="138"/>
      <c r="I24" s="513">
        <v>753</v>
      </c>
      <c r="J24" s="138"/>
      <c r="K24" s="138"/>
      <c r="L24" s="138"/>
      <c r="M24" s="138"/>
      <c r="N24" s="69"/>
      <c r="O24" s="138"/>
      <c r="P24" s="138"/>
      <c r="Q24" s="138"/>
      <c r="R24" s="138"/>
      <c r="S24" s="138"/>
      <c r="T24" s="138"/>
      <c r="U24" s="138"/>
      <c r="V24" s="138"/>
      <c r="W24" s="138"/>
      <c r="X24" s="503">
        <f t="shared" si="0"/>
        <v>753</v>
      </c>
      <c r="Y24" s="235" t="s">
        <v>294</v>
      </c>
      <c r="Z24" s="504"/>
      <c r="AA24" s="502">
        <v>90</v>
      </c>
      <c r="AB24" s="502"/>
      <c r="AC24" s="505"/>
      <c r="AD24" s="506"/>
      <c r="AE24" s="507"/>
      <c r="AF24" s="506"/>
      <c r="AG24" s="505"/>
      <c r="AH24" s="67">
        <f t="shared" si="3"/>
        <v>677.7</v>
      </c>
      <c r="AI24" s="510"/>
      <c r="AJ24" s="69"/>
      <c r="AK24" s="69"/>
      <c r="AL24" s="69"/>
      <c r="AM24" s="69"/>
      <c r="AN24" s="69">
        <f>X24*AA24/100</f>
        <v>677.7</v>
      </c>
      <c r="AO24" s="69"/>
      <c r="AP24" s="69"/>
      <c r="AQ24" s="507"/>
      <c r="AR24" s="52"/>
      <c r="AS24" s="524"/>
    </row>
    <row r="25" spans="1:45" x14ac:dyDescent="0.25">
      <c r="A25" s="525"/>
      <c r="B25" s="138"/>
      <c r="C25" s="138"/>
      <c r="D25" s="513"/>
      <c r="E25" s="138"/>
      <c r="F25" s="138"/>
      <c r="G25" s="138"/>
      <c r="H25" s="138"/>
      <c r="I25" s="513"/>
      <c r="J25" s="138"/>
      <c r="K25" s="138"/>
      <c r="L25" s="138"/>
      <c r="M25" s="138"/>
      <c r="N25" s="138"/>
      <c r="O25" s="138"/>
      <c r="P25" s="138"/>
      <c r="Q25" s="138"/>
      <c r="R25" s="138"/>
      <c r="S25" s="513"/>
      <c r="T25" s="138"/>
      <c r="U25" s="138"/>
      <c r="V25" s="138"/>
      <c r="W25" s="138"/>
      <c r="X25" s="503"/>
      <c r="Y25" s="235" t="s">
        <v>355</v>
      </c>
      <c r="Z25" s="504"/>
      <c r="AA25" s="502">
        <v>90</v>
      </c>
      <c r="AB25" s="502"/>
      <c r="AC25" s="505"/>
      <c r="AD25" s="506"/>
      <c r="AE25" s="507"/>
      <c r="AF25" s="506"/>
      <c r="AG25" s="505"/>
      <c r="AH25" s="67">
        <f t="shared" si="3"/>
        <v>0</v>
      </c>
      <c r="AI25" s="510"/>
      <c r="AJ25" s="69"/>
      <c r="AK25" s="69"/>
      <c r="AL25" s="69"/>
      <c r="AM25" s="69"/>
      <c r="AN25" s="69">
        <f>X25*AA25/100</f>
        <v>0</v>
      </c>
      <c r="AO25" s="69"/>
      <c r="AP25" s="69"/>
      <c r="AQ25" s="507"/>
      <c r="AR25" s="68"/>
      <c r="AS25" s="524"/>
    </row>
    <row r="26" spans="1:45" x14ac:dyDescent="0.25">
      <c r="A26" s="500"/>
      <c r="B26" s="501"/>
      <c r="C26" s="138"/>
      <c r="D26" s="138"/>
      <c r="E26" s="138"/>
      <c r="F26" s="138"/>
      <c r="G26" s="138"/>
      <c r="H26" s="138"/>
      <c r="I26" s="138"/>
      <c r="J26" s="138"/>
      <c r="K26" s="138"/>
      <c r="L26" s="513">
        <v>18.670000000000002</v>
      </c>
      <c r="M26" s="138"/>
      <c r="N26" s="69"/>
      <c r="O26" s="138"/>
      <c r="P26" s="138"/>
      <c r="Q26" s="138"/>
      <c r="R26" s="138"/>
      <c r="S26" s="138"/>
      <c r="T26" s="138"/>
      <c r="U26" s="138"/>
      <c r="V26" s="138"/>
      <c r="W26" s="138"/>
      <c r="X26" s="503">
        <f t="shared" si="0"/>
        <v>18.670000000000002</v>
      </c>
      <c r="Y26" s="235" t="s">
        <v>131</v>
      </c>
      <c r="Z26" s="502">
        <v>100</v>
      </c>
      <c r="AA26" s="502"/>
      <c r="AB26" s="502"/>
      <c r="AC26" s="505"/>
      <c r="AD26" s="506">
        <f>X26*Z26/100</f>
        <v>18.670000000000002</v>
      </c>
      <c r="AE26" s="507"/>
      <c r="AF26" s="506"/>
      <c r="AG26" s="505"/>
      <c r="AH26" s="67">
        <f t="shared" si="3"/>
        <v>0</v>
      </c>
      <c r="AI26" s="510"/>
      <c r="AJ26" s="69"/>
      <c r="AK26" s="69"/>
      <c r="AL26" s="69"/>
      <c r="AM26" s="69"/>
      <c r="AN26" s="69"/>
      <c r="AO26" s="69"/>
      <c r="AP26" s="69"/>
      <c r="AQ26" s="507"/>
      <c r="AR26" s="52"/>
      <c r="AS26" s="52"/>
    </row>
    <row r="27" spans="1:45" x14ac:dyDescent="0.25">
      <c r="A27" s="500"/>
      <c r="B27" s="501"/>
      <c r="C27" s="138"/>
      <c r="D27" s="138"/>
      <c r="E27" s="138"/>
      <c r="F27" s="138"/>
      <c r="G27" s="138"/>
      <c r="H27" s="138"/>
      <c r="I27" s="138"/>
      <c r="J27" s="513">
        <v>80</v>
      </c>
      <c r="K27" s="138"/>
      <c r="L27" s="138"/>
      <c r="M27" s="138"/>
      <c r="N27" s="69"/>
      <c r="O27" s="138"/>
      <c r="P27" s="138"/>
      <c r="Q27" s="138"/>
      <c r="R27" s="138"/>
      <c r="S27" s="138"/>
      <c r="T27" s="138"/>
      <c r="U27" s="138"/>
      <c r="V27" s="138"/>
      <c r="W27" s="138"/>
      <c r="X27" s="503">
        <f t="shared" si="0"/>
        <v>80</v>
      </c>
      <c r="Y27" s="235" t="s">
        <v>135</v>
      </c>
      <c r="Z27" s="502">
        <v>100</v>
      </c>
      <c r="AA27" s="502"/>
      <c r="AB27" s="502"/>
      <c r="AC27" s="505"/>
      <c r="AD27" s="506">
        <f>Z27*X27/100</f>
        <v>80</v>
      </c>
      <c r="AE27" s="507"/>
      <c r="AF27" s="506"/>
      <c r="AG27" s="505"/>
      <c r="AH27" s="67">
        <f t="shared" si="3"/>
        <v>0</v>
      </c>
      <c r="AI27" s="510"/>
      <c r="AJ27" s="69"/>
      <c r="AK27" s="69"/>
      <c r="AL27" s="69"/>
      <c r="AM27" s="69"/>
      <c r="AN27" s="69"/>
      <c r="AO27" s="69"/>
      <c r="AP27" s="69"/>
      <c r="AQ27" s="507"/>
      <c r="AR27" s="52"/>
      <c r="AS27" s="52"/>
    </row>
    <row r="28" spans="1:45" x14ac:dyDescent="0.25">
      <c r="A28" s="500"/>
      <c r="B28" s="501"/>
      <c r="C28" s="138"/>
      <c r="D28" s="138"/>
      <c r="E28" s="138"/>
      <c r="F28" s="138"/>
      <c r="G28" s="138"/>
      <c r="H28" s="138"/>
      <c r="I28" s="138"/>
      <c r="J28" s="238"/>
      <c r="K28" s="138"/>
      <c r="L28" s="138"/>
      <c r="M28" s="138"/>
      <c r="N28" s="69"/>
      <c r="O28" s="138"/>
      <c r="P28" s="138"/>
      <c r="Q28" s="138"/>
      <c r="R28" s="138"/>
      <c r="S28" s="138"/>
      <c r="T28" s="138"/>
      <c r="U28" s="138"/>
      <c r="V28" s="138"/>
      <c r="W28" s="138"/>
      <c r="X28" s="503">
        <f t="shared" si="0"/>
        <v>0</v>
      </c>
      <c r="Y28" s="235" t="s">
        <v>137</v>
      </c>
      <c r="Z28" s="506">
        <v>100</v>
      </c>
      <c r="AA28" s="69"/>
      <c r="AB28" s="69"/>
      <c r="AC28" s="507"/>
      <c r="AD28" s="506">
        <f>Z28*X28/100</f>
        <v>0</v>
      </c>
      <c r="AE28" s="507"/>
      <c r="AF28" s="506"/>
      <c r="AG28" s="505"/>
      <c r="AH28" s="67">
        <f t="shared" si="3"/>
        <v>0</v>
      </c>
      <c r="AI28" s="510"/>
      <c r="AJ28" s="69"/>
      <c r="AK28" s="69"/>
      <c r="AL28" s="69"/>
      <c r="AM28" s="69"/>
      <c r="AN28" s="69"/>
      <c r="AO28" s="69"/>
      <c r="AP28" s="69"/>
      <c r="AQ28" s="507"/>
      <c r="AR28" s="52"/>
      <c r="AS28" s="52"/>
    </row>
    <row r="29" spans="1:45" x14ac:dyDescent="0.25">
      <c r="A29" s="500"/>
      <c r="B29" s="501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69"/>
      <c r="O29" s="138"/>
      <c r="P29" s="138"/>
      <c r="Q29" s="138"/>
      <c r="R29" s="138"/>
      <c r="S29" s="138"/>
      <c r="T29" s="138"/>
      <c r="U29" s="138"/>
      <c r="V29" s="138"/>
      <c r="W29" s="138"/>
      <c r="X29" s="503">
        <f t="shared" si="0"/>
        <v>0</v>
      </c>
      <c r="Y29" s="235" t="s">
        <v>139</v>
      </c>
      <c r="Z29" s="69">
        <v>100</v>
      </c>
      <c r="AA29" s="69"/>
      <c r="AB29" s="69"/>
      <c r="AC29" s="507"/>
      <c r="AD29" s="506">
        <f>Z29*X29/100</f>
        <v>0</v>
      </c>
      <c r="AE29" s="507"/>
      <c r="AF29" s="506"/>
      <c r="AG29" s="505"/>
      <c r="AH29" s="67">
        <f t="shared" si="3"/>
        <v>0</v>
      </c>
      <c r="AI29" s="526"/>
      <c r="AJ29" s="502"/>
      <c r="AK29" s="502"/>
      <c r="AL29" s="502"/>
      <c r="AM29" s="502"/>
      <c r="AN29" s="502"/>
      <c r="AO29" s="502"/>
      <c r="AP29" s="502"/>
      <c r="AQ29" s="505"/>
      <c r="AR29" s="52"/>
      <c r="AS29" s="52"/>
    </row>
    <row r="30" spans="1:45" x14ac:dyDescent="0.25">
      <c r="A30" s="500"/>
      <c r="B30" s="501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69"/>
      <c r="O30" s="138"/>
      <c r="P30" s="138"/>
      <c r="Q30" s="138"/>
      <c r="R30" s="138"/>
      <c r="S30" s="138"/>
      <c r="T30" s="138"/>
      <c r="U30" s="138"/>
      <c r="V30" s="138"/>
      <c r="W30" s="138"/>
      <c r="X30" s="503">
        <f t="shared" si="0"/>
        <v>0</v>
      </c>
      <c r="Y30" s="235" t="s">
        <v>141</v>
      </c>
      <c r="Z30" s="69">
        <v>100</v>
      </c>
      <c r="AA30" s="69"/>
      <c r="AB30" s="69"/>
      <c r="AC30" s="507"/>
      <c r="AD30" s="506">
        <f>Z30*X30/100</f>
        <v>0</v>
      </c>
      <c r="AE30" s="507"/>
      <c r="AF30" s="506"/>
      <c r="AG30" s="505"/>
      <c r="AH30" s="67">
        <f t="shared" si="3"/>
        <v>0</v>
      </c>
      <c r="AI30" s="526"/>
      <c r="AJ30" s="502"/>
      <c r="AK30" s="502"/>
      <c r="AL30" s="502"/>
      <c r="AM30" s="502"/>
      <c r="AN30" s="502"/>
      <c r="AO30" s="502"/>
      <c r="AP30" s="502"/>
      <c r="AQ30" s="505"/>
      <c r="AR30" s="52"/>
      <c r="AS30" s="52"/>
    </row>
    <row r="31" spans="1:45" x14ac:dyDescent="0.25">
      <c r="A31" s="527"/>
      <c r="B31" s="502"/>
      <c r="C31" s="502"/>
      <c r="D31" s="502"/>
      <c r="E31" s="502"/>
      <c r="F31" s="502"/>
      <c r="G31" s="502"/>
      <c r="H31" s="502"/>
      <c r="I31" s="513">
        <f>-(O31+T31)*AA31%</f>
        <v>0</v>
      </c>
      <c r="J31" s="238"/>
      <c r="K31" s="138"/>
      <c r="L31" s="138"/>
      <c r="M31" s="138"/>
      <c r="N31" s="69"/>
      <c r="O31" s="138"/>
      <c r="P31" s="138"/>
      <c r="Q31" s="138"/>
      <c r="R31" s="138"/>
      <c r="S31" s="138"/>
      <c r="T31" s="138"/>
      <c r="U31" s="138"/>
      <c r="V31" s="138"/>
      <c r="W31" s="138"/>
      <c r="X31" s="503">
        <f t="shared" si="0"/>
        <v>0</v>
      </c>
      <c r="Y31" s="239" t="s">
        <v>462</v>
      </c>
      <c r="Z31" s="528"/>
      <c r="AA31" s="138">
        <v>100</v>
      </c>
      <c r="AB31" s="138"/>
      <c r="AC31" s="509"/>
      <c r="AD31" s="525"/>
      <c r="AE31" s="509"/>
      <c r="AF31" s="525"/>
      <c r="AG31" s="503"/>
      <c r="AH31" s="192"/>
      <c r="AI31" s="527"/>
      <c r="AJ31" s="501"/>
      <c r="AK31" s="501"/>
      <c r="AL31" s="501"/>
      <c r="AM31" s="501"/>
      <c r="AN31" s="501"/>
      <c r="AO31" s="501"/>
      <c r="AP31" s="501"/>
      <c r="AQ31" s="503"/>
      <c r="AR31" s="159"/>
      <c r="AS31" s="159"/>
    </row>
    <row r="32" spans="1:45" x14ac:dyDescent="0.25">
      <c r="A32" s="501"/>
      <c r="B32" s="501"/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503">
        <f t="shared" si="0"/>
        <v>0</v>
      </c>
      <c r="Y32" s="239" t="s">
        <v>463</v>
      </c>
      <c r="Z32" s="525"/>
      <c r="AA32" s="138"/>
      <c r="AB32" s="138"/>
      <c r="AC32" s="509"/>
      <c r="AD32" s="506">
        <f>X32*Z32/100</f>
        <v>0</v>
      </c>
      <c r="AE32" s="507"/>
      <c r="AF32" s="506">
        <f>X32*AB32/100</f>
        <v>0</v>
      </c>
      <c r="AG32" s="507"/>
      <c r="AH32" s="67">
        <f>SUM(AI32:AQ32)</f>
        <v>0</v>
      </c>
      <c r="AI32" s="526"/>
      <c r="AJ32" s="138"/>
      <c r="AK32" s="501"/>
      <c r="AL32" s="501"/>
      <c r="AM32" s="501"/>
      <c r="AN32" s="501"/>
      <c r="AO32" s="501"/>
      <c r="AP32" s="138"/>
      <c r="AQ32" s="505"/>
      <c r="AR32" s="52"/>
      <c r="AS32" s="52"/>
    </row>
    <row r="33" spans="1:45" x14ac:dyDescent="0.25">
      <c r="A33" s="501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254"/>
      <c r="O33" s="138"/>
      <c r="P33" s="138"/>
      <c r="Q33" s="138"/>
      <c r="R33" s="138"/>
      <c r="S33" s="138"/>
      <c r="T33" s="138"/>
      <c r="U33" s="138"/>
      <c r="V33" s="138"/>
      <c r="W33" s="138"/>
      <c r="X33" s="503">
        <f t="shared" si="0"/>
        <v>0</v>
      </c>
      <c r="Y33" s="235" t="s">
        <v>145</v>
      </c>
      <c r="Z33" s="525"/>
      <c r="AA33" s="138"/>
      <c r="AB33" s="138"/>
      <c r="AC33" s="507"/>
      <c r="AD33" s="506">
        <f>X33*Z33/100</f>
        <v>0</v>
      </c>
      <c r="AE33" s="507"/>
      <c r="AF33" s="506">
        <f>X33*AB33/100</f>
        <v>0</v>
      </c>
      <c r="AG33" s="505"/>
      <c r="AH33" s="67">
        <f t="shared" si="3"/>
        <v>0</v>
      </c>
      <c r="AI33" s="526"/>
      <c r="AJ33" s="502"/>
      <c r="AK33" s="502"/>
      <c r="AL33" s="502"/>
      <c r="AM33" s="502"/>
      <c r="AN33" s="502"/>
      <c r="AO33" s="502"/>
      <c r="AP33" s="502"/>
      <c r="AQ33" s="505"/>
      <c r="AR33" s="52"/>
      <c r="AS33" s="52"/>
    </row>
    <row r="34" spans="1:45" x14ac:dyDescent="0.25">
      <c r="A34" s="501"/>
      <c r="B34" s="501"/>
      <c r="C34" s="501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254"/>
      <c r="O34" s="138"/>
      <c r="P34" s="138"/>
      <c r="Q34" s="138"/>
      <c r="R34" s="138"/>
      <c r="S34" s="138"/>
      <c r="T34" s="138"/>
      <c r="U34" s="138"/>
      <c r="V34" s="138"/>
      <c r="W34" s="138"/>
      <c r="X34" s="503">
        <f t="shared" si="0"/>
        <v>0</v>
      </c>
      <c r="Y34" s="235" t="s">
        <v>147</v>
      </c>
      <c r="Z34" s="525"/>
      <c r="AA34" s="138"/>
      <c r="AB34" s="138"/>
      <c r="AC34" s="507"/>
      <c r="AD34" s="506">
        <f>X34*Z34/100</f>
        <v>0</v>
      </c>
      <c r="AE34" s="507"/>
      <c r="AF34" s="506">
        <f>X34*AB34</f>
        <v>0</v>
      </c>
      <c r="AG34" s="505"/>
      <c r="AH34" s="67">
        <f t="shared" si="3"/>
        <v>0</v>
      </c>
      <c r="AI34" s="526"/>
      <c r="AJ34" s="502"/>
      <c r="AK34" s="502"/>
      <c r="AL34" s="502"/>
      <c r="AM34" s="502"/>
      <c r="AN34" s="502"/>
      <c r="AO34" s="502"/>
      <c r="AP34" s="502"/>
      <c r="AQ34" s="505"/>
      <c r="AR34" s="52"/>
      <c r="AS34" s="52"/>
    </row>
    <row r="35" spans="1:45" x14ac:dyDescent="0.25">
      <c r="A35" s="501"/>
      <c r="B35" s="501"/>
      <c r="C35" s="501"/>
      <c r="D35" s="138"/>
      <c r="E35" s="529"/>
      <c r="F35" s="138"/>
      <c r="G35" s="138"/>
      <c r="H35" s="138"/>
      <c r="I35" s="138"/>
      <c r="J35" s="138"/>
      <c r="K35" s="138"/>
      <c r="L35" s="138"/>
      <c r="M35" s="138"/>
      <c r="N35" s="254"/>
      <c r="O35" s="138"/>
      <c r="P35" s="138"/>
      <c r="Q35" s="138"/>
      <c r="R35" s="138"/>
      <c r="S35" s="138"/>
      <c r="T35" s="138"/>
      <c r="U35" s="138"/>
      <c r="V35" s="138"/>
      <c r="W35" s="138"/>
      <c r="X35" s="503">
        <f t="shared" si="0"/>
        <v>0</v>
      </c>
      <c r="Y35" s="235" t="s">
        <v>149</v>
      </c>
      <c r="Z35" s="525"/>
      <c r="AA35" s="138"/>
      <c r="AB35" s="138"/>
      <c r="AC35" s="507"/>
      <c r="AD35" s="506">
        <f>X35*Z35/100</f>
        <v>0</v>
      </c>
      <c r="AE35" s="507"/>
      <c r="AF35" s="506">
        <f>X35*AB35</f>
        <v>0</v>
      </c>
      <c r="AG35" s="505"/>
      <c r="AH35" s="67">
        <f t="shared" si="3"/>
        <v>0</v>
      </c>
      <c r="AI35" s="526"/>
      <c r="AJ35" s="502"/>
      <c r="AK35" s="502"/>
      <c r="AL35" s="502"/>
      <c r="AM35" s="502"/>
      <c r="AN35" s="502"/>
      <c r="AO35" s="502"/>
      <c r="AP35" s="502"/>
      <c r="AQ35" s="505"/>
      <c r="AR35" s="52"/>
      <c r="AS35" s="52"/>
    </row>
    <row r="36" spans="1:45" x14ac:dyDescent="0.25">
      <c r="A36" s="501"/>
      <c r="B36" s="501"/>
      <c r="C36" s="501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254"/>
      <c r="O36" s="138"/>
      <c r="P36" s="138"/>
      <c r="Q36" s="138"/>
      <c r="R36" s="138"/>
      <c r="S36" s="138"/>
      <c r="T36" s="138"/>
      <c r="U36" s="138"/>
      <c r="V36" s="138"/>
      <c r="W36" s="138"/>
      <c r="X36" s="503">
        <f t="shared" si="0"/>
        <v>0</v>
      </c>
      <c r="Y36" s="235" t="s">
        <v>151</v>
      </c>
      <c r="Z36" s="525"/>
      <c r="AA36" s="138"/>
      <c r="AB36" s="138"/>
      <c r="AC36" s="507"/>
      <c r="AD36" s="506"/>
      <c r="AE36" s="507"/>
      <c r="AF36" s="506">
        <f>X36*AB36/100</f>
        <v>0</v>
      </c>
      <c r="AG36" s="505"/>
      <c r="AH36" s="67">
        <f t="shared" si="3"/>
        <v>0</v>
      </c>
      <c r="AI36" s="526"/>
      <c r="AJ36" s="502"/>
      <c r="AK36" s="502"/>
      <c r="AL36" s="502"/>
      <c r="AM36" s="502"/>
      <c r="AN36" s="502"/>
      <c r="AO36" s="502"/>
      <c r="AP36" s="502"/>
      <c r="AQ36" s="505"/>
      <c r="AR36" s="52"/>
      <c r="AS36" s="52"/>
    </row>
    <row r="37" spans="1:45" x14ac:dyDescent="0.25">
      <c r="A37" s="501"/>
      <c r="B37" s="501"/>
      <c r="C37" s="501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513">
        <f>AF37-AE37</f>
        <v>0</v>
      </c>
      <c r="O37" s="138"/>
      <c r="P37" s="138"/>
      <c r="Q37" s="138"/>
      <c r="R37" s="138"/>
      <c r="S37" s="138"/>
      <c r="T37" s="138"/>
      <c r="U37" s="138"/>
      <c r="V37" s="138"/>
      <c r="W37" s="138"/>
      <c r="X37" s="503">
        <f t="shared" si="0"/>
        <v>0</v>
      </c>
      <c r="Y37" s="239" t="s">
        <v>153</v>
      </c>
      <c r="Z37" s="506"/>
      <c r="AA37" s="69"/>
      <c r="AB37" s="69"/>
      <c r="AC37" s="507"/>
      <c r="AD37" s="525">
        <f>-AE37/$D$2%</f>
        <v>0</v>
      </c>
      <c r="AE37" s="530"/>
      <c r="AF37" s="531">
        <f>AE37*AB37%</f>
        <v>0</v>
      </c>
      <c r="AG37" s="503"/>
      <c r="AH37" s="192"/>
      <c r="AI37" s="532"/>
      <c r="AJ37" s="532"/>
      <c r="AK37" s="513"/>
      <c r="AL37" s="513"/>
      <c r="AM37" s="513"/>
      <c r="AN37" s="513"/>
      <c r="AO37" s="513"/>
      <c r="AP37" s="513"/>
      <c r="AQ37" s="507"/>
      <c r="AR37" s="159"/>
      <c r="AS37" s="159"/>
    </row>
    <row r="38" spans="1:45" x14ac:dyDescent="0.25">
      <c r="A38" s="501"/>
      <c r="B38" s="501"/>
      <c r="C38" s="501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503">
        <f t="shared" si="0"/>
        <v>0</v>
      </c>
      <c r="Y38" s="239" t="s">
        <v>155</v>
      </c>
      <c r="Z38" s="506"/>
      <c r="AA38" s="69"/>
      <c r="AB38" s="69"/>
      <c r="AC38" s="507"/>
      <c r="AD38" s="525">
        <f>-AE38/$D$2%</f>
        <v>0</v>
      </c>
      <c r="AE38" s="507"/>
      <c r="AF38" s="506">
        <f>AE38*AB38%</f>
        <v>0</v>
      </c>
      <c r="AG38" s="509"/>
      <c r="AH38" s="192"/>
      <c r="AI38" s="532"/>
      <c r="AJ38" s="532"/>
      <c r="AK38" s="513"/>
      <c r="AL38" s="513"/>
      <c r="AM38" s="513"/>
      <c r="AN38" s="513"/>
      <c r="AO38" s="513"/>
      <c r="AP38" s="513"/>
      <c r="AQ38" s="507"/>
      <c r="AR38" s="52"/>
      <c r="AS38" s="52"/>
    </row>
    <row r="39" spans="1:45" x14ac:dyDescent="0.25">
      <c r="A39" s="501"/>
      <c r="B39" s="501"/>
      <c r="C39" s="501"/>
      <c r="D39" s="501"/>
      <c r="E39" s="501"/>
      <c r="F39" s="501"/>
      <c r="G39" s="501"/>
      <c r="H39" s="501"/>
      <c r="I39" s="501"/>
      <c r="J39" s="501"/>
      <c r="K39" s="501"/>
      <c r="L39" s="501"/>
      <c r="M39" s="501"/>
      <c r="N39" s="254"/>
      <c r="O39" s="138"/>
      <c r="P39" s="138"/>
      <c r="Q39" s="138"/>
      <c r="R39" s="138"/>
      <c r="S39" s="138"/>
      <c r="T39" s="138"/>
      <c r="U39" s="138"/>
      <c r="V39" s="138"/>
      <c r="W39" s="138"/>
      <c r="X39" s="503">
        <f t="shared" si="0"/>
        <v>0</v>
      </c>
      <c r="Y39" s="235" t="s">
        <v>157</v>
      </c>
      <c r="Z39" s="525"/>
      <c r="AA39" s="138"/>
      <c r="AB39" s="138"/>
      <c r="AC39" s="533">
        <f>100-20.6</f>
        <v>79.400000000000006</v>
      </c>
      <c r="AD39" s="506"/>
      <c r="AE39" s="507"/>
      <c r="AF39" s="506">
        <f>-SUM(AF33:AF36)</f>
        <v>0</v>
      </c>
      <c r="AG39" s="507">
        <f>-AF39*AC39/100</f>
        <v>0</v>
      </c>
      <c r="AH39" s="67">
        <f>SUM(AI39:AQ39)</f>
        <v>0</v>
      </c>
      <c r="AI39" s="532">
        <f>AG39*65.1%</f>
        <v>0</v>
      </c>
      <c r="AJ39" s="532">
        <f>AG39*9.9%</f>
        <v>0</v>
      </c>
      <c r="AK39" s="513">
        <f>AG39*13.3%</f>
        <v>0</v>
      </c>
      <c r="AL39" s="513">
        <f>AG39*7%</f>
        <v>0</v>
      </c>
      <c r="AM39" s="513">
        <f>AG39*0%</f>
        <v>0</v>
      </c>
      <c r="AN39" s="513">
        <f>AG39*3.2%</f>
        <v>0</v>
      </c>
      <c r="AO39" s="513">
        <f>AG39*1.5%</f>
        <v>0</v>
      </c>
      <c r="AP39" s="513"/>
      <c r="AQ39" s="507"/>
      <c r="AR39" s="216"/>
      <c r="AS39" s="52"/>
    </row>
    <row r="40" spans="1:45" x14ac:dyDescent="0.25">
      <c r="A40" s="501"/>
      <c r="B40" s="501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254"/>
      <c r="O40" s="138"/>
      <c r="P40" s="138"/>
      <c r="Q40" s="138"/>
      <c r="R40" s="138"/>
      <c r="S40" s="138"/>
      <c r="T40" s="138"/>
      <c r="U40" s="138"/>
      <c r="V40" s="138"/>
      <c r="W40" s="138"/>
      <c r="X40" s="503">
        <f t="shared" si="0"/>
        <v>0</v>
      </c>
      <c r="Y40" s="235" t="s">
        <v>163</v>
      </c>
      <c r="Z40" s="525"/>
      <c r="AA40" s="138"/>
      <c r="AB40" s="138"/>
      <c r="AC40" s="509"/>
      <c r="AD40" s="506">
        <f>X40*Z40/100</f>
        <v>0</v>
      </c>
      <c r="AE40" s="507"/>
      <c r="AF40" s="506">
        <f>X40*AB40/100</f>
        <v>0</v>
      </c>
      <c r="AG40" s="507"/>
      <c r="AH40" s="67">
        <f t="shared" si="3"/>
        <v>0</v>
      </c>
      <c r="AI40" s="532"/>
      <c r="AJ40" s="532"/>
      <c r="AK40" s="513"/>
      <c r="AL40" s="513"/>
      <c r="AM40" s="513"/>
      <c r="AN40" s="513"/>
      <c r="AO40" s="513"/>
      <c r="AP40" s="513"/>
      <c r="AQ40" s="507"/>
      <c r="AR40" s="52"/>
      <c r="AS40" s="52"/>
    </row>
    <row r="41" spans="1:45" x14ac:dyDescent="0.25">
      <c r="A41" s="501"/>
      <c r="B41" s="501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254"/>
      <c r="O41" s="138"/>
      <c r="P41" s="138"/>
      <c r="Q41" s="138"/>
      <c r="R41" s="138"/>
      <c r="S41" s="138"/>
      <c r="T41" s="138"/>
      <c r="U41" s="138"/>
      <c r="V41" s="138"/>
      <c r="W41" s="138"/>
      <c r="X41" s="503">
        <f t="shared" si="0"/>
        <v>0</v>
      </c>
      <c r="Y41" s="235" t="s">
        <v>165</v>
      </c>
      <c r="Z41" s="525"/>
      <c r="AA41" s="138"/>
      <c r="AB41" s="138"/>
      <c r="AC41" s="509"/>
      <c r="AD41" s="506">
        <f>X41*Z41/100</f>
        <v>0</v>
      </c>
      <c r="AE41" s="507"/>
      <c r="AF41" s="506">
        <f>X41*AB41/100</f>
        <v>0</v>
      </c>
      <c r="AG41" s="507"/>
      <c r="AH41" s="67">
        <f t="shared" si="3"/>
        <v>0</v>
      </c>
      <c r="AI41" s="532"/>
      <c r="AJ41" s="532"/>
      <c r="AK41" s="513"/>
      <c r="AL41" s="513"/>
      <c r="AM41" s="513"/>
      <c r="AN41" s="513"/>
      <c r="AO41" s="513"/>
      <c r="AP41" s="513"/>
      <c r="AQ41" s="507"/>
      <c r="AR41" s="52"/>
      <c r="AS41" s="52"/>
    </row>
    <row r="42" spans="1:45" x14ac:dyDescent="0.25">
      <c r="A42" s="501"/>
      <c r="B42" s="501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254"/>
      <c r="O42" s="138"/>
      <c r="P42" s="138"/>
      <c r="Q42" s="138"/>
      <c r="R42" s="138"/>
      <c r="S42" s="138"/>
      <c r="T42" s="138"/>
      <c r="U42" s="138"/>
      <c r="V42" s="138"/>
      <c r="W42" s="138"/>
      <c r="X42" s="503">
        <f t="shared" si="0"/>
        <v>0</v>
      </c>
      <c r="Y42" s="235" t="s">
        <v>167</v>
      </c>
      <c r="Z42" s="525"/>
      <c r="AA42" s="138"/>
      <c r="AB42" s="138"/>
      <c r="AC42" s="509"/>
      <c r="AD42" s="506">
        <f>X42*Z42/100</f>
        <v>0</v>
      </c>
      <c r="AE42" s="507"/>
      <c r="AF42" s="506">
        <f>X42*AB42/100</f>
        <v>0</v>
      </c>
      <c r="AG42" s="507"/>
      <c r="AH42" s="67">
        <f t="shared" si="3"/>
        <v>0</v>
      </c>
      <c r="AI42" s="532"/>
      <c r="AJ42" s="532"/>
      <c r="AK42" s="513"/>
      <c r="AL42" s="513"/>
      <c r="AM42" s="513"/>
      <c r="AN42" s="513"/>
      <c r="AO42" s="513"/>
      <c r="AP42" s="513"/>
      <c r="AQ42" s="507"/>
      <c r="AR42" s="52"/>
      <c r="AS42" s="52"/>
    </row>
    <row r="43" spans="1:45" x14ac:dyDescent="0.25">
      <c r="A43" s="501"/>
      <c r="B43" s="501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254"/>
      <c r="O43" s="138"/>
      <c r="P43" s="138"/>
      <c r="Q43" s="138"/>
      <c r="R43" s="138"/>
      <c r="S43" s="138"/>
      <c r="T43" s="138"/>
      <c r="U43" s="138"/>
      <c r="V43" s="138"/>
      <c r="W43" s="138"/>
      <c r="X43" s="503">
        <f t="shared" si="0"/>
        <v>0</v>
      </c>
      <c r="Y43" s="235" t="s">
        <v>169</v>
      </c>
      <c r="Z43" s="525"/>
      <c r="AA43" s="138"/>
      <c r="AB43" s="138"/>
      <c r="AC43" s="533">
        <f>100-20.6</f>
        <v>79.400000000000006</v>
      </c>
      <c r="AD43" s="506"/>
      <c r="AE43" s="507"/>
      <c r="AF43" s="506">
        <f>-SUM(AF40:AF42)</f>
        <v>0</v>
      </c>
      <c r="AG43" s="507">
        <f>-AF43*AC43/100</f>
        <v>0</v>
      </c>
      <c r="AH43" s="67">
        <f t="shared" si="3"/>
        <v>0</v>
      </c>
      <c r="AI43" s="532">
        <f>AG43*65.1%</f>
        <v>0</v>
      </c>
      <c r="AJ43" s="532">
        <f>AG43*9.9%</f>
        <v>0</v>
      </c>
      <c r="AK43" s="513">
        <f>AG43*13.3%</f>
        <v>0</v>
      </c>
      <c r="AL43" s="513">
        <f>AG43*7%</f>
        <v>0</v>
      </c>
      <c r="AM43" s="513">
        <f>AG43*0%</f>
        <v>0</v>
      </c>
      <c r="AN43" s="513">
        <f>AG43*3.2%</f>
        <v>0</v>
      </c>
      <c r="AO43" s="513">
        <f>AG43*1.5%</f>
        <v>0</v>
      </c>
      <c r="AP43" s="513"/>
      <c r="AQ43" s="507"/>
      <c r="AR43" s="52"/>
      <c r="AS43" s="52"/>
    </row>
    <row r="44" spans="1:45" x14ac:dyDescent="0.25">
      <c r="A44" s="501"/>
      <c r="B44" s="501"/>
      <c r="C44" s="534"/>
      <c r="D44" s="138"/>
      <c r="E44" s="534"/>
      <c r="F44" s="138"/>
      <c r="G44" s="138"/>
      <c r="H44" s="138"/>
      <c r="I44" s="138"/>
      <c r="J44" s="138"/>
      <c r="K44" s="138"/>
      <c r="L44" s="138"/>
      <c r="M44" s="138"/>
      <c r="N44" s="254"/>
      <c r="O44" s="138"/>
      <c r="P44" s="138"/>
      <c r="Q44" s="138"/>
      <c r="R44" s="138"/>
      <c r="S44" s="138"/>
      <c r="T44" s="138"/>
      <c r="U44" s="138"/>
      <c r="V44" s="138"/>
      <c r="W44" s="138"/>
      <c r="X44" s="503">
        <f t="shared" si="0"/>
        <v>0</v>
      </c>
      <c r="Y44" s="235" t="s">
        <v>173</v>
      </c>
      <c r="Z44" s="525"/>
      <c r="AA44" s="138"/>
      <c r="AB44" s="138"/>
      <c r="AC44" s="509"/>
      <c r="AD44" s="506">
        <f>X44*Z44/100</f>
        <v>0</v>
      </c>
      <c r="AE44" s="507"/>
      <c r="AF44" s="506">
        <f t="shared" ref="AF44:AF51" si="5">X44*AB44/100</f>
        <v>0</v>
      </c>
      <c r="AG44" s="507"/>
      <c r="AH44" s="67">
        <f t="shared" si="3"/>
        <v>0</v>
      </c>
      <c r="AI44" s="532"/>
      <c r="AJ44" s="532"/>
      <c r="AK44" s="513"/>
      <c r="AL44" s="513"/>
      <c r="AM44" s="513"/>
      <c r="AN44" s="513"/>
      <c r="AO44" s="513"/>
      <c r="AP44" s="513"/>
      <c r="AQ44" s="507"/>
      <c r="AR44" s="52"/>
      <c r="AS44" s="52"/>
    </row>
    <row r="45" spans="1:45" x14ac:dyDescent="0.25">
      <c r="A45" s="501"/>
      <c r="B45" s="501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254"/>
      <c r="O45" s="138"/>
      <c r="P45" s="138"/>
      <c r="Q45" s="138"/>
      <c r="R45" s="138"/>
      <c r="S45" s="138"/>
      <c r="T45" s="138"/>
      <c r="U45" s="138"/>
      <c r="V45" s="138"/>
      <c r="W45" s="138"/>
      <c r="X45" s="503">
        <f t="shared" si="0"/>
        <v>0</v>
      </c>
      <c r="Y45" s="235" t="s">
        <v>175</v>
      </c>
      <c r="Z45" s="525"/>
      <c r="AA45" s="138"/>
      <c r="AB45" s="138"/>
      <c r="AC45" s="509"/>
      <c r="AD45" s="506">
        <f>X45*Z45/100</f>
        <v>0</v>
      </c>
      <c r="AE45" s="507"/>
      <c r="AF45" s="506">
        <f t="shared" si="5"/>
        <v>0</v>
      </c>
      <c r="AG45" s="507"/>
      <c r="AH45" s="67">
        <f t="shared" si="3"/>
        <v>0</v>
      </c>
      <c r="AI45" s="532"/>
      <c r="AJ45" s="532"/>
      <c r="AK45" s="513"/>
      <c r="AL45" s="513"/>
      <c r="AM45" s="513"/>
      <c r="AN45" s="513"/>
      <c r="AO45" s="513"/>
      <c r="AP45" s="513"/>
      <c r="AQ45" s="507"/>
      <c r="AR45" s="52"/>
      <c r="AS45" s="52"/>
    </row>
    <row r="46" spans="1:45" x14ac:dyDescent="0.25">
      <c r="A46" s="501"/>
      <c r="B46" s="501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254"/>
      <c r="O46" s="138"/>
      <c r="P46" s="138"/>
      <c r="Q46" s="138"/>
      <c r="R46" s="138"/>
      <c r="S46" s="535"/>
      <c r="T46" s="138"/>
      <c r="U46" s="138"/>
      <c r="V46" s="138"/>
      <c r="W46" s="138"/>
      <c r="X46" s="503">
        <f t="shared" si="0"/>
        <v>0</v>
      </c>
      <c r="Y46" s="235" t="s">
        <v>177</v>
      </c>
      <c r="Z46" s="525"/>
      <c r="AA46" s="138"/>
      <c r="AB46" s="138"/>
      <c r="AC46" s="509"/>
      <c r="AD46" s="506">
        <f>X46*Z46/100</f>
        <v>0</v>
      </c>
      <c r="AE46" s="507"/>
      <c r="AF46" s="506">
        <f t="shared" si="5"/>
        <v>0</v>
      </c>
      <c r="AG46" s="507"/>
      <c r="AH46" s="67">
        <f t="shared" si="3"/>
        <v>0</v>
      </c>
      <c r="AI46" s="532"/>
      <c r="AJ46" s="532"/>
      <c r="AK46" s="513"/>
      <c r="AL46" s="513"/>
      <c r="AM46" s="513"/>
      <c r="AN46" s="513"/>
      <c r="AO46" s="513"/>
      <c r="AP46" s="513"/>
      <c r="AQ46" s="507"/>
      <c r="AR46" s="52"/>
      <c r="AS46" s="52"/>
    </row>
    <row r="47" spans="1:45" x14ac:dyDescent="0.25">
      <c r="A47" s="501"/>
      <c r="B47" s="501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254"/>
      <c r="O47" s="138"/>
      <c r="P47" s="138"/>
      <c r="Q47" s="138"/>
      <c r="R47" s="138"/>
      <c r="S47" s="138"/>
      <c r="T47" s="138"/>
      <c r="U47" s="138"/>
      <c r="V47" s="138"/>
      <c r="W47" s="138"/>
      <c r="X47" s="503">
        <f t="shared" si="0"/>
        <v>0</v>
      </c>
      <c r="Y47" s="235" t="s">
        <v>179</v>
      </c>
      <c r="Z47" s="525"/>
      <c r="AA47" s="138"/>
      <c r="AB47" s="138"/>
      <c r="AC47" s="509"/>
      <c r="AD47" s="506">
        <f>X47*Z47/100</f>
        <v>0</v>
      </c>
      <c r="AE47" s="507"/>
      <c r="AF47" s="506">
        <f t="shared" si="5"/>
        <v>0</v>
      </c>
      <c r="AG47" s="507"/>
      <c r="AH47" s="67">
        <f t="shared" si="3"/>
        <v>0</v>
      </c>
      <c r="AI47" s="532"/>
      <c r="AJ47" s="532"/>
      <c r="AK47" s="513"/>
      <c r="AL47" s="513"/>
      <c r="AM47" s="513"/>
      <c r="AN47" s="513"/>
      <c r="AO47" s="513"/>
      <c r="AP47" s="513"/>
      <c r="AQ47" s="507"/>
      <c r="AR47" s="52"/>
      <c r="AS47" s="52"/>
    </row>
    <row r="48" spans="1:45" x14ac:dyDescent="0.25">
      <c r="A48" s="502"/>
      <c r="B48" s="502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513">
        <f>AF48-AE48</f>
        <v>0</v>
      </c>
      <c r="O48" s="69"/>
      <c r="P48" s="69"/>
      <c r="Q48" s="69"/>
      <c r="R48" s="69"/>
      <c r="S48" s="69"/>
      <c r="T48" s="69"/>
      <c r="U48" s="69"/>
      <c r="V48" s="69"/>
      <c r="W48" s="69"/>
      <c r="X48" s="503">
        <f t="shared" si="0"/>
        <v>0</v>
      </c>
      <c r="Y48" s="235" t="s">
        <v>181</v>
      </c>
      <c r="Z48" s="506"/>
      <c r="AA48" s="69"/>
      <c r="AB48" s="69"/>
      <c r="AC48" s="507"/>
      <c r="AD48" s="525">
        <f>-AE48/$D$2%</f>
        <v>0</v>
      </c>
      <c r="AE48" s="509"/>
      <c r="AF48" s="506">
        <f>AE48*AB48%</f>
        <v>0</v>
      </c>
      <c r="AG48" s="509"/>
      <c r="AH48" s="192"/>
      <c r="AI48" s="532"/>
      <c r="AJ48" s="532"/>
      <c r="AK48" s="513"/>
      <c r="AL48" s="513"/>
      <c r="AM48" s="513"/>
      <c r="AN48" s="513"/>
      <c r="AO48" s="513"/>
      <c r="AP48" s="513"/>
      <c r="AQ48" s="507"/>
      <c r="AR48" s="159"/>
      <c r="AS48" s="159"/>
    </row>
    <row r="49" spans="1:45" x14ac:dyDescent="0.25">
      <c r="A49" s="502"/>
      <c r="B49" s="502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503">
        <f t="shared" si="0"/>
        <v>0</v>
      </c>
      <c r="Y49" s="235" t="s">
        <v>183</v>
      </c>
      <c r="Z49" s="506"/>
      <c r="AA49" s="69"/>
      <c r="AB49" s="69"/>
      <c r="AC49" s="507"/>
      <c r="AD49" s="525">
        <f>-AE49/$D$2%</f>
        <v>0</v>
      </c>
      <c r="AE49" s="509"/>
      <c r="AF49" s="525">
        <f>AE49*AB49%</f>
        <v>0</v>
      </c>
      <c r="AG49" s="509"/>
      <c r="AH49" s="192"/>
      <c r="AI49" s="532"/>
      <c r="AJ49" s="532"/>
      <c r="AK49" s="513"/>
      <c r="AL49" s="513"/>
      <c r="AM49" s="513"/>
      <c r="AN49" s="513"/>
      <c r="AO49" s="513"/>
      <c r="AP49" s="513"/>
      <c r="AQ49" s="507"/>
      <c r="AR49" s="159"/>
      <c r="AS49" s="159"/>
    </row>
    <row r="50" spans="1:45" x14ac:dyDescent="0.25">
      <c r="A50" s="501"/>
      <c r="B50" s="501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503">
        <f t="shared" si="0"/>
        <v>0</v>
      </c>
      <c r="Y50" s="536" t="s">
        <v>185</v>
      </c>
      <c r="Z50" s="525"/>
      <c r="AA50" s="138"/>
      <c r="AB50" s="138"/>
      <c r="AC50" s="509"/>
      <c r="AD50" s="506"/>
      <c r="AE50" s="507"/>
      <c r="AF50" s="506">
        <f t="shared" si="5"/>
        <v>0</v>
      </c>
      <c r="AG50" s="507"/>
      <c r="AH50" s="67">
        <f t="shared" si="3"/>
        <v>0</v>
      </c>
      <c r="AI50" s="532"/>
      <c r="AJ50" s="532"/>
      <c r="AK50" s="513"/>
      <c r="AL50" s="513"/>
      <c r="AM50" s="513"/>
      <c r="AN50" s="513"/>
      <c r="AO50" s="513"/>
      <c r="AP50" s="513"/>
      <c r="AQ50" s="507"/>
      <c r="AR50" s="52"/>
      <c r="AS50" s="52"/>
    </row>
    <row r="51" spans="1:45" x14ac:dyDescent="0.25">
      <c r="A51" s="501"/>
      <c r="B51" s="501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503">
        <f t="shared" si="0"/>
        <v>0</v>
      </c>
      <c r="Y51" s="235" t="s">
        <v>187</v>
      </c>
      <c r="Z51" s="525"/>
      <c r="AA51" s="138"/>
      <c r="AB51" s="138"/>
      <c r="AC51" s="509"/>
      <c r="AD51" s="506">
        <f>X51*Z51/100</f>
        <v>0</v>
      </c>
      <c r="AE51" s="507"/>
      <c r="AF51" s="506">
        <f t="shared" si="5"/>
        <v>0</v>
      </c>
      <c r="AG51" s="507"/>
      <c r="AH51" s="67">
        <f t="shared" si="3"/>
        <v>0</v>
      </c>
      <c r="AI51" s="532"/>
      <c r="AJ51" s="532"/>
      <c r="AK51" s="513"/>
      <c r="AL51" s="513"/>
      <c r="AM51" s="513"/>
      <c r="AN51" s="513"/>
      <c r="AO51" s="513"/>
      <c r="AP51" s="513"/>
      <c r="AQ51" s="507"/>
      <c r="AR51" s="52"/>
      <c r="AS51" s="52"/>
    </row>
    <row r="52" spans="1:45" x14ac:dyDescent="0.25">
      <c r="A52" s="501"/>
      <c r="B52" s="501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503">
        <f t="shared" si="0"/>
        <v>0</v>
      </c>
      <c r="Y52" s="235" t="s">
        <v>189</v>
      </c>
      <c r="Z52" s="525"/>
      <c r="AA52" s="138"/>
      <c r="AB52" s="138"/>
      <c r="AC52" s="533">
        <f>100-20.6</f>
        <v>79.400000000000006</v>
      </c>
      <c r="AD52" s="506"/>
      <c r="AE52" s="507"/>
      <c r="AF52" s="506">
        <f>-SUM(AF44:AF51)</f>
        <v>0</v>
      </c>
      <c r="AG52" s="507">
        <f>-AF52*AC52/100</f>
        <v>0</v>
      </c>
      <c r="AH52" s="67">
        <f t="shared" si="3"/>
        <v>0</v>
      </c>
      <c r="AI52" s="532">
        <f>AG52*65.1%</f>
        <v>0</v>
      </c>
      <c r="AJ52" s="532">
        <f>AG52*9.9%</f>
        <v>0</v>
      </c>
      <c r="AK52" s="513">
        <f>AG52*13.3%</f>
        <v>0</v>
      </c>
      <c r="AL52" s="513">
        <f>AG52*7%</f>
        <v>0</v>
      </c>
      <c r="AM52" s="513">
        <f>AG52*0%</f>
        <v>0</v>
      </c>
      <c r="AN52" s="513">
        <f>AG52*3.2%</f>
        <v>0</v>
      </c>
      <c r="AO52" s="513">
        <f>AG52*1.5%</f>
        <v>0</v>
      </c>
      <c r="AP52" s="513"/>
      <c r="AQ52" s="507"/>
      <c r="AR52" s="52"/>
      <c r="AS52" s="52"/>
    </row>
    <row r="53" spans="1:45" x14ac:dyDescent="0.25">
      <c r="A53" s="501"/>
      <c r="B53" s="501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503">
        <f t="shared" si="0"/>
        <v>0</v>
      </c>
      <c r="Y53" s="235" t="s">
        <v>193</v>
      </c>
      <c r="Z53" s="525"/>
      <c r="AA53" s="138"/>
      <c r="AB53" s="138"/>
      <c r="AC53" s="509"/>
      <c r="AD53" s="506">
        <f>X53*Z53/100</f>
        <v>0</v>
      </c>
      <c r="AE53" s="507"/>
      <c r="AF53" s="506">
        <f>X53*AB53/100</f>
        <v>0</v>
      </c>
      <c r="AG53" s="507"/>
      <c r="AH53" s="67">
        <f t="shared" ref="AH53:AH80" si="6">SUM(AI53:AQ53)</f>
        <v>0</v>
      </c>
      <c r="AI53" s="532"/>
      <c r="AJ53" s="532"/>
      <c r="AK53" s="513"/>
      <c r="AL53" s="513"/>
      <c r="AM53" s="513"/>
      <c r="AN53" s="513"/>
      <c r="AO53" s="513"/>
      <c r="AP53" s="513"/>
      <c r="AQ53" s="507"/>
      <c r="AR53" s="52"/>
      <c r="AS53" s="52"/>
    </row>
    <row r="54" spans="1:45" x14ac:dyDescent="0.25">
      <c r="A54" s="501"/>
      <c r="B54" s="501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503">
        <f t="shared" si="0"/>
        <v>0</v>
      </c>
      <c r="Y54" s="235" t="s">
        <v>195</v>
      </c>
      <c r="Z54" s="525"/>
      <c r="AA54" s="138"/>
      <c r="AB54" s="138"/>
      <c r="AC54" s="509"/>
      <c r="AD54" s="506">
        <f>X54*Z54/100</f>
        <v>0</v>
      </c>
      <c r="AE54" s="507"/>
      <c r="AF54" s="506">
        <f>X54*AB54/100</f>
        <v>0</v>
      </c>
      <c r="AG54" s="507"/>
      <c r="AH54" s="67">
        <f t="shared" si="6"/>
        <v>0</v>
      </c>
      <c r="AI54" s="532"/>
      <c r="AJ54" s="532"/>
      <c r="AK54" s="513"/>
      <c r="AL54" s="513"/>
      <c r="AM54" s="513"/>
      <c r="AN54" s="513"/>
      <c r="AO54" s="513"/>
      <c r="AP54" s="513"/>
      <c r="AQ54" s="507"/>
      <c r="AR54" s="52"/>
      <c r="AS54" s="52"/>
    </row>
    <row r="55" spans="1:45" x14ac:dyDescent="0.25">
      <c r="A55" s="501"/>
      <c r="B55" s="501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503">
        <f t="shared" si="0"/>
        <v>0</v>
      </c>
      <c r="Y55" s="235" t="s">
        <v>197</v>
      </c>
      <c r="Z55" s="525"/>
      <c r="AA55" s="138"/>
      <c r="AB55" s="138"/>
      <c r="AC55" s="533">
        <f>100-20.6</f>
        <v>79.400000000000006</v>
      </c>
      <c r="AD55" s="506"/>
      <c r="AE55" s="507"/>
      <c r="AF55" s="506">
        <f>-SUM(AF53:AF54)</f>
        <v>0</v>
      </c>
      <c r="AG55" s="507">
        <f>-AF55*AC55/100</f>
        <v>0</v>
      </c>
      <c r="AH55" s="67">
        <f t="shared" si="6"/>
        <v>0</v>
      </c>
      <c r="AI55" s="532">
        <f>AG55*65.1%</f>
        <v>0</v>
      </c>
      <c r="AJ55" s="532">
        <f>AG55*9.9%</f>
        <v>0</v>
      </c>
      <c r="AK55" s="513">
        <f>AG55*13.3%</f>
        <v>0</v>
      </c>
      <c r="AL55" s="513">
        <f>AG55*7%</f>
        <v>0</v>
      </c>
      <c r="AM55" s="513">
        <f>AG55*0%</f>
        <v>0</v>
      </c>
      <c r="AN55" s="513">
        <f>AG55*3.2%</f>
        <v>0</v>
      </c>
      <c r="AO55" s="513">
        <f>AG55*1.5%</f>
        <v>0</v>
      </c>
      <c r="AP55" s="513"/>
      <c r="AQ55" s="507"/>
      <c r="AR55" s="52"/>
      <c r="AS55" s="52"/>
    </row>
    <row r="56" spans="1:45" x14ac:dyDescent="0.25">
      <c r="A56" s="501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503">
        <f t="shared" si="0"/>
        <v>0</v>
      </c>
      <c r="Y56" s="235" t="s">
        <v>201</v>
      </c>
      <c r="Z56" s="525"/>
      <c r="AA56" s="138"/>
      <c r="AB56" s="138"/>
      <c r="AC56" s="509"/>
      <c r="AD56" s="506"/>
      <c r="AE56" s="507"/>
      <c r="AF56" s="506">
        <f>X56*AB56/100</f>
        <v>0</v>
      </c>
      <c r="AG56" s="507"/>
      <c r="AH56" s="67">
        <f t="shared" si="6"/>
        <v>0</v>
      </c>
      <c r="AI56" s="532"/>
      <c r="AJ56" s="532"/>
      <c r="AK56" s="513"/>
      <c r="AL56" s="513"/>
      <c r="AM56" s="513"/>
      <c r="AN56" s="513"/>
      <c r="AO56" s="513"/>
      <c r="AP56" s="513"/>
      <c r="AQ56" s="507"/>
      <c r="AR56" s="52"/>
      <c r="AS56" s="52"/>
    </row>
    <row r="57" spans="1:45" x14ac:dyDescent="0.25">
      <c r="A57" s="502"/>
      <c r="B57" s="502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513">
        <f>AF57-AE57</f>
        <v>0</v>
      </c>
      <c r="O57" s="69"/>
      <c r="P57" s="69"/>
      <c r="Q57" s="69"/>
      <c r="R57" s="69"/>
      <c r="S57" s="69"/>
      <c r="T57" s="69"/>
      <c r="U57" s="69"/>
      <c r="V57" s="69"/>
      <c r="W57" s="69"/>
      <c r="X57" s="503">
        <f t="shared" si="0"/>
        <v>0</v>
      </c>
      <c r="Y57" s="235" t="s">
        <v>203</v>
      </c>
      <c r="Z57" s="506"/>
      <c r="AA57" s="69"/>
      <c r="AB57" s="69"/>
      <c r="AC57" s="507"/>
      <c r="AD57" s="506">
        <f>-AE57/$D$2%</f>
        <v>0</v>
      </c>
      <c r="AE57" s="507"/>
      <c r="AF57" s="506">
        <f>AE57*AB57%</f>
        <v>0</v>
      </c>
      <c r="AG57" s="507"/>
      <c r="AH57" s="67"/>
      <c r="AI57" s="532"/>
      <c r="AJ57" s="532"/>
      <c r="AK57" s="513"/>
      <c r="AL57" s="513"/>
      <c r="AM57" s="513"/>
      <c r="AN57" s="513"/>
      <c r="AO57" s="513"/>
      <c r="AP57" s="513"/>
      <c r="AQ57" s="507"/>
      <c r="AR57" s="52"/>
      <c r="AS57" s="52"/>
    </row>
    <row r="58" spans="1:45" x14ac:dyDescent="0.25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537"/>
      <c r="O58" s="69"/>
      <c r="P58" s="69"/>
      <c r="Q58" s="69"/>
      <c r="R58" s="69"/>
      <c r="S58" s="69"/>
      <c r="T58" s="69"/>
      <c r="U58" s="69"/>
      <c r="V58" s="69"/>
      <c r="W58" s="69"/>
      <c r="X58" s="503">
        <f t="shared" si="0"/>
        <v>0</v>
      </c>
      <c r="Y58" s="235" t="s">
        <v>205</v>
      </c>
      <c r="Z58" s="506"/>
      <c r="AA58" s="69"/>
      <c r="AB58" s="69"/>
      <c r="AC58" s="507"/>
      <c r="AD58" s="506">
        <f>-AE58/$D$2%</f>
        <v>0</v>
      </c>
      <c r="AE58" s="507"/>
      <c r="AF58" s="506">
        <f>X58*AB58/100</f>
        <v>0</v>
      </c>
      <c r="AG58" s="507"/>
      <c r="AH58" s="67"/>
      <c r="AI58" s="532"/>
      <c r="AJ58" s="532"/>
      <c r="AK58" s="513"/>
      <c r="AL58" s="513"/>
      <c r="AM58" s="513"/>
      <c r="AN58" s="513"/>
      <c r="AO58" s="513"/>
      <c r="AP58" s="513"/>
      <c r="AQ58" s="507"/>
      <c r="AR58" s="52"/>
      <c r="AS58" s="52"/>
    </row>
    <row r="59" spans="1:45" x14ac:dyDescent="0.25">
      <c r="A59" s="502"/>
      <c r="B59" s="502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537"/>
      <c r="O59" s="69"/>
      <c r="P59" s="69"/>
      <c r="Q59" s="69"/>
      <c r="R59" s="69"/>
      <c r="S59" s="69"/>
      <c r="T59" s="69"/>
      <c r="U59" s="69"/>
      <c r="V59" s="69"/>
      <c r="W59" s="69"/>
      <c r="X59" s="503">
        <f t="shared" si="0"/>
        <v>0</v>
      </c>
      <c r="Y59" s="235" t="s">
        <v>207</v>
      </c>
      <c r="Z59" s="506"/>
      <c r="AA59" s="69"/>
      <c r="AB59" s="69"/>
      <c r="AC59" s="507"/>
      <c r="AD59" s="506"/>
      <c r="AE59" s="507"/>
      <c r="AF59" s="506">
        <f>X59*AB59/100</f>
        <v>0</v>
      </c>
      <c r="AG59" s="507"/>
      <c r="AH59" s="67"/>
      <c r="AI59" s="532"/>
      <c r="AJ59" s="532"/>
      <c r="AK59" s="513"/>
      <c r="AL59" s="513"/>
      <c r="AM59" s="513"/>
      <c r="AN59" s="513"/>
      <c r="AO59" s="513"/>
      <c r="AP59" s="513"/>
      <c r="AQ59" s="507"/>
      <c r="AR59" s="52"/>
      <c r="AS59" s="52"/>
    </row>
    <row r="60" spans="1:45" x14ac:dyDescent="0.25">
      <c r="A60" s="501"/>
      <c r="B60" s="501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254"/>
      <c r="O60" s="138"/>
      <c r="P60" s="138"/>
      <c r="Q60" s="138"/>
      <c r="R60" s="138"/>
      <c r="S60" s="138"/>
      <c r="T60" s="138"/>
      <c r="U60" s="138"/>
      <c r="V60" s="138"/>
      <c r="W60" s="138"/>
      <c r="X60" s="503">
        <f t="shared" si="0"/>
        <v>0</v>
      </c>
      <c r="Y60" s="235" t="s">
        <v>362</v>
      </c>
      <c r="Z60" s="525"/>
      <c r="AA60" s="138"/>
      <c r="AB60" s="138"/>
      <c r="AC60" s="509"/>
      <c r="AD60" s="506"/>
      <c r="AE60" s="507"/>
      <c r="AF60" s="506">
        <f>X60*AB60/100</f>
        <v>0</v>
      </c>
      <c r="AG60" s="507"/>
      <c r="AH60" s="67">
        <f t="shared" si="6"/>
        <v>0</v>
      </c>
      <c r="AI60" s="532"/>
      <c r="AJ60" s="532"/>
      <c r="AK60" s="513"/>
      <c r="AL60" s="513"/>
      <c r="AM60" s="513"/>
      <c r="AN60" s="513"/>
      <c r="AO60" s="513"/>
      <c r="AP60" s="513"/>
      <c r="AQ60" s="507"/>
      <c r="AR60" s="52"/>
      <c r="AS60" s="52"/>
    </row>
    <row r="61" spans="1:45" x14ac:dyDescent="0.25">
      <c r="A61" s="525"/>
      <c r="B61" s="138"/>
      <c r="C61" s="138"/>
      <c r="D61" s="138"/>
      <c r="E61" s="513">
        <f>5.4*31.8%</f>
        <v>1.7172000000000001</v>
      </c>
      <c r="F61" s="513"/>
      <c r="G61" s="513"/>
      <c r="H61" s="513"/>
      <c r="I61" s="513">
        <v>1800</v>
      </c>
      <c r="J61" s="513"/>
      <c r="K61" s="513"/>
      <c r="L61" s="513"/>
      <c r="M61" s="513"/>
      <c r="N61" s="513"/>
      <c r="O61" s="513"/>
      <c r="P61" s="513"/>
      <c r="Q61" s="513"/>
      <c r="R61" s="513">
        <v>800</v>
      </c>
      <c r="S61" s="513">
        <f>(5.5+37.4)*31.8%</f>
        <v>13.642199999999999</v>
      </c>
      <c r="T61" s="513"/>
      <c r="U61" s="513">
        <f>1512.3*0.55*31.8%</f>
        <v>264.50126999999998</v>
      </c>
      <c r="V61" s="513">
        <f>43*31.8%</f>
        <v>13.673999999999999</v>
      </c>
      <c r="W61" s="513">
        <f>1512.3*0.45*31.8%</f>
        <v>216.41012999999998</v>
      </c>
      <c r="X61" s="503">
        <f t="shared" si="0"/>
        <v>3109.9448000000002</v>
      </c>
      <c r="Y61" s="235" t="s">
        <v>159</v>
      </c>
      <c r="Z61" s="504">
        <v>22.6</v>
      </c>
      <c r="AA61" s="502"/>
      <c r="AB61" s="502">
        <v>52.5</v>
      </c>
      <c r="AC61" s="505"/>
      <c r="AD61" s="525">
        <f>X61*Z61/100</f>
        <v>702.84752480000009</v>
      </c>
      <c r="AE61" s="509"/>
      <c r="AF61" s="506">
        <f>X61*AB61%</f>
        <v>1632.7210200000002</v>
      </c>
      <c r="AG61" s="507"/>
      <c r="AH61" s="67">
        <f t="shared" si="6"/>
        <v>0</v>
      </c>
      <c r="AI61" s="510"/>
      <c r="AJ61" s="69"/>
      <c r="AK61" s="69"/>
      <c r="AL61" s="69"/>
      <c r="AM61" s="69"/>
      <c r="AN61" s="69"/>
      <c r="AO61" s="69"/>
      <c r="AP61" s="69"/>
      <c r="AQ61" s="507"/>
      <c r="AR61" s="52"/>
      <c r="AS61" s="52"/>
    </row>
    <row r="62" spans="1:45" x14ac:dyDescent="0.25">
      <c r="A62" s="501"/>
      <c r="B62" s="501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538"/>
      <c r="O62" s="138"/>
      <c r="P62" s="138"/>
      <c r="Q62" s="138"/>
      <c r="R62" s="138"/>
      <c r="S62" s="138"/>
      <c r="T62" s="138"/>
      <c r="U62" s="138"/>
      <c r="V62" s="138"/>
      <c r="W62" s="501"/>
      <c r="X62" s="503">
        <f t="shared" si="0"/>
        <v>0</v>
      </c>
      <c r="Y62" s="235" t="s">
        <v>211</v>
      </c>
      <c r="Z62" s="504"/>
      <c r="AA62" s="502"/>
      <c r="AB62" s="502"/>
      <c r="AC62" s="505">
        <f>100-20.6</f>
        <v>79.400000000000006</v>
      </c>
      <c r="AD62" s="525"/>
      <c r="AE62" s="509"/>
      <c r="AF62" s="525">
        <f>-SUM(AF56:AF61)</f>
        <v>-1632.7210200000002</v>
      </c>
      <c r="AG62" s="507">
        <f>-AF62*AC62/100</f>
        <v>1296.3804898800001</v>
      </c>
      <c r="AH62" s="67">
        <f>SUM(AI62:AQ62)</f>
        <v>1296.3804898799999</v>
      </c>
      <c r="AI62" s="532">
        <f>AG62*65.1%</f>
        <v>843.94369891188001</v>
      </c>
      <c r="AJ62" s="532">
        <f>AG62*9.9%</f>
        <v>128.34166849812001</v>
      </c>
      <c r="AK62" s="513">
        <f>AG62*13.3%</f>
        <v>172.41860515404002</v>
      </c>
      <c r="AL62" s="513">
        <f>AG62*7%</f>
        <v>90.746634291600017</v>
      </c>
      <c r="AM62" s="513">
        <f>AG62*0%</f>
        <v>0</v>
      </c>
      <c r="AN62" s="513">
        <f>AG62*3.2%</f>
        <v>41.484175676160007</v>
      </c>
      <c r="AO62" s="513">
        <f>AG62*1.5%</f>
        <v>19.445707348200003</v>
      </c>
      <c r="AP62" s="513"/>
      <c r="AQ62" s="507"/>
      <c r="AR62" s="52"/>
      <c r="AS62" s="52"/>
    </row>
    <row r="63" spans="1:45" x14ac:dyDescent="0.25">
      <c r="A63" s="501"/>
      <c r="B63" s="501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538"/>
      <c r="O63" s="138"/>
      <c r="P63" s="138"/>
      <c r="Q63" s="138"/>
      <c r="R63" s="138"/>
      <c r="S63" s="138"/>
      <c r="T63" s="138"/>
      <c r="U63" s="138"/>
      <c r="V63" s="138"/>
      <c r="W63" s="501"/>
      <c r="X63" s="503">
        <f t="shared" si="0"/>
        <v>0</v>
      </c>
      <c r="Y63" s="235" t="s">
        <v>215</v>
      </c>
      <c r="Z63" s="525"/>
      <c r="AA63" s="138"/>
      <c r="AB63" s="138"/>
      <c r="AC63" s="509"/>
      <c r="AD63" s="525">
        <f t="shared" ref="AD63:AD68" si="7">Z63/100*X63</f>
        <v>0</v>
      </c>
      <c r="AE63" s="509"/>
      <c r="AF63" s="506">
        <f t="shared" ref="AF63:AF67" si="8">X63*AB63/100</f>
        <v>0</v>
      </c>
      <c r="AG63" s="507"/>
      <c r="AH63" s="67">
        <f t="shared" si="6"/>
        <v>0</v>
      </c>
      <c r="AI63" s="510"/>
      <c r="AJ63" s="69"/>
      <c r="AK63" s="69"/>
      <c r="AL63" s="69"/>
      <c r="AM63" s="69"/>
      <c r="AN63" s="69"/>
      <c r="AO63" s="69"/>
      <c r="AP63" s="69"/>
      <c r="AQ63" s="507"/>
      <c r="AR63" s="52"/>
      <c r="AS63" s="52"/>
    </row>
    <row r="64" spans="1:45" x14ac:dyDescent="0.25">
      <c r="A64" s="501"/>
      <c r="B64" s="501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538"/>
      <c r="O64" s="138"/>
      <c r="P64" s="138"/>
      <c r="Q64" s="138"/>
      <c r="R64" s="138"/>
      <c r="S64" s="138"/>
      <c r="T64" s="138"/>
      <c r="U64" s="138"/>
      <c r="V64" s="138"/>
      <c r="W64" s="501"/>
      <c r="X64" s="503">
        <f t="shared" si="0"/>
        <v>0</v>
      </c>
      <c r="Y64" s="235" t="s">
        <v>217</v>
      </c>
      <c r="Z64" s="525"/>
      <c r="AA64" s="138"/>
      <c r="AB64" s="138"/>
      <c r="AC64" s="509"/>
      <c r="AD64" s="525">
        <f t="shared" si="7"/>
        <v>0</v>
      </c>
      <c r="AE64" s="509"/>
      <c r="AF64" s="506">
        <f t="shared" si="8"/>
        <v>0</v>
      </c>
      <c r="AG64" s="507"/>
      <c r="AH64" s="67">
        <f t="shared" si="6"/>
        <v>0</v>
      </c>
      <c r="AI64" s="510"/>
      <c r="AJ64" s="69"/>
      <c r="AK64" s="69"/>
      <c r="AL64" s="69"/>
      <c r="AM64" s="69"/>
      <c r="AN64" s="69"/>
      <c r="AO64" s="69"/>
      <c r="AP64" s="69"/>
      <c r="AQ64" s="507"/>
      <c r="AR64" s="52"/>
      <c r="AS64" s="52"/>
    </row>
    <row r="65" spans="1:45" x14ac:dyDescent="0.25">
      <c r="A65" s="501"/>
      <c r="B65" s="501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538"/>
      <c r="O65" s="138"/>
      <c r="P65" s="138"/>
      <c r="Q65" s="138"/>
      <c r="R65" s="138"/>
      <c r="S65" s="138"/>
      <c r="T65" s="138"/>
      <c r="U65" s="138"/>
      <c r="V65" s="138"/>
      <c r="W65" s="501"/>
      <c r="X65" s="503">
        <f t="shared" si="0"/>
        <v>0</v>
      </c>
      <c r="Y65" s="235" t="s">
        <v>219</v>
      </c>
      <c r="Z65" s="525"/>
      <c r="AA65" s="138"/>
      <c r="AB65" s="138"/>
      <c r="AC65" s="509"/>
      <c r="AD65" s="525">
        <f t="shared" si="7"/>
        <v>0</v>
      </c>
      <c r="AE65" s="509"/>
      <c r="AF65" s="506">
        <f t="shared" si="8"/>
        <v>0</v>
      </c>
      <c r="AG65" s="507"/>
      <c r="AH65" s="67">
        <f t="shared" si="6"/>
        <v>0</v>
      </c>
      <c r="AI65" s="510"/>
      <c r="AJ65" s="69"/>
      <c r="AK65" s="69"/>
      <c r="AL65" s="69"/>
      <c r="AM65" s="69"/>
      <c r="AN65" s="69"/>
      <c r="AO65" s="69"/>
      <c r="AP65" s="69"/>
      <c r="AQ65" s="507"/>
      <c r="AR65" s="52"/>
      <c r="AS65" s="52"/>
    </row>
    <row r="66" spans="1:45" x14ac:dyDescent="0.25">
      <c r="A66" s="501"/>
      <c r="B66" s="501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502"/>
      <c r="O66" s="138"/>
      <c r="P66" s="138"/>
      <c r="Q66" s="138"/>
      <c r="R66" s="138"/>
      <c r="S66" s="138"/>
      <c r="T66" s="138"/>
      <c r="U66" s="138"/>
      <c r="V66" s="138"/>
      <c r="W66" s="501"/>
      <c r="X66" s="503">
        <f t="shared" si="0"/>
        <v>0</v>
      </c>
      <c r="Y66" s="235" t="s">
        <v>221</v>
      </c>
      <c r="Z66" s="525"/>
      <c r="AA66" s="138"/>
      <c r="AB66" s="138"/>
      <c r="AC66" s="509"/>
      <c r="AD66" s="525">
        <f t="shared" si="7"/>
        <v>0</v>
      </c>
      <c r="AE66" s="509"/>
      <c r="AF66" s="506">
        <f t="shared" si="8"/>
        <v>0</v>
      </c>
      <c r="AG66" s="507"/>
      <c r="AH66" s="67">
        <f t="shared" si="6"/>
        <v>0</v>
      </c>
      <c r="AI66" s="510"/>
      <c r="AJ66" s="69"/>
      <c r="AK66" s="69"/>
      <c r="AL66" s="69"/>
      <c r="AM66" s="69"/>
      <c r="AN66" s="69"/>
      <c r="AO66" s="69"/>
      <c r="AP66" s="69"/>
      <c r="AQ66" s="507"/>
      <c r="AR66" s="52"/>
      <c r="AS66" s="52"/>
    </row>
    <row r="67" spans="1:45" x14ac:dyDescent="0.25">
      <c r="A67" s="501"/>
      <c r="B67" s="501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502"/>
      <c r="O67" s="138"/>
      <c r="P67" s="138"/>
      <c r="Q67" s="138"/>
      <c r="R67" s="138"/>
      <c r="S67" s="138"/>
      <c r="T67" s="138"/>
      <c r="U67" s="138"/>
      <c r="V67" s="138"/>
      <c r="W67" s="501"/>
      <c r="X67" s="503">
        <f t="shared" si="0"/>
        <v>0</v>
      </c>
      <c r="Y67" s="235" t="s">
        <v>223</v>
      </c>
      <c r="Z67" s="525"/>
      <c r="AA67" s="138"/>
      <c r="AB67" s="138"/>
      <c r="AC67" s="509"/>
      <c r="AD67" s="525">
        <f t="shared" si="7"/>
        <v>0</v>
      </c>
      <c r="AE67" s="509"/>
      <c r="AF67" s="506">
        <f t="shared" si="8"/>
        <v>0</v>
      </c>
      <c r="AG67" s="507"/>
      <c r="AH67" s="67">
        <f t="shared" si="6"/>
        <v>0</v>
      </c>
      <c r="AI67" s="510"/>
      <c r="AJ67" s="69"/>
      <c r="AK67" s="69"/>
      <c r="AL67" s="69"/>
      <c r="AM67" s="69"/>
      <c r="AN67" s="69"/>
      <c r="AO67" s="69"/>
      <c r="AP67" s="69"/>
      <c r="AQ67" s="507"/>
      <c r="AR67" s="52"/>
      <c r="AS67" s="52"/>
    </row>
    <row r="68" spans="1:45" x14ac:dyDescent="0.25">
      <c r="A68" s="501"/>
      <c r="B68" s="501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502"/>
      <c r="O68" s="138"/>
      <c r="P68" s="138"/>
      <c r="Q68" s="138"/>
      <c r="R68" s="138"/>
      <c r="S68" s="138"/>
      <c r="T68" s="138"/>
      <c r="U68" s="138"/>
      <c r="V68" s="138"/>
      <c r="W68" s="501"/>
      <c r="X68" s="503">
        <f t="shared" si="0"/>
        <v>0</v>
      </c>
      <c r="Y68" s="235" t="s">
        <v>225</v>
      </c>
      <c r="Z68" s="525"/>
      <c r="AA68" s="138"/>
      <c r="AB68" s="138"/>
      <c r="AC68" s="509"/>
      <c r="AD68" s="506">
        <f t="shared" si="7"/>
        <v>0</v>
      </c>
      <c r="AE68" s="509"/>
      <c r="AF68" s="506">
        <f>1171.8*31.8%</f>
        <v>372.63240000000002</v>
      </c>
      <c r="AG68" s="507"/>
      <c r="AH68" s="67">
        <f t="shared" si="6"/>
        <v>0</v>
      </c>
      <c r="AI68" s="510"/>
      <c r="AJ68" s="69"/>
      <c r="AK68" s="69"/>
      <c r="AL68" s="69"/>
      <c r="AM68" s="69"/>
      <c r="AN68" s="69"/>
      <c r="AO68" s="69"/>
      <c r="AP68" s="69"/>
      <c r="AQ68" s="507"/>
      <c r="AR68" s="52"/>
      <c r="AS68" s="52"/>
    </row>
    <row r="69" spans="1:45" x14ac:dyDescent="0.25">
      <c r="A69" s="501"/>
      <c r="B69" s="501"/>
      <c r="C69" s="501"/>
      <c r="D69" s="501"/>
      <c r="E69" s="501"/>
      <c r="F69" s="501"/>
      <c r="G69" s="501"/>
      <c r="H69" s="501"/>
      <c r="I69" s="501"/>
      <c r="J69" s="501"/>
      <c r="K69" s="501"/>
      <c r="L69" s="501"/>
      <c r="M69" s="501"/>
      <c r="N69" s="502"/>
      <c r="O69" s="501"/>
      <c r="P69" s="501"/>
      <c r="Q69" s="501"/>
      <c r="R69" s="501"/>
      <c r="S69" s="501"/>
      <c r="T69" s="501"/>
      <c r="U69" s="501"/>
      <c r="V69" s="501"/>
      <c r="W69" s="501"/>
      <c r="X69" s="503">
        <f t="shared" si="0"/>
        <v>0</v>
      </c>
      <c r="Y69" s="536" t="s">
        <v>227</v>
      </c>
      <c r="Z69" s="500"/>
      <c r="AA69" s="501"/>
      <c r="AB69" s="501"/>
      <c r="AC69" s="535"/>
      <c r="AD69" s="506">
        <f>-AE69</f>
        <v>-142.40040000000002</v>
      </c>
      <c r="AE69" s="507">
        <f>447.8*31.8%</f>
        <v>142.40040000000002</v>
      </c>
      <c r="AF69" s="525"/>
      <c r="AG69" s="507"/>
      <c r="AH69" s="67">
        <f t="shared" si="6"/>
        <v>142.40040000000002</v>
      </c>
      <c r="AI69" s="510"/>
      <c r="AJ69" s="69"/>
      <c r="AK69" s="69"/>
      <c r="AL69" s="69"/>
      <c r="AM69" s="69"/>
      <c r="AN69" s="69">
        <f>AE69</f>
        <v>142.40040000000002</v>
      </c>
      <c r="AO69" s="69"/>
      <c r="AP69" s="69"/>
      <c r="AQ69" s="507"/>
      <c r="AR69" s="52"/>
      <c r="AS69" s="52"/>
    </row>
    <row r="70" spans="1:45" x14ac:dyDescent="0.25">
      <c r="A70" s="501"/>
      <c r="B70" s="501"/>
      <c r="C70" s="501"/>
      <c r="D70" s="501"/>
      <c r="E70" s="138"/>
      <c r="F70" s="138"/>
      <c r="G70" s="138"/>
      <c r="H70" s="138"/>
      <c r="I70" s="138"/>
      <c r="J70" s="138"/>
      <c r="K70" s="138"/>
      <c r="L70" s="138"/>
      <c r="M70" s="138"/>
      <c r="N70" s="502"/>
      <c r="O70" s="138"/>
      <c r="P70" s="138"/>
      <c r="Q70" s="138"/>
      <c r="R70" s="501"/>
      <c r="S70" s="501"/>
      <c r="T70" s="501"/>
      <c r="U70" s="501"/>
      <c r="V70" s="501"/>
      <c r="W70" s="501"/>
      <c r="X70" s="503">
        <f t="shared" si="0"/>
        <v>0</v>
      </c>
      <c r="Y70" s="536" t="s">
        <v>229</v>
      </c>
      <c r="Z70" s="500"/>
      <c r="AA70" s="501"/>
      <c r="AB70" s="501"/>
      <c r="AC70" s="509"/>
      <c r="AD70" s="525"/>
      <c r="AE70" s="509"/>
      <c r="AF70" s="525"/>
      <c r="AG70" s="539"/>
      <c r="AH70" s="67">
        <f t="shared" si="6"/>
        <v>0</v>
      </c>
      <c r="AI70" s="510"/>
      <c r="AJ70" s="69"/>
      <c r="AK70" s="69"/>
      <c r="AL70" s="69"/>
      <c r="AM70" s="69"/>
      <c r="AN70" s="69">
        <f>-AF70</f>
        <v>0</v>
      </c>
      <c r="AO70" s="69"/>
      <c r="AP70" s="69"/>
      <c r="AQ70" s="507"/>
      <c r="AR70" s="52"/>
      <c r="AS70" s="52"/>
    </row>
    <row r="71" spans="1:45" x14ac:dyDescent="0.25">
      <c r="A71" s="501"/>
      <c r="B71" s="501"/>
      <c r="C71" s="501"/>
      <c r="D71" s="501"/>
      <c r="E71" s="138"/>
      <c r="F71" s="138"/>
      <c r="G71" s="138"/>
      <c r="H71" s="138"/>
      <c r="I71" s="138"/>
      <c r="J71" s="138"/>
      <c r="K71" s="138"/>
      <c r="L71" s="138"/>
      <c r="M71" s="138"/>
      <c r="N71" s="502"/>
      <c r="O71" s="138"/>
      <c r="P71" s="138"/>
      <c r="Q71" s="138"/>
      <c r="R71" s="501"/>
      <c r="S71" s="501"/>
      <c r="T71" s="501"/>
      <c r="U71" s="501"/>
      <c r="V71" s="501"/>
      <c r="W71" s="501"/>
      <c r="X71" s="503">
        <f t="shared" si="0"/>
        <v>0</v>
      </c>
      <c r="Y71" s="235" t="s">
        <v>231</v>
      </c>
      <c r="Z71" s="500"/>
      <c r="AA71" s="501"/>
      <c r="AB71" s="501"/>
      <c r="AC71" s="533">
        <f>100-20.6</f>
        <v>79.400000000000006</v>
      </c>
      <c r="AD71" s="525"/>
      <c r="AE71" s="509"/>
      <c r="AF71" s="506">
        <f>-SUM(AF63:AF70)</f>
        <v>-372.63240000000002</v>
      </c>
      <c r="AG71" s="507">
        <f>-AF71*AC71/100</f>
        <v>295.87012560000005</v>
      </c>
      <c r="AH71" s="67">
        <f>SUM(AI71:AQ71)</f>
        <v>295.87012560000005</v>
      </c>
      <c r="AI71" s="532">
        <f>AG71*65.1%</f>
        <v>192.61145176560001</v>
      </c>
      <c r="AJ71" s="532">
        <f>AG71*9.9%</f>
        <v>29.291142434400008</v>
      </c>
      <c r="AK71" s="513">
        <f>AG71*13.3%</f>
        <v>39.35072670480001</v>
      </c>
      <c r="AL71" s="513">
        <f>AG71*7%</f>
        <v>20.710908792000005</v>
      </c>
      <c r="AM71" s="513">
        <f>AG71*0%</f>
        <v>0</v>
      </c>
      <c r="AN71" s="513">
        <f>AG71*3.2%</f>
        <v>9.4678440192000011</v>
      </c>
      <c r="AO71" s="513">
        <f>AG71*1.5%</f>
        <v>4.4380518840000009</v>
      </c>
      <c r="AP71" s="513"/>
      <c r="AQ71" s="507"/>
      <c r="AR71" s="52"/>
      <c r="AS71" s="52"/>
    </row>
    <row r="72" spans="1:45" x14ac:dyDescent="0.25">
      <c r="A72" s="525"/>
      <c r="B72" s="138"/>
      <c r="C72" s="138"/>
      <c r="D72" s="138"/>
      <c r="E72" s="138"/>
      <c r="F72" s="138"/>
      <c r="G72" s="138"/>
      <c r="H72" s="513">
        <f>541.39*(100%-3.1%)</f>
        <v>524.60690999999997</v>
      </c>
      <c r="I72" s="513"/>
      <c r="J72" s="513"/>
      <c r="K72" s="513"/>
      <c r="L72" s="513"/>
      <c r="M72" s="513"/>
      <c r="N72" s="513"/>
      <c r="O72" s="513"/>
      <c r="P72" s="513">
        <f>541.39*3.1%</f>
        <v>16.783089999999998</v>
      </c>
      <c r="Q72" s="138"/>
      <c r="R72" s="138"/>
      <c r="S72" s="138"/>
      <c r="T72" s="138"/>
      <c r="U72" s="138"/>
      <c r="V72" s="138"/>
      <c r="W72" s="138"/>
      <c r="X72" s="503">
        <f t="shared" ref="X72:X80" si="9">SUM(A72:W72)</f>
        <v>541.39</v>
      </c>
      <c r="Y72" s="235" t="s">
        <v>241</v>
      </c>
      <c r="Z72" s="504"/>
      <c r="AA72" s="502">
        <v>20</v>
      </c>
      <c r="AB72" s="502"/>
      <c r="AC72" s="507"/>
      <c r="AD72" s="525"/>
      <c r="AE72" s="509"/>
      <c r="AF72" s="506"/>
      <c r="AG72" s="507"/>
      <c r="AH72" s="67">
        <f t="shared" si="6"/>
        <v>108.27799999999999</v>
      </c>
      <c r="AI72" s="510"/>
      <c r="AJ72" s="69"/>
      <c r="AK72" s="69"/>
      <c r="AL72" s="69"/>
      <c r="AM72" s="69"/>
      <c r="AN72" s="69"/>
      <c r="AO72" s="69"/>
      <c r="AP72" s="69"/>
      <c r="AQ72" s="507">
        <f>X72*AA72/100</f>
        <v>108.27799999999999</v>
      </c>
      <c r="AR72" s="52"/>
      <c r="AS72" s="52"/>
    </row>
    <row r="73" spans="1:45" x14ac:dyDescent="0.25">
      <c r="A73" s="525"/>
      <c r="B73" s="138"/>
      <c r="C73" s="138"/>
      <c r="D73" s="138"/>
      <c r="E73" s="138"/>
      <c r="F73" s="513">
        <f>411.28*(100%-6.9%)</f>
        <v>382.90168</v>
      </c>
      <c r="G73" s="513"/>
      <c r="H73" s="513"/>
      <c r="I73" s="513"/>
      <c r="J73" s="513"/>
      <c r="K73" s="513"/>
      <c r="L73" s="513"/>
      <c r="M73" s="513"/>
      <c r="N73" s="513"/>
      <c r="O73" s="513"/>
      <c r="P73" s="513">
        <f>411.28*6.9%</f>
        <v>28.378320000000002</v>
      </c>
      <c r="Q73" s="138"/>
      <c r="R73" s="138"/>
      <c r="S73" s="138"/>
      <c r="T73" s="138"/>
      <c r="U73" s="138"/>
      <c r="V73" s="138"/>
      <c r="W73" s="138"/>
      <c r="X73" s="503">
        <f t="shared" si="9"/>
        <v>411.28</v>
      </c>
      <c r="Y73" s="235" t="s">
        <v>243</v>
      </c>
      <c r="Z73" s="504"/>
      <c r="AA73" s="502">
        <v>25</v>
      </c>
      <c r="AB73" s="502"/>
      <c r="AC73" s="505"/>
      <c r="AD73" s="500"/>
      <c r="AE73" s="503"/>
      <c r="AF73" s="506"/>
      <c r="AG73" s="505"/>
      <c r="AH73" s="67">
        <f t="shared" si="6"/>
        <v>102.82</v>
      </c>
      <c r="AI73" s="510"/>
      <c r="AJ73" s="69"/>
      <c r="AK73" s="69"/>
      <c r="AL73" s="69"/>
      <c r="AM73" s="69"/>
      <c r="AN73" s="69"/>
      <c r="AO73" s="69"/>
      <c r="AP73" s="69"/>
      <c r="AQ73" s="507">
        <f>X73*AA73/100</f>
        <v>102.82</v>
      </c>
      <c r="AR73" s="52"/>
      <c r="AS73" s="52"/>
    </row>
    <row r="74" spans="1:45" x14ac:dyDescent="0.25">
      <c r="A74" s="506"/>
      <c r="B74" s="138"/>
      <c r="C74" s="138"/>
      <c r="D74" s="138"/>
      <c r="E74" s="138"/>
      <c r="F74" s="513">
        <f>170.73*(100%-6.9%)</f>
        <v>158.94962999999998</v>
      </c>
      <c r="G74" s="513"/>
      <c r="H74" s="513"/>
      <c r="I74" s="513"/>
      <c r="J74" s="513"/>
      <c r="K74" s="513"/>
      <c r="L74" s="513"/>
      <c r="M74" s="513"/>
      <c r="N74" s="513"/>
      <c r="O74" s="513"/>
      <c r="P74" s="513">
        <f>170.73*6.9%</f>
        <v>11.78037</v>
      </c>
      <c r="Q74" s="138"/>
      <c r="R74" s="138"/>
      <c r="S74" s="138"/>
      <c r="T74" s="138"/>
      <c r="U74" s="138"/>
      <c r="V74" s="138"/>
      <c r="W74" s="138"/>
      <c r="X74" s="503">
        <f t="shared" si="9"/>
        <v>170.73</v>
      </c>
      <c r="Y74" s="235" t="s">
        <v>244</v>
      </c>
      <c r="Z74" s="504"/>
      <c r="AA74" s="502">
        <v>25</v>
      </c>
      <c r="AB74" s="502"/>
      <c r="AC74" s="505"/>
      <c r="AD74" s="500"/>
      <c r="AE74" s="503"/>
      <c r="AF74" s="506"/>
      <c r="AG74" s="505"/>
      <c r="AH74" s="67">
        <f t="shared" si="6"/>
        <v>42.682499999999997</v>
      </c>
      <c r="AI74" s="510"/>
      <c r="AJ74" s="69"/>
      <c r="AK74" s="69"/>
      <c r="AL74" s="69"/>
      <c r="AM74" s="69"/>
      <c r="AN74" s="69"/>
      <c r="AO74" s="69"/>
      <c r="AP74" s="69"/>
      <c r="AQ74" s="507">
        <f>X74*AA74/100</f>
        <v>42.682499999999997</v>
      </c>
      <c r="AR74" s="52"/>
      <c r="AS74" s="52"/>
    </row>
    <row r="75" spans="1:45" x14ac:dyDescent="0.25">
      <c r="A75" s="525"/>
      <c r="B75" s="138"/>
      <c r="C75" s="138"/>
      <c r="D75" s="138"/>
      <c r="E75" s="138"/>
      <c r="F75" s="513">
        <f>49.1*(100%-6.9%)</f>
        <v>45.712100000000007</v>
      </c>
      <c r="G75" s="513"/>
      <c r="H75" s="513"/>
      <c r="I75" s="513"/>
      <c r="J75" s="513"/>
      <c r="K75" s="513"/>
      <c r="L75" s="513"/>
      <c r="M75" s="513"/>
      <c r="N75" s="513"/>
      <c r="O75" s="513"/>
      <c r="P75" s="513">
        <f>49.1*6.9%</f>
        <v>3.3879000000000006</v>
      </c>
      <c r="Q75" s="138"/>
      <c r="R75" s="138"/>
      <c r="S75" s="138"/>
      <c r="T75" s="138"/>
      <c r="U75" s="138"/>
      <c r="V75" s="138"/>
      <c r="W75" s="138"/>
      <c r="X75" s="503">
        <f t="shared" si="9"/>
        <v>49.100000000000009</v>
      </c>
      <c r="Y75" s="235" t="s">
        <v>246</v>
      </c>
      <c r="Z75" s="504"/>
      <c r="AA75" s="502">
        <v>33</v>
      </c>
      <c r="AB75" s="502"/>
      <c r="AC75" s="505"/>
      <c r="AD75" s="500"/>
      <c r="AE75" s="503"/>
      <c r="AF75" s="506"/>
      <c r="AG75" s="505"/>
      <c r="AH75" s="67">
        <f t="shared" si="6"/>
        <v>16.203000000000003</v>
      </c>
      <c r="AI75" s="510"/>
      <c r="AJ75" s="69"/>
      <c r="AK75" s="69"/>
      <c r="AL75" s="69"/>
      <c r="AM75" s="69"/>
      <c r="AN75" s="69"/>
      <c r="AO75" s="69"/>
      <c r="AP75" s="69"/>
      <c r="AQ75" s="507">
        <f>X75*AA75/100</f>
        <v>16.203000000000003</v>
      </c>
      <c r="AR75" s="52"/>
      <c r="AS75" s="52"/>
    </row>
    <row r="76" spans="1:45" x14ac:dyDescent="0.25">
      <c r="A76" s="525"/>
      <c r="B76" s="138"/>
      <c r="C76" s="138"/>
      <c r="D76" s="138"/>
      <c r="E76" s="138"/>
      <c r="F76" s="513">
        <f>330.7*(100%-6.9%)</f>
        <v>307.88170000000002</v>
      </c>
      <c r="G76" s="513"/>
      <c r="H76" s="513"/>
      <c r="I76" s="513"/>
      <c r="J76" s="513"/>
      <c r="K76" s="513"/>
      <c r="L76" s="513"/>
      <c r="M76" s="513"/>
      <c r="N76" s="513"/>
      <c r="O76" s="513"/>
      <c r="P76" s="513">
        <f>330.7*6.9%</f>
        <v>22.818300000000001</v>
      </c>
      <c r="Q76" s="138"/>
      <c r="R76" s="138"/>
      <c r="S76" s="138"/>
      <c r="T76" s="138"/>
      <c r="U76" s="138"/>
      <c r="V76" s="138"/>
      <c r="W76" s="138"/>
      <c r="X76" s="503">
        <f t="shared" si="9"/>
        <v>330.70000000000005</v>
      </c>
      <c r="Y76" s="235" t="s">
        <v>248</v>
      </c>
      <c r="Z76" s="504"/>
      <c r="AA76" s="502">
        <v>33</v>
      </c>
      <c r="AB76" s="502"/>
      <c r="AC76" s="505"/>
      <c r="AD76" s="500"/>
      <c r="AE76" s="503"/>
      <c r="AF76" s="506"/>
      <c r="AG76" s="505"/>
      <c r="AH76" s="67">
        <f t="shared" si="6"/>
        <v>109.13100000000003</v>
      </c>
      <c r="AI76" s="510"/>
      <c r="AJ76" s="69"/>
      <c r="AK76" s="69"/>
      <c r="AL76" s="69"/>
      <c r="AM76" s="69"/>
      <c r="AN76" s="69"/>
      <c r="AO76" s="69"/>
      <c r="AP76" s="69"/>
      <c r="AQ76" s="507">
        <f>X76*AA76/100</f>
        <v>109.13100000000003</v>
      </c>
      <c r="AR76" s="52"/>
      <c r="AS76" s="52"/>
    </row>
    <row r="77" spans="1:45" x14ac:dyDescent="0.25">
      <c r="A77" s="500"/>
      <c r="B77" s="501"/>
      <c r="C77" s="501"/>
      <c r="D77" s="501"/>
      <c r="E77" s="138"/>
      <c r="F77" s="513">
        <v>34.909999999999997</v>
      </c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501"/>
      <c r="S77" s="501"/>
      <c r="T77" s="501"/>
      <c r="U77" s="501"/>
      <c r="V77" s="501"/>
      <c r="W77" s="501"/>
      <c r="X77" s="503">
        <f t="shared" si="9"/>
        <v>34.909999999999997</v>
      </c>
      <c r="Y77" s="235" t="s">
        <v>285</v>
      </c>
      <c r="Z77" s="504"/>
      <c r="AA77" s="502">
        <v>33</v>
      </c>
      <c r="AB77" s="502"/>
      <c r="AC77" s="505"/>
      <c r="AD77" s="500">
        <f>-AE77/$D$2%</f>
        <v>0</v>
      </c>
      <c r="AE77" s="540"/>
      <c r="AF77" s="506"/>
      <c r="AG77" s="505"/>
      <c r="AH77" s="67">
        <f t="shared" si="6"/>
        <v>11.520299999999999</v>
      </c>
      <c r="AI77" s="510"/>
      <c r="AJ77" s="69"/>
      <c r="AK77" s="69"/>
      <c r="AL77" s="69"/>
      <c r="AM77" s="69"/>
      <c r="AN77" s="69"/>
      <c r="AO77" s="69"/>
      <c r="AP77" s="69">
        <f>X77*AA77%</f>
        <v>11.520299999999999</v>
      </c>
      <c r="AQ77" s="507"/>
      <c r="AR77" s="52"/>
      <c r="AS77" s="52"/>
    </row>
    <row r="78" spans="1:45" x14ac:dyDescent="0.25">
      <c r="A78" s="541"/>
      <c r="B78" s="542"/>
      <c r="C78" s="543"/>
      <c r="D78" s="543"/>
      <c r="E78" s="543"/>
      <c r="F78" s="513">
        <v>29.17</v>
      </c>
      <c r="G78" s="543"/>
      <c r="H78" s="543"/>
      <c r="I78" s="543"/>
      <c r="J78" s="542"/>
      <c r="K78" s="542"/>
      <c r="L78" s="542"/>
      <c r="M78" s="542"/>
      <c r="N78" s="544"/>
      <c r="O78" s="542"/>
      <c r="P78" s="542"/>
      <c r="Q78" s="542"/>
      <c r="R78" s="542"/>
      <c r="S78" s="542"/>
      <c r="T78" s="542"/>
      <c r="U78" s="542"/>
      <c r="V78" s="542"/>
      <c r="W78" s="542"/>
      <c r="X78" s="503">
        <f t="shared" si="9"/>
        <v>29.17</v>
      </c>
      <c r="Y78" s="257" t="s">
        <v>250</v>
      </c>
      <c r="Z78" s="545"/>
      <c r="AA78" s="502">
        <v>33</v>
      </c>
      <c r="AB78" s="544"/>
      <c r="AC78" s="546"/>
      <c r="AD78" s="541"/>
      <c r="AE78" s="547"/>
      <c r="AF78" s="548"/>
      <c r="AG78" s="546"/>
      <c r="AH78" s="67">
        <f t="shared" si="6"/>
        <v>9.626100000000001</v>
      </c>
      <c r="AI78" s="429"/>
      <c r="AJ78" s="549"/>
      <c r="AK78" s="549"/>
      <c r="AL78" s="549"/>
      <c r="AM78" s="549"/>
      <c r="AN78" s="549"/>
      <c r="AO78" s="549"/>
      <c r="AP78" s="549"/>
      <c r="AQ78" s="507">
        <f>X78*AA78/100+AE78*AA78%</f>
        <v>9.626100000000001</v>
      </c>
      <c r="AR78" s="52"/>
      <c r="AS78" s="52"/>
    </row>
    <row r="79" spans="1:45" ht="15.75" thickBot="1" x14ac:dyDescent="0.3">
      <c r="A79" s="541"/>
      <c r="B79" s="542"/>
      <c r="C79" s="543"/>
      <c r="D79" s="543"/>
      <c r="E79" s="543"/>
      <c r="F79" s="543"/>
      <c r="G79" s="513">
        <v>385.51</v>
      </c>
      <c r="H79" s="513">
        <v>0.27</v>
      </c>
      <c r="I79" s="543"/>
      <c r="J79" s="542"/>
      <c r="K79" s="542"/>
      <c r="L79" s="542"/>
      <c r="M79" s="542"/>
      <c r="N79" s="544"/>
      <c r="O79" s="542"/>
      <c r="P79" s="542"/>
      <c r="Q79" s="542"/>
      <c r="R79" s="542"/>
      <c r="S79" s="542"/>
      <c r="T79" s="542"/>
      <c r="U79" s="542"/>
      <c r="V79" s="542"/>
      <c r="W79" s="542"/>
      <c r="X79" s="503">
        <f t="shared" si="9"/>
        <v>385.78</v>
      </c>
      <c r="Y79" s="257" t="s">
        <v>252</v>
      </c>
      <c r="Z79" s="545"/>
      <c r="AA79" s="502">
        <v>33</v>
      </c>
      <c r="AB79" s="544"/>
      <c r="AC79" s="546"/>
      <c r="AD79" s="550"/>
      <c r="AE79" s="551"/>
      <c r="AF79" s="548"/>
      <c r="AG79" s="546"/>
      <c r="AH79" s="67">
        <f t="shared" si="6"/>
        <v>127.3074</v>
      </c>
      <c r="AI79" s="429"/>
      <c r="AJ79" s="549"/>
      <c r="AK79" s="549"/>
      <c r="AL79" s="549"/>
      <c r="AM79" s="549"/>
      <c r="AN79" s="549"/>
      <c r="AO79" s="549"/>
      <c r="AP79" s="549"/>
      <c r="AQ79" s="507">
        <f>X79*AA79/100</f>
        <v>127.3074</v>
      </c>
      <c r="AR79" s="52"/>
      <c r="AS79" s="52"/>
    </row>
    <row r="80" spans="1:45" ht="15.75" thickBot="1" x14ac:dyDescent="0.3">
      <c r="A80" s="541"/>
      <c r="B80" s="542"/>
      <c r="C80" s="543"/>
      <c r="D80" s="513">
        <v>0</v>
      </c>
      <c r="E80" s="543"/>
      <c r="F80" s="513">
        <v>54.99</v>
      </c>
      <c r="G80" s="543"/>
      <c r="H80" s="543"/>
      <c r="I80" s="543"/>
      <c r="J80" s="542"/>
      <c r="K80" s="542"/>
      <c r="L80" s="542"/>
      <c r="M80" s="542"/>
      <c r="N80" s="544"/>
      <c r="O80" s="542"/>
      <c r="P80" s="542"/>
      <c r="Q80" s="542"/>
      <c r="R80" s="542"/>
      <c r="S80" s="542"/>
      <c r="T80" s="542"/>
      <c r="U80" s="542"/>
      <c r="V80" s="542"/>
      <c r="W80" s="542"/>
      <c r="X80" s="547">
        <f t="shared" si="9"/>
        <v>54.99</v>
      </c>
      <c r="Y80" s="258" t="s">
        <v>254</v>
      </c>
      <c r="Z80" s="552"/>
      <c r="AA80" s="502">
        <v>33</v>
      </c>
      <c r="AB80" s="553"/>
      <c r="AC80" s="554"/>
      <c r="AD80" s="552"/>
      <c r="AE80" s="554"/>
      <c r="AF80" s="552"/>
      <c r="AG80" s="554"/>
      <c r="AH80" s="71">
        <f t="shared" si="6"/>
        <v>18.146699999999999</v>
      </c>
      <c r="AI80" s="555"/>
      <c r="AJ80" s="556"/>
      <c r="AK80" s="556"/>
      <c r="AL80" s="556"/>
      <c r="AM80" s="556"/>
      <c r="AN80" s="556"/>
      <c r="AO80" s="556"/>
      <c r="AP80" s="556"/>
      <c r="AQ80" s="507">
        <f>X80*AA80/100</f>
        <v>18.146699999999999</v>
      </c>
      <c r="AR80" s="52"/>
      <c r="AS80" s="52"/>
    </row>
    <row r="81" spans="1:51" ht="15.75" thickBot="1" x14ac:dyDescent="0.3">
      <c r="A81" s="557">
        <f>SUM(A8:A80)</f>
        <v>615.98219800377046</v>
      </c>
      <c r="B81" s="558">
        <f t="shared" ref="B81:W81" si="10">SUM(B8:B80)</f>
        <v>22.25</v>
      </c>
      <c r="C81" s="558">
        <f t="shared" si="10"/>
        <v>0</v>
      </c>
      <c r="D81" s="558">
        <f t="shared" si="10"/>
        <v>0</v>
      </c>
      <c r="E81" s="558">
        <f t="shared" si="10"/>
        <v>79.097200000000001</v>
      </c>
      <c r="F81" s="558">
        <f t="shared" si="10"/>
        <v>1014.5151099999999</v>
      </c>
      <c r="G81" s="558">
        <f t="shared" si="10"/>
        <v>385.51</v>
      </c>
      <c r="H81" s="558">
        <f t="shared" si="10"/>
        <v>524.87690999999995</v>
      </c>
      <c r="I81" s="558">
        <f t="shared" si="10"/>
        <v>2553.4</v>
      </c>
      <c r="J81" s="558">
        <f t="shared" si="10"/>
        <v>80</v>
      </c>
      <c r="K81" s="558">
        <f t="shared" si="10"/>
        <v>0</v>
      </c>
      <c r="L81" s="558">
        <f t="shared" si="10"/>
        <v>21.76</v>
      </c>
      <c r="M81" s="558">
        <f t="shared" si="10"/>
        <v>0</v>
      </c>
      <c r="N81" s="558">
        <f t="shared" si="10"/>
        <v>-0.4</v>
      </c>
      <c r="O81" s="558">
        <f t="shared" si="10"/>
        <v>0</v>
      </c>
      <c r="P81" s="558">
        <f t="shared" si="10"/>
        <v>83.147980000000004</v>
      </c>
      <c r="Q81" s="558">
        <f t="shared" si="10"/>
        <v>20</v>
      </c>
      <c r="R81" s="558">
        <f t="shared" si="10"/>
        <v>934</v>
      </c>
      <c r="S81" s="558">
        <f t="shared" si="10"/>
        <v>95.642200000000003</v>
      </c>
      <c r="T81" s="558">
        <f t="shared" si="10"/>
        <v>0</v>
      </c>
      <c r="U81" s="558">
        <f t="shared" si="10"/>
        <v>264.50126999999998</v>
      </c>
      <c r="V81" s="558">
        <f t="shared" si="10"/>
        <v>13.673999999999999</v>
      </c>
      <c r="W81" s="558">
        <f t="shared" si="10"/>
        <v>216.41012999999998</v>
      </c>
      <c r="X81" s="559">
        <f>SUM(X8:X80)</f>
        <v>6924.3669980037703</v>
      </c>
      <c r="Y81" s="72" t="s">
        <v>464</v>
      </c>
      <c r="Z81" s="560"/>
      <c r="AA81" s="560"/>
      <c r="AB81" s="560"/>
      <c r="AC81" s="560"/>
      <c r="AD81" s="557">
        <f t="shared" ref="AD81:AQ81" si="11">SUM(AD8:AD80)</f>
        <v>-2.8421709430404007E-14</v>
      </c>
      <c r="AE81" s="559">
        <f t="shared" si="11"/>
        <v>1313.451618062983</v>
      </c>
      <c r="AF81" s="557">
        <f t="shared" si="11"/>
        <v>0</v>
      </c>
      <c r="AG81" s="559">
        <f t="shared" si="11"/>
        <v>1592.2506154800003</v>
      </c>
      <c r="AH81" s="72">
        <f t="shared" si="11"/>
        <v>4213.5930154799998</v>
      </c>
      <c r="AI81" s="561">
        <f t="shared" si="11"/>
        <v>1467.4761506774798</v>
      </c>
      <c r="AJ81" s="558">
        <f t="shared" si="11"/>
        <v>261.83281093252003</v>
      </c>
      <c r="AK81" s="558">
        <f t="shared" si="11"/>
        <v>272.76933185884002</v>
      </c>
      <c r="AL81" s="558">
        <f t="shared" si="11"/>
        <v>179.25754308360001</v>
      </c>
      <c r="AM81" s="558">
        <f t="shared" si="11"/>
        <v>4.5</v>
      </c>
      <c r="AN81" s="558">
        <f t="shared" si="11"/>
        <v>1447.0674196953601</v>
      </c>
      <c r="AO81" s="558">
        <f t="shared" si="11"/>
        <v>24.283759232200001</v>
      </c>
      <c r="AP81" s="558">
        <f t="shared" si="11"/>
        <v>19.220299999999998</v>
      </c>
      <c r="AQ81" s="559">
        <f t="shared" si="11"/>
        <v>537.18570000000011</v>
      </c>
      <c r="AR81" s="52"/>
      <c r="AS81" s="52"/>
    </row>
    <row r="82" spans="1:51" x14ac:dyDescent="0.25">
      <c r="A82" s="522">
        <f>A81*A89/1000</f>
        <v>68.324745402578216</v>
      </c>
      <c r="B82" s="518">
        <f t="shared" ref="B82:V82" si="12">B81*B89/1000</f>
        <v>1.4039750000000002</v>
      </c>
      <c r="C82" s="518">
        <f t="shared" si="12"/>
        <v>0</v>
      </c>
      <c r="D82" s="518">
        <f t="shared" si="12"/>
        <v>0</v>
      </c>
      <c r="E82" s="518">
        <f t="shared" si="12"/>
        <v>5.8531927999999995</v>
      </c>
      <c r="F82" s="518">
        <f t="shared" si="12"/>
        <v>75.074118139999996</v>
      </c>
      <c r="G82" s="518">
        <f t="shared" si="12"/>
        <v>27.756720000000001</v>
      </c>
      <c r="H82" s="518">
        <f t="shared" si="12"/>
        <v>38.316014429999996</v>
      </c>
      <c r="I82" s="518">
        <f t="shared" si="12"/>
        <v>145.5438</v>
      </c>
      <c r="J82" s="518">
        <f t="shared" si="12"/>
        <v>0</v>
      </c>
      <c r="K82" s="518">
        <f t="shared" si="12"/>
        <v>0</v>
      </c>
      <c r="L82" s="518">
        <f t="shared" si="12"/>
        <v>0</v>
      </c>
      <c r="M82" s="518">
        <f t="shared" si="12"/>
        <v>0</v>
      </c>
      <c r="N82" s="518">
        <v>0</v>
      </c>
      <c r="O82" s="518">
        <f t="shared" si="12"/>
        <v>0</v>
      </c>
      <c r="P82" s="518">
        <f t="shared" si="12"/>
        <v>0</v>
      </c>
      <c r="Q82" s="518">
        <f t="shared" si="12"/>
        <v>0</v>
      </c>
      <c r="R82" s="518">
        <f t="shared" si="12"/>
        <v>0</v>
      </c>
      <c r="S82" s="518">
        <f>S81*S89/1000</f>
        <v>0</v>
      </c>
      <c r="T82" s="518">
        <f t="shared" si="12"/>
        <v>0</v>
      </c>
      <c r="U82" s="518">
        <f t="shared" si="12"/>
        <v>0</v>
      </c>
      <c r="V82" s="518">
        <f t="shared" si="12"/>
        <v>0</v>
      </c>
      <c r="W82" s="518">
        <f>W81*W89/1000</f>
        <v>17.793240888599996</v>
      </c>
      <c r="X82" s="521">
        <f>SUM(A82:W82)</f>
        <v>380.06580666117821</v>
      </c>
      <c r="Y82" s="73" t="s">
        <v>551</v>
      </c>
      <c r="Z82" s="562">
        <f>X82*1000/D1</f>
        <v>7.4716090009667813</v>
      </c>
      <c r="AA82" s="563" t="s">
        <v>465</v>
      </c>
      <c r="AB82" s="563"/>
      <c r="AC82" s="564"/>
      <c r="AD82" s="565"/>
      <c r="AE82" s="565"/>
      <c r="AF82" s="565"/>
      <c r="AG82" s="565"/>
      <c r="AH82" s="565"/>
      <c r="AI82" s="565"/>
      <c r="AJ82" s="565"/>
      <c r="AK82" s="565"/>
      <c r="AL82" s="566"/>
      <c r="AM82" s="566"/>
      <c r="AN82" s="566"/>
      <c r="AO82" s="566"/>
      <c r="AP82" s="566"/>
      <c r="AQ82" s="566"/>
      <c r="AR82" s="52"/>
      <c r="AS82" s="52"/>
      <c r="AT82" s="137"/>
      <c r="AU82" s="137"/>
      <c r="AV82" s="137"/>
      <c r="AW82" s="137"/>
      <c r="AX82" s="137"/>
      <c r="AY82" s="137"/>
    </row>
    <row r="83" spans="1:51" x14ac:dyDescent="0.25">
      <c r="A83" s="504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13">
        <v>229.66365161464361</v>
      </c>
      <c r="P83" s="513">
        <v>674.58061439999994</v>
      </c>
      <c r="Q83" s="513">
        <v>690.99633108414662</v>
      </c>
      <c r="R83" s="513">
        <v>438.65263353147589</v>
      </c>
      <c r="S83" s="502"/>
      <c r="T83" s="502"/>
      <c r="U83" s="502"/>
      <c r="V83" s="502"/>
      <c r="W83" s="502"/>
      <c r="X83" s="505">
        <f>SUM(A83:W83)</f>
        <v>2033.8932306302661</v>
      </c>
      <c r="Y83" s="67" t="s">
        <v>466</v>
      </c>
      <c r="Z83" s="567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23.770685099055012</v>
      </c>
      <c r="AA83" s="74" t="s">
        <v>550</v>
      </c>
      <c r="AB83" s="74"/>
      <c r="AC83" s="568"/>
      <c r="AD83" s="565"/>
      <c r="AE83" s="565"/>
      <c r="AF83" s="565"/>
      <c r="AG83" s="565"/>
      <c r="AH83" s="565"/>
      <c r="AI83" s="565"/>
      <c r="AJ83" s="565"/>
      <c r="AK83" s="565"/>
      <c r="AL83" s="566"/>
      <c r="AM83" s="566"/>
      <c r="AN83" s="566"/>
      <c r="AO83" s="566"/>
      <c r="AP83" s="566"/>
      <c r="AQ83" s="566"/>
      <c r="AR83" s="52"/>
      <c r="AS83" s="52"/>
      <c r="AT83" s="137"/>
      <c r="AU83" s="137"/>
      <c r="AV83" s="137"/>
      <c r="AW83" s="137"/>
      <c r="AX83" s="137"/>
      <c r="AY83" s="137"/>
    </row>
    <row r="84" spans="1:51" ht="15.75" thickBot="1" x14ac:dyDescent="0.3">
      <c r="A84" s="552"/>
      <c r="B84" s="553"/>
      <c r="C84" s="553"/>
      <c r="D84" s="553"/>
      <c r="E84" s="553"/>
      <c r="F84" s="553"/>
      <c r="G84" s="553"/>
      <c r="H84" s="553"/>
      <c r="I84" s="553"/>
      <c r="J84" s="553" t="str">
        <f>IF(J83&gt;0,J81/J83*100,"")</f>
        <v/>
      </c>
      <c r="K84" s="553" t="str">
        <f t="shared" ref="K84:W84" si="13">IF(K83&gt;0,K81/K83*100,"")</f>
        <v/>
      </c>
      <c r="L84" s="553" t="str">
        <f t="shared" si="13"/>
        <v/>
      </c>
      <c r="M84" s="553" t="str">
        <f t="shared" si="13"/>
        <v/>
      </c>
      <c r="N84" s="553" t="str">
        <f t="shared" si="13"/>
        <v/>
      </c>
      <c r="O84" s="553">
        <f t="shared" si="13"/>
        <v>0</v>
      </c>
      <c r="P84" s="553">
        <f>IF(P83&gt;0,P81/P83*100,"")</f>
        <v>12.325877474844912</v>
      </c>
      <c r="Q84" s="553">
        <f t="shared" si="13"/>
        <v>2.8943713736686227</v>
      </c>
      <c r="R84" s="553">
        <f t="shared" si="13"/>
        <v>212.9247446847894</v>
      </c>
      <c r="S84" s="553" t="str">
        <f t="shared" si="13"/>
        <v/>
      </c>
      <c r="T84" s="553" t="str">
        <f t="shared" si="13"/>
        <v/>
      </c>
      <c r="U84" s="553" t="str">
        <f t="shared" si="13"/>
        <v/>
      </c>
      <c r="V84" s="553" t="str">
        <f>IF(V83&gt;0,V81/V83*100,"")</f>
        <v/>
      </c>
      <c r="W84" s="553" t="str">
        <f t="shared" si="13"/>
        <v/>
      </c>
      <c r="X84" s="554">
        <f>SUMIF(J83:W83,"&gt;0",J81:W81)/SUM(J83:W83)%</f>
        <v>50.993236241737577</v>
      </c>
      <c r="Y84" s="71" t="s">
        <v>467</v>
      </c>
      <c r="Z84" s="569"/>
      <c r="AA84" s="253"/>
      <c r="AB84" s="253"/>
      <c r="AC84" s="570"/>
      <c r="AD84" s="565"/>
      <c r="AE84" s="565"/>
      <c r="AF84" s="565"/>
      <c r="AG84" s="565"/>
      <c r="AH84" s="565"/>
      <c r="AI84" s="565"/>
      <c r="AJ84" s="565"/>
      <c r="AK84" s="565"/>
      <c r="AL84" s="566"/>
      <c r="AM84" s="566"/>
      <c r="AN84" s="566"/>
      <c r="AO84" s="566"/>
      <c r="AP84" s="566"/>
      <c r="AQ84" s="566"/>
      <c r="AR84" s="52"/>
      <c r="AS84" s="52"/>
      <c r="AT84" s="137"/>
      <c r="AU84" s="137"/>
      <c r="AV84" s="137"/>
      <c r="AW84" s="137"/>
      <c r="AX84" s="137"/>
      <c r="AY84" s="137"/>
    </row>
    <row r="85" spans="1:51" ht="15.75" thickBot="1" x14ac:dyDescent="0.3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55"/>
      <c r="AB85" s="136"/>
      <c r="AC85" s="136"/>
      <c r="AD85" s="55"/>
      <c r="AE85" s="55"/>
      <c r="AF85" s="55"/>
      <c r="AG85" s="55"/>
      <c r="AH85" s="55"/>
      <c r="AI85" s="55"/>
      <c r="AJ85" s="55"/>
      <c r="AK85" s="55"/>
      <c r="AL85" s="136"/>
      <c r="AM85" s="136"/>
      <c r="AN85" s="136"/>
      <c r="AO85" s="136"/>
      <c r="AP85" s="136"/>
      <c r="AQ85" s="136"/>
      <c r="AR85" s="52"/>
      <c r="AS85" s="52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571" t="s">
        <v>468</v>
      </c>
      <c r="B86" s="798" t="str">
        <f t="shared" ref="B86:W86" si="14">B7</f>
        <v xml:space="preserve">  LPG og petroleum</v>
      </c>
      <c r="C86" s="798" t="str">
        <f t="shared" si="14"/>
        <v xml:space="preserve">  Kul</v>
      </c>
      <c r="D86" s="798" t="str">
        <f t="shared" si="14"/>
        <v xml:space="preserve">  Fuelolie</v>
      </c>
      <c r="E86" s="798" t="str">
        <f t="shared" si="14"/>
        <v xml:space="preserve">  Brændselsolie</v>
      </c>
      <c r="F86" s="798" t="str">
        <f t="shared" si="14"/>
        <v xml:space="preserve">  Dieselolie</v>
      </c>
      <c r="G86" s="798" t="str">
        <f t="shared" si="14"/>
        <v xml:space="preserve">  JP1</v>
      </c>
      <c r="H86" s="798" t="str">
        <f t="shared" si="14"/>
        <v xml:space="preserve">  Benzin</v>
      </c>
      <c r="I86" s="798" t="str">
        <f t="shared" si="14"/>
        <v xml:space="preserve">  Naturgas og raffinaderigas</v>
      </c>
      <c r="J86" s="798" t="str">
        <f t="shared" si="14"/>
        <v xml:space="preserve">  Vindenergi</v>
      </c>
      <c r="K86" s="798" t="str">
        <f t="shared" si="14"/>
        <v xml:space="preserve">  Vandenergi</v>
      </c>
      <c r="L86" s="798" t="str">
        <f t="shared" si="14"/>
        <v xml:space="preserve">  Solenergi</v>
      </c>
      <c r="M86" s="798" t="str">
        <f t="shared" si="14"/>
        <v xml:space="preserve">  Geotermi</v>
      </c>
      <c r="N86" s="798" t="str">
        <f t="shared" si="14"/>
        <v xml:space="preserve">  Varmekilder til varmepumper</v>
      </c>
      <c r="O86" s="798" t="str">
        <f t="shared" si="14"/>
        <v xml:space="preserve">  Husdyrsgødning</v>
      </c>
      <c r="P86" s="798" t="str">
        <f t="shared" si="14"/>
        <v xml:space="preserve">  Biobrændstof og energiafgrøder</v>
      </c>
      <c r="Q86" s="798" t="str">
        <f t="shared" si="14"/>
        <v xml:space="preserve">  Halm</v>
      </c>
      <c r="R86" s="798" t="str">
        <f t="shared" si="14"/>
        <v xml:space="preserve">  Brænde og træflis</v>
      </c>
      <c r="S86" s="798" t="str">
        <f t="shared" si="14"/>
        <v xml:space="preserve">  Træpiller og træaffald</v>
      </c>
      <c r="T86" s="798" t="str">
        <f t="shared" si="14"/>
        <v xml:space="preserve">  Organisk affald, industri</v>
      </c>
      <c r="U86" s="798" t="str">
        <f t="shared" si="14"/>
        <v xml:space="preserve">  Organisk affald, husholdninger</v>
      </c>
      <c r="V86" s="798" t="str">
        <f t="shared" si="14"/>
        <v xml:space="preserve">  Deponi, slam, renseanlæg</v>
      </c>
      <c r="W86" s="801" t="str">
        <f t="shared" si="14"/>
        <v xml:space="preserve">  Affald, ikke bionedbrydeligt</v>
      </c>
      <c r="X86" s="136"/>
      <c r="Y86" s="136"/>
      <c r="Z86" s="136"/>
      <c r="AA86" s="55"/>
      <c r="AB86" s="136"/>
      <c r="AC86" s="136"/>
      <c r="AD86" s="55"/>
      <c r="AE86" s="55"/>
      <c r="AF86" s="55"/>
      <c r="AG86" s="55"/>
      <c r="AH86" s="55"/>
      <c r="AI86" s="55"/>
      <c r="AJ86" s="55"/>
      <c r="AK86" s="55"/>
      <c r="AL86" s="136"/>
      <c r="AM86" s="136"/>
      <c r="AN86" s="136"/>
      <c r="AO86" s="136"/>
      <c r="AP86" s="136"/>
      <c r="AQ86" s="136"/>
      <c r="AR86" s="52"/>
      <c r="AS86" s="52"/>
      <c r="AT86" s="137"/>
      <c r="AU86" s="137"/>
      <c r="AV86" s="137"/>
      <c r="AW86" s="137"/>
      <c r="AX86" s="137"/>
      <c r="AY86" s="137"/>
    </row>
    <row r="87" spans="1:51" ht="24" x14ac:dyDescent="0.25">
      <c r="A87" s="572">
        <v>50</v>
      </c>
      <c r="B87" s="799"/>
      <c r="C87" s="799"/>
      <c r="D87" s="799"/>
      <c r="E87" s="799"/>
      <c r="F87" s="799"/>
      <c r="G87" s="799"/>
      <c r="H87" s="799"/>
      <c r="I87" s="799"/>
      <c r="J87" s="799"/>
      <c r="K87" s="799"/>
      <c r="L87" s="799"/>
      <c r="M87" s="799"/>
      <c r="N87" s="799"/>
      <c r="O87" s="799"/>
      <c r="P87" s="799"/>
      <c r="Q87" s="799"/>
      <c r="R87" s="799"/>
      <c r="S87" s="799"/>
      <c r="T87" s="799"/>
      <c r="U87" s="799"/>
      <c r="V87" s="799"/>
      <c r="W87" s="802"/>
      <c r="X87" s="136"/>
      <c r="Y87" s="136"/>
      <c r="Z87" s="136"/>
      <c r="AA87" s="55"/>
      <c r="AB87" s="136"/>
      <c r="AC87" s="136"/>
      <c r="AD87" s="55"/>
      <c r="AE87" s="55"/>
      <c r="AF87" s="55"/>
      <c r="AG87" s="55"/>
      <c r="AH87" s="55"/>
      <c r="AI87" s="55"/>
      <c r="AJ87" s="55"/>
      <c r="AK87" s="55"/>
      <c r="AL87" s="136"/>
      <c r="AM87" s="136"/>
      <c r="AN87" s="136"/>
      <c r="AO87" s="136"/>
      <c r="AP87" s="136"/>
      <c r="AQ87" s="136"/>
      <c r="AR87" s="52"/>
      <c r="AS87" s="52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573" t="s">
        <v>469</v>
      </c>
      <c r="B88" s="800"/>
      <c r="C88" s="800"/>
      <c r="D88" s="800"/>
      <c r="E88" s="800"/>
      <c r="F88" s="800"/>
      <c r="G88" s="800"/>
      <c r="H88" s="800"/>
      <c r="I88" s="800"/>
      <c r="J88" s="800"/>
      <c r="K88" s="800"/>
      <c r="L88" s="800"/>
      <c r="M88" s="800"/>
      <c r="N88" s="800"/>
      <c r="O88" s="800"/>
      <c r="P88" s="800"/>
      <c r="Q88" s="800"/>
      <c r="R88" s="800"/>
      <c r="S88" s="800"/>
      <c r="T88" s="800"/>
      <c r="U88" s="800"/>
      <c r="V88" s="800"/>
      <c r="W88" s="803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52"/>
      <c r="AS88" s="52"/>
      <c r="AT88" s="137"/>
      <c r="AU88" s="137"/>
      <c r="AV88" s="137"/>
      <c r="AW88" s="137"/>
      <c r="AX88" s="137"/>
      <c r="AY88" s="137"/>
    </row>
    <row r="89" spans="1:51" ht="15.75" thickBot="1" x14ac:dyDescent="0.3">
      <c r="A89" s="574">
        <v>110.92</v>
      </c>
      <c r="B89" s="575">
        <v>63.1</v>
      </c>
      <c r="C89" s="575">
        <v>94.95</v>
      </c>
      <c r="D89" s="575">
        <v>78.84</v>
      </c>
      <c r="E89" s="575">
        <v>74</v>
      </c>
      <c r="F89" s="575">
        <v>74</v>
      </c>
      <c r="G89" s="575">
        <v>72</v>
      </c>
      <c r="H89" s="575">
        <v>73</v>
      </c>
      <c r="I89" s="575">
        <v>57</v>
      </c>
      <c r="J89" s="576"/>
      <c r="K89" s="576"/>
      <c r="L89" s="576"/>
      <c r="M89" s="576"/>
      <c r="N89" s="577"/>
      <c r="O89" s="576"/>
      <c r="P89" s="576"/>
      <c r="Q89" s="576"/>
      <c r="R89" s="576"/>
      <c r="S89" s="576"/>
      <c r="T89" s="576"/>
      <c r="U89" s="576"/>
      <c r="V89" s="577"/>
      <c r="W89" s="578">
        <v>82.22</v>
      </c>
      <c r="X89" s="75" t="s">
        <v>470</v>
      </c>
      <c r="Y89" s="579"/>
      <c r="Z89" s="580"/>
      <c r="AA89" s="580"/>
      <c r="AB89" s="580"/>
      <c r="AC89" s="580"/>
      <c r="AD89" s="580"/>
      <c r="AE89" s="580"/>
      <c r="AF89" s="580"/>
      <c r="AG89" s="580"/>
      <c r="AH89" s="580"/>
      <c r="AI89" s="580"/>
      <c r="AJ89" s="580"/>
      <c r="AK89" s="580"/>
      <c r="AL89" s="580"/>
      <c r="AM89" s="580"/>
      <c r="AN89" s="580"/>
      <c r="AO89" s="580"/>
      <c r="AP89" s="580"/>
      <c r="AQ89" s="580"/>
      <c r="AR89" s="229"/>
      <c r="AS89" s="229"/>
      <c r="AT89" s="140"/>
      <c r="AU89" s="140"/>
      <c r="AV89" s="140"/>
      <c r="AW89" s="140"/>
      <c r="AX89" s="140"/>
      <c r="AY89" s="140"/>
    </row>
    <row r="90" spans="1:51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52"/>
      <c r="AT90" s="137"/>
      <c r="AU90" s="137"/>
      <c r="AV90" s="137"/>
      <c r="AW90" s="137"/>
      <c r="AX90" s="137"/>
      <c r="AY90" s="137"/>
    </row>
    <row r="91" spans="1:51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68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137"/>
      <c r="AU91" s="137"/>
      <c r="AV91" s="137"/>
      <c r="AW91" s="137"/>
      <c r="AX91" s="137"/>
      <c r="AY91" s="137"/>
    </row>
    <row r="92" spans="1:51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166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137"/>
      <c r="AU92" s="137"/>
      <c r="AV92" s="137"/>
      <c r="AW92" s="137"/>
      <c r="AX92" s="137"/>
      <c r="AY92" s="137"/>
    </row>
    <row r="93" spans="1:51" ht="20.25" x14ac:dyDescent="0.3">
      <c r="A93" s="141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165"/>
      <c r="Y93" s="581"/>
      <c r="Z93" s="165"/>
      <c r="AA93" s="165"/>
      <c r="AB93" s="165"/>
      <c r="AC93" s="165"/>
      <c r="AD93" s="165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137"/>
      <c r="AU93" s="137"/>
      <c r="AV93" s="137"/>
      <c r="AW93" s="137"/>
      <c r="AX93" s="137"/>
      <c r="AY93" s="137"/>
    </row>
    <row r="94" spans="1:51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165"/>
      <c r="Y94" s="165"/>
      <c r="Z94" s="165"/>
      <c r="AA94" s="165"/>
      <c r="AB94" s="165"/>
      <c r="AC94" s="165"/>
      <c r="AD94" s="165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137"/>
      <c r="AU94" s="137"/>
      <c r="AV94" s="137"/>
      <c r="AW94" s="137"/>
      <c r="AX94" s="137"/>
      <c r="AY94" s="137"/>
    </row>
    <row r="95" spans="1:51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165"/>
      <c r="Y95" s="581"/>
      <c r="Z95" s="165"/>
      <c r="AA95" s="165"/>
      <c r="AB95" s="165"/>
      <c r="AC95" s="165"/>
      <c r="AD95" s="165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137"/>
      <c r="AU95" s="137"/>
      <c r="AV95" s="137"/>
      <c r="AW95" s="137"/>
      <c r="AX95" s="137"/>
      <c r="AY95" s="137"/>
    </row>
    <row r="96" spans="1:51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165"/>
      <c r="Y96" s="581"/>
      <c r="Z96" s="165"/>
      <c r="AA96" s="165"/>
      <c r="AB96" s="165"/>
      <c r="AC96" s="165"/>
      <c r="AD96" s="165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1:45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165"/>
      <c r="Y97" s="165"/>
      <c r="Z97" s="165"/>
      <c r="AA97" s="165"/>
      <c r="AB97" s="165"/>
      <c r="AC97" s="165"/>
      <c r="AD97" s="165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</row>
    <row r="117" spans="2:2" x14ac:dyDescent="0.25">
      <c r="B117" s="231" t="e">
        <f>' Plan Energi 2017'!AD</f>
        <v>#NAME?</v>
      </c>
    </row>
  </sheetData>
  <mergeCells count="30"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D1:E1"/>
    <mergeCell ref="Y1:Y2"/>
    <mergeCell ref="Y3:Y4"/>
    <mergeCell ref="A6:X6"/>
    <mergeCell ref="Z6:AC6"/>
  </mergeCells>
  <pageMargins left="0.7" right="0.7" top="0.75" bottom="0.75" header="0.3" footer="0.3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6"/>
  <dimension ref="A1:AY117"/>
  <sheetViews>
    <sheetView topLeftCell="A40" zoomScale="78" zoomScaleNormal="78" workbookViewId="0">
      <selection activeCell="S62" sqref="S62"/>
    </sheetView>
  </sheetViews>
  <sheetFormatPr defaultRowHeight="15" x14ac:dyDescent="0.25"/>
  <cols>
    <col min="1" max="24" width="9.140625" style="158"/>
    <col min="25" max="25" width="49.5703125" style="158" customWidth="1"/>
    <col min="26" max="29" width="9.140625" style="158"/>
    <col min="30" max="30" width="12.42578125" style="158" customWidth="1"/>
    <col min="31" max="16384" width="9.140625" style="158"/>
  </cols>
  <sheetData>
    <row r="1" spans="1:44" ht="23.25" x14ac:dyDescent="0.25">
      <c r="A1" s="393" t="s">
        <v>433</v>
      </c>
      <c r="B1" s="394"/>
      <c r="C1" s="480"/>
      <c r="D1" s="815">
        <v>50689</v>
      </c>
      <c r="E1" s="816"/>
      <c r="F1" s="159"/>
      <c r="G1" s="159"/>
      <c r="H1" s="395"/>
      <c r="I1" s="395"/>
      <c r="J1" s="310"/>
      <c r="K1" s="39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396"/>
      <c r="W1" s="396"/>
      <c r="X1" s="396"/>
      <c r="Y1" s="817" t="s">
        <v>434</v>
      </c>
      <c r="Z1" s="396"/>
      <c r="AA1" s="396"/>
      <c r="AB1" s="396"/>
      <c r="AC1" s="396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159"/>
    </row>
    <row r="2" spans="1:44" ht="23.25" x14ac:dyDescent="0.25">
      <c r="A2" s="397" t="s">
        <v>435</v>
      </c>
      <c r="B2" s="395"/>
      <c r="C2" s="310"/>
      <c r="D2" s="398">
        <v>92.04</v>
      </c>
      <c r="E2" s="485" t="s">
        <v>436</v>
      </c>
      <c r="F2" s="159"/>
      <c r="G2" s="159"/>
      <c r="H2" s="395"/>
      <c r="I2" s="395"/>
      <c r="J2" s="395"/>
      <c r="K2" s="39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396"/>
      <c r="W2" s="396"/>
      <c r="X2" s="396"/>
      <c r="Y2" s="817"/>
      <c r="Z2" s="396"/>
      <c r="AA2" s="396"/>
      <c r="AB2" s="396"/>
      <c r="AC2" s="396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159"/>
    </row>
    <row r="3" spans="1:44" ht="24" customHeight="1" thickBot="1" x14ac:dyDescent="0.3">
      <c r="A3" s="401" t="s">
        <v>437</v>
      </c>
      <c r="B3" s="402"/>
      <c r="C3" s="481"/>
      <c r="D3" s="402" t="s">
        <v>438</v>
      </c>
      <c r="E3" s="404"/>
      <c r="F3" s="159"/>
      <c r="G3" s="159"/>
      <c r="H3" s="395"/>
      <c r="I3" s="395"/>
      <c r="J3" s="395"/>
      <c r="K3" s="39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396"/>
      <c r="W3" s="396"/>
      <c r="X3" s="396"/>
      <c r="Y3" s="807" t="s">
        <v>787</v>
      </c>
      <c r="Z3" s="396"/>
      <c r="AA3" s="396"/>
      <c r="AB3" s="396"/>
      <c r="AC3" s="396"/>
      <c r="AD3" s="255"/>
      <c r="AE3" s="245"/>
      <c r="AF3" s="25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159"/>
    </row>
    <row r="4" spans="1:44" ht="23.25" customHeight="1" x14ac:dyDescent="0.25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396"/>
      <c r="W4" s="396"/>
      <c r="X4" s="396"/>
      <c r="Y4" s="807"/>
      <c r="Z4" s="396"/>
      <c r="AA4" s="396"/>
      <c r="AB4" s="396"/>
      <c r="AC4" s="396"/>
      <c r="AD4" s="245"/>
      <c r="AE4" s="245"/>
      <c r="AF4" s="245"/>
      <c r="AG4" s="245"/>
      <c r="AH4" s="486"/>
      <c r="AI4" s="245"/>
      <c r="AJ4" s="245"/>
      <c r="AK4" s="245"/>
      <c r="AL4" s="245"/>
      <c r="AM4" s="245"/>
      <c r="AN4" s="245"/>
      <c r="AO4" s="245"/>
      <c r="AP4" s="245"/>
      <c r="AQ4" s="245"/>
      <c r="AR4" s="159"/>
    </row>
    <row r="5" spans="1:44" x14ac:dyDescent="0.25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159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159"/>
    </row>
    <row r="6" spans="1:44" ht="15.75" x14ac:dyDescent="0.25">
      <c r="A6" s="814" t="s">
        <v>439</v>
      </c>
      <c r="B6" s="814"/>
      <c r="C6" s="814"/>
      <c r="D6" s="814"/>
      <c r="E6" s="814"/>
      <c r="F6" s="814"/>
      <c r="G6" s="814"/>
      <c r="H6" s="814"/>
      <c r="I6" s="814"/>
      <c r="J6" s="814"/>
      <c r="K6" s="814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405" t="s">
        <v>440</v>
      </c>
      <c r="Z6" s="814" t="s">
        <v>35</v>
      </c>
      <c r="AA6" s="814"/>
      <c r="AB6" s="814"/>
      <c r="AC6" s="814"/>
      <c r="AD6" s="814" t="s">
        <v>441</v>
      </c>
      <c r="AE6" s="814"/>
      <c r="AF6" s="814" t="s">
        <v>442</v>
      </c>
      <c r="AG6" s="814"/>
      <c r="AH6" s="406"/>
      <c r="AI6" s="814" t="s">
        <v>443</v>
      </c>
      <c r="AJ6" s="814"/>
      <c r="AK6" s="814"/>
      <c r="AL6" s="814"/>
      <c r="AM6" s="814"/>
      <c r="AN6" s="814"/>
      <c r="AO6" s="814"/>
      <c r="AP6" s="814"/>
      <c r="AQ6" s="814"/>
      <c r="AR6" s="159"/>
    </row>
    <row r="7" spans="1:44" ht="171.75" customHeight="1" thickBot="1" x14ac:dyDescent="0.65">
      <c r="A7" s="407" t="s">
        <v>378</v>
      </c>
      <c r="B7" s="408" t="s">
        <v>379</v>
      </c>
      <c r="C7" s="408" t="s">
        <v>380</v>
      </c>
      <c r="D7" s="408" t="s">
        <v>381</v>
      </c>
      <c r="E7" s="409" t="s">
        <v>383</v>
      </c>
      <c r="F7" s="408" t="s">
        <v>384</v>
      </c>
      <c r="G7" s="408" t="s">
        <v>385</v>
      </c>
      <c r="H7" s="409" t="s">
        <v>387</v>
      </c>
      <c r="I7" s="409" t="s">
        <v>549</v>
      </c>
      <c r="J7" s="409" t="s">
        <v>390</v>
      </c>
      <c r="K7" s="409" t="s">
        <v>392</v>
      </c>
      <c r="L7" s="409" t="s">
        <v>393</v>
      </c>
      <c r="M7" s="409" t="s">
        <v>394</v>
      </c>
      <c r="N7" s="409" t="s">
        <v>396</v>
      </c>
      <c r="O7" s="409" t="s">
        <v>397</v>
      </c>
      <c r="P7" s="409" t="s">
        <v>398</v>
      </c>
      <c r="Q7" s="409" t="s">
        <v>400</v>
      </c>
      <c r="R7" s="409" t="s">
        <v>401</v>
      </c>
      <c r="S7" s="409" t="s">
        <v>402</v>
      </c>
      <c r="T7" s="409" t="s">
        <v>403</v>
      </c>
      <c r="U7" s="409" t="s">
        <v>404</v>
      </c>
      <c r="V7" s="409" t="s">
        <v>405</v>
      </c>
      <c r="W7" s="409" t="s">
        <v>406</v>
      </c>
      <c r="X7" s="410" t="s">
        <v>444</v>
      </c>
      <c r="Y7" s="233"/>
      <c r="Z7" s="411" t="s">
        <v>445</v>
      </c>
      <c r="AA7" s="409" t="s">
        <v>446</v>
      </c>
      <c r="AB7" s="409" t="s">
        <v>447</v>
      </c>
      <c r="AC7" s="410" t="s">
        <v>448</v>
      </c>
      <c r="AD7" s="412" t="s">
        <v>449</v>
      </c>
      <c r="AE7" s="410" t="s">
        <v>450</v>
      </c>
      <c r="AF7" s="412" t="s">
        <v>449</v>
      </c>
      <c r="AG7" s="410" t="s">
        <v>450</v>
      </c>
      <c r="AH7" s="413" t="s">
        <v>451</v>
      </c>
      <c r="AI7" s="414" t="s">
        <v>452</v>
      </c>
      <c r="AJ7" s="409" t="s">
        <v>453</v>
      </c>
      <c r="AK7" s="409" t="s">
        <v>454</v>
      </c>
      <c r="AL7" s="409" t="s">
        <v>455</v>
      </c>
      <c r="AM7" s="409" t="s">
        <v>456</v>
      </c>
      <c r="AN7" s="409" t="s">
        <v>457</v>
      </c>
      <c r="AO7" s="415" t="s">
        <v>458</v>
      </c>
      <c r="AP7" s="415" t="s">
        <v>459</v>
      </c>
      <c r="AQ7" s="410" t="s">
        <v>460</v>
      </c>
      <c r="AR7" s="416"/>
    </row>
    <row r="8" spans="1:44" x14ac:dyDescent="0.25">
      <c r="A8" s="190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7"/>
      <c r="O8" s="175"/>
      <c r="P8" s="175"/>
      <c r="Q8" s="175"/>
      <c r="R8" s="175"/>
      <c r="S8" s="175"/>
      <c r="T8" s="175"/>
      <c r="U8" s="175"/>
      <c r="V8" s="175"/>
      <c r="W8" s="175"/>
      <c r="X8" s="176">
        <f t="shared" ref="X8:X71" si="0">SUM(A8:W8)</f>
        <v>0</v>
      </c>
      <c r="Y8" s="234" t="s">
        <v>307</v>
      </c>
      <c r="Z8" s="169"/>
      <c r="AA8" s="170">
        <v>44</v>
      </c>
      <c r="AB8" s="170"/>
      <c r="AC8" s="171"/>
      <c r="AD8" s="187">
        <f t="shared" ref="AD8:AD13" si="1">-AE8/$D$2%</f>
        <v>-41.483939789024525</v>
      </c>
      <c r="AE8" s="188">
        <f>AH8/AA8%</f>
        <v>38.18181818181818</v>
      </c>
      <c r="AF8" s="187"/>
      <c r="AG8" s="188"/>
      <c r="AH8" s="417">
        <f t="shared" ref="AH8:AH14" si="2">SUM(AI8:AQ8)</f>
        <v>16.8</v>
      </c>
      <c r="AI8" s="69">
        <v>16.8</v>
      </c>
      <c r="AJ8" s="175"/>
      <c r="AK8" s="175"/>
      <c r="AL8" s="175"/>
      <c r="AM8" s="175"/>
      <c r="AN8" s="175"/>
      <c r="AO8" s="175"/>
      <c r="AP8" s="175"/>
      <c r="AQ8" s="176"/>
      <c r="AR8" s="159"/>
    </row>
    <row r="9" spans="1:44" x14ac:dyDescent="0.25">
      <c r="A9" s="190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7"/>
      <c r="O9" s="175"/>
      <c r="P9" s="175"/>
      <c r="Q9" s="175"/>
      <c r="R9" s="175"/>
      <c r="S9" s="175"/>
      <c r="T9" s="175"/>
      <c r="U9" s="175"/>
      <c r="V9" s="175"/>
      <c r="W9" s="175"/>
      <c r="X9" s="176">
        <f t="shared" si="0"/>
        <v>0</v>
      </c>
      <c r="Y9" s="234" t="s">
        <v>314</v>
      </c>
      <c r="Z9" s="169"/>
      <c r="AA9" s="170"/>
      <c r="AB9" s="170">
        <v>90</v>
      </c>
      <c r="AC9" s="171"/>
      <c r="AD9" s="187">
        <f t="shared" si="1"/>
        <v>-4.8288183881404221</v>
      </c>
      <c r="AE9" s="188">
        <f>AH9/AB9%</f>
        <v>4.4444444444444446</v>
      </c>
      <c r="AF9" s="187"/>
      <c r="AG9" s="188"/>
      <c r="AH9" s="417">
        <f t="shared" si="2"/>
        <v>4</v>
      </c>
      <c r="AI9" s="174">
        <v>4</v>
      </c>
      <c r="AJ9" s="175"/>
      <c r="AK9" s="175"/>
      <c r="AL9" s="175"/>
      <c r="AM9" s="175"/>
      <c r="AN9" s="175"/>
      <c r="AO9" s="175"/>
      <c r="AP9" s="175"/>
      <c r="AQ9" s="176"/>
      <c r="AR9" s="159"/>
    </row>
    <row r="10" spans="1:44" x14ac:dyDescent="0.25">
      <c r="A10" s="190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7"/>
      <c r="O10" s="175"/>
      <c r="P10" s="175"/>
      <c r="Q10" s="175"/>
      <c r="R10" s="175"/>
      <c r="S10" s="175"/>
      <c r="T10" s="175"/>
      <c r="U10" s="175"/>
      <c r="V10" s="175"/>
      <c r="W10" s="175"/>
      <c r="X10" s="176">
        <f t="shared" si="0"/>
        <v>0</v>
      </c>
      <c r="Y10" s="234" t="s">
        <v>316</v>
      </c>
      <c r="Z10" s="169"/>
      <c r="AA10" s="170"/>
      <c r="AB10" s="170">
        <v>100</v>
      </c>
      <c r="AC10" s="171"/>
      <c r="AD10" s="187">
        <f t="shared" si="1"/>
        <v>-20.317253368100822</v>
      </c>
      <c r="AE10" s="188">
        <f>AH10/AB10%</f>
        <v>18.7</v>
      </c>
      <c r="AF10" s="187"/>
      <c r="AG10" s="188"/>
      <c r="AH10" s="417">
        <f t="shared" si="2"/>
        <v>18.7</v>
      </c>
      <c r="AI10" s="174">
        <v>18.7</v>
      </c>
      <c r="AJ10" s="175"/>
      <c r="AK10" s="175"/>
      <c r="AL10" s="175"/>
      <c r="AM10" s="175"/>
      <c r="AN10" s="175"/>
      <c r="AO10" s="175"/>
      <c r="AP10" s="175"/>
      <c r="AQ10" s="176"/>
      <c r="AR10" s="159"/>
    </row>
    <row r="11" spans="1:44" x14ac:dyDescent="0.25">
      <c r="A11" s="190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7"/>
      <c r="O11" s="175"/>
      <c r="P11" s="175"/>
      <c r="Q11" s="175"/>
      <c r="R11" s="175"/>
      <c r="S11" s="175"/>
      <c r="T11" s="175"/>
      <c r="U11" s="175"/>
      <c r="V11" s="175"/>
      <c r="W11" s="175"/>
      <c r="X11" s="176">
        <f t="shared" si="0"/>
        <v>0</v>
      </c>
      <c r="Y11" s="234" t="s">
        <v>305</v>
      </c>
      <c r="Z11" s="169"/>
      <c r="AA11" s="170">
        <v>50</v>
      </c>
      <c r="AB11" s="170"/>
      <c r="AC11" s="171"/>
      <c r="AD11" s="187">
        <f t="shared" si="1"/>
        <v>-194.4743397474663</v>
      </c>
      <c r="AE11" s="188">
        <f>AH11/AA11%</f>
        <v>178.99418230356801</v>
      </c>
      <c r="AF11" s="187"/>
      <c r="AG11" s="188"/>
      <c r="AH11" s="417">
        <f t="shared" si="2"/>
        <v>89.497091151784005</v>
      </c>
      <c r="AI11" s="174">
        <v>19.100000000000001</v>
      </c>
      <c r="AJ11" s="175">
        <v>34.4</v>
      </c>
      <c r="AK11" s="175">
        <v>10.7</v>
      </c>
      <c r="AL11" s="175">
        <v>9.9</v>
      </c>
      <c r="AM11" s="175">
        <v>0.29709115178400003</v>
      </c>
      <c r="AN11" s="175">
        <v>13.6</v>
      </c>
      <c r="AO11" s="175">
        <v>0.1</v>
      </c>
      <c r="AP11" s="175">
        <v>1.4</v>
      </c>
      <c r="AQ11" s="176"/>
      <c r="AR11" s="159"/>
    </row>
    <row r="12" spans="1:44" x14ac:dyDescent="0.25">
      <c r="A12" s="190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7"/>
      <c r="O12" s="175"/>
      <c r="P12" s="175"/>
      <c r="Q12" s="175"/>
      <c r="R12" s="175"/>
      <c r="S12" s="175"/>
      <c r="T12" s="175"/>
      <c r="U12" s="175"/>
      <c r="V12" s="175"/>
      <c r="W12" s="175"/>
      <c r="X12" s="176">
        <f t="shared" si="0"/>
        <v>0</v>
      </c>
      <c r="Y12" s="234" t="s">
        <v>309</v>
      </c>
      <c r="Z12" s="169"/>
      <c r="AA12" s="170">
        <v>150</v>
      </c>
      <c r="AB12" s="170"/>
      <c r="AC12" s="171"/>
      <c r="AD12" s="187">
        <f t="shared" si="1"/>
        <v>-139.9307291084572</v>
      </c>
      <c r="AE12" s="188">
        <f>AH12/AA12%</f>
        <v>128.79224307142402</v>
      </c>
      <c r="AF12" s="187"/>
      <c r="AG12" s="188"/>
      <c r="AH12" s="417">
        <f t="shared" si="2"/>
        <v>193.18836460713604</v>
      </c>
      <c r="AI12" s="174">
        <v>67.5</v>
      </c>
      <c r="AJ12" s="175">
        <v>0</v>
      </c>
      <c r="AK12" s="175">
        <v>35.9</v>
      </c>
      <c r="AL12" s="175">
        <v>33.200000000000003</v>
      </c>
      <c r="AM12" s="175">
        <v>1.1883646071360003</v>
      </c>
      <c r="AN12" s="175">
        <v>54.5</v>
      </c>
      <c r="AO12" s="175">
        <v>0.1</v>
      </c>
      <c r="AP12" s="175">
        <v>0.8</v>
      </c>
      <c r="AQ12" s="176"/>
      <c r="AR12" s="159"/>
    </row>
    <row r="13" spans="1:44" x14ac:dyDescent="0.25">
      <c r="A13" s="190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7"/>
      <c r="O13" s="175"/>
      <c r="P13" s="175"/>
      <c r="Q13" s="175"/>
      <c r="R13" s="175"/>
      <c r="S13" s="175"/>
      <c r="T13" s="175"/>
      <c r="U13" s="175"/>
      <c r="V13" s="175"/>
      <c r="W13" s="175"/>
      <c r="X13" s="176">
        <f t="shared" si="0"/>
        <v>0</v>
      </c>
      <c r="Y13" s="235" t="s">
        <v>290</v>
      </c>
      <c r="Z13" s="169"/>
      <c r="AA13" s="170">
        <v>85</v>
      </c>
      <c r="AB13" s="170"/>
      <c r="AC13" s="171"/>
      <c r="AD13" s="187">
        <f t="shared" si="1"/>
        <v>-870.97681315029251</v>
      </c>
      <c r="AE13" s="188">
        <f>AH13/AA13%</f>
        <v>801.64705882352928</v>
      </c>
      <c r="AF13" s="187"/>
      <c r="AG13" s="188"/>
      <c r="AH13" s="417">
        <f t="shared" si="2"/>
        <v>681.39999999999986</v>
      </c>
      <c r="AI13" s="174">
        <v>106</v>
      </c>
      <c r="AJ13" s="175">
        <v>157.9</v>
      </c>
      <c r="AK13" s="175">
        <v>34.200000000000003</v>
      </c>
      <c r="AL13" s="175">
        <v>31.6</v>
      </c>
      <c r="AM13" s="175">
        <v>5.9</v>
      </c>
      <c r="AN13" s="175">
        <v>332</v>
      </c>
      <c r="AO13" s="175">
        <v>0.9</v>
      </c>
      <c r="AP13" s="175">
        <v>12.9</v>
      </c>
      <c r="AQ13" s="176"/>
      <c r="AR13" s="159"/>
    </row>
    <row r="14" spans="1:44" x14ac:dyDescent="0.25">
      <c r="A14" s="190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7">
        <f>AH14-AE14</f>
        <v>0.79999999999999993</v>
      </c>
      <c r="O14" s="175"/>
      <c r="P14" s="175"/>
      <c r="Q14" s="175"/>
      <c r="R14" s="175"/>
      <c r="S14" s="175"/>
      <c r="T14" s="175"/>
      <c r="U14" s="175"/>
      <c r="V14" s="175"/>
      <c r="W14" s="175"/>
      <c r="X14" s="176">
        <f t="shared" si="0"/>
        <v>0.79999999999999993</v>
      </c>
      <c r="Y14" s="235" t="s">
        <v>344</v>
      </c>
      <c r="Z14" s="169"/>
      <c r="AA14" s="170"/>
      <c r="AB14" s="170">
        <v>300</v>
      </c>
      <c r="AC14" s="171"/>
      <c r="AD14" s="187">
        <f>-AE14/$D$2%</f>
        <v>-0.43459365493263796</v>
      </c>
      <c r="AE14" s="176">
        <v>0.4</v>
      </c>
      <c r="AF14" s="187"/>
      <c r="AG14" s="188"/>
      <c r="AH14" s="417">
        <f t="shared" si="2"/>
        <v>1.2</v>
      </c>
      <c r="AI14" s="178">
        <v>1.2</v>
      </c>
      <c r="AJ14" s="177"/>
      <c r="AK14" s="177"/>
      <c r="AL14" s="177"/>
      <c r="AM14" s="177"/>
      <c r="AN14" s="177"/>
      <c r="AO14" s="177"/>
      <c r="AP14" s="177"/>
      <c r="AQ14" s="188"/>
      <c r="AR14" s="159"/>
    </row>
    <row r="15" spans="1:44" x14ac:dyDescent="0.25">
      <c r="A15" s="190">
        <f>Z15%*AD15</f>
        <v>664.18924240641434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7"/>
      <c r="O15" s="175"/>
      <c r="P15" s="175"/>
      <c r="Q15" s="175"/>
      <c r="R15" s="175"/>
      <c r="S15" s="175"/>
      <c r="T15" s="175"/>
      <c r="U15" s="175"/>
      <c r="V15" s="175"/>
      <c r="W15" s="175"/>
      <c r="X15" s="176">
        <f t="shared" si="0"/>
        <v>664.18924240641434</v>
      </c>
      <c r="Y15" s="234" t="s">
        <v>461</v>
      </c>
      <c r="Z15" s="169">
        <v>100</v>
      </c>
      <c r="AA15" s="170"/>
      <c r="AB15" s="170"/>
      <c r="AC15" s="171"/>
      <c r="AD15" s="187">
        <f>-SUM(AD16:AD80,AD8:AD14)</f>
        <v>664.18924240641434</v>
      </c>
      <c r="AE15" s="188"/>
      <c r="AF15" s="187"/>
      <c r="AG15" s="188"/>
      <c r="AH15" s="417">
        <f t="shared" ref="AH15:AH52" si="3">SUM(AI15:AQ15)</f>
        <v>0</v>
      </c>
      <c r="AI15" s="187"/>
      <c r="AJ15" s="177"/>
      <c r="AK15" s="177"/>
      <c r="AL15" s="177"/>
      <c r="AM15" s="177"/>
      <c r="AN15" s="177"/>
      <c r="AO15" s="177"/>
      <c r="AP15" s="177"/>
      <c r="AQ15" s="188"/>
      <c r="AR15" s="159"/>
    </row>
    <row r="16" spans="1:44" x14ac:dyDescent="0.25">
      <c r="A16" s="468"/>
      <c r="B16" s="236">
        <v>20.9</v>
      </c>
      <c r="C16" s="184"/>
      <c r="D16" s="184"/>
      <c r="E16" s="184"/>
      <c r="F16" s="184"/>
      <c r="G16" s="184"/>
      <c r="H16" s="184"/>
      <c r="I16" s="181"/>
      <c r="J16" s="184"/>
      <c r="K16" s="184"/>
      <c r="L16" s="184"/>
      <c r="M16" s="184"/>
      <c r="N16" s="181"/>
      <c r="O16" s="184"/>
      <c r="P16" s="184"/>
      <c r="Q16" s="184"/>
      <c r="R16" s="184"/>
      <c r="S16" s="184"/>
      <c r="T16" s="184"/>
      <c r="U16" s="184"/>
      <c r="V16" s="184"/>
      <c r="W16" s="184"/>
      <c r="X16" s="185">
        <f t="shared" si="0"/>
        <v>20.9</v>
      </c>
      <c r="Y16" s="237" t="s">
        <v>345</v>
      </c>
      <c r="Z16" s="179"/>
      <c r="AA16" s="180"/>
      <c r="AB16" s="181">
        <v>38</v>
      </c>
      <c r="AC16" s="182"/>
      <c r="AD16" s="419"/>
      <c r="AE16" s="420"/>
      <c r="AF16" s="419"/>
      <c r="AG16" s="420"/>
      <c r="AH16" s="417">
        <f t="shared" si="3"/>
        <v>7.9419999999999993</v>
      </c>
      <c r="AI16" s="183">
        <f>X16*AB16/100*0.2</f>
        <v>1.5884</v>
      </c>
      <c r="AJ16" s="184"/>
      <c r="AK16" s="184"/>
      <c r="AL16" s="184"/>
      <c r="AM16" s="184"/>
      <c r="AN16" s="184">
        <f>X16*AB16/100*0.6</f>
        <v>4.7651999999999992</v>
      </c>
      <c r="AO16" s="184"/>
      <c r="AP16" s="184"/>
      <c r="AQ16" s="185">
        <f>X16*AB16/100*0.2</f>
        <v>1.5884</v>
      </c>
      <c r="AR16" s="159"/>
    </row>
    <row r="17" spans="1:44" x14ac:dyDescent="0.25">
      <c r="A17" s="190"/>
      <c r="B17" s="175"/>
      <c r="C17" s="175"/>
      <c r="D17" s="175"/>
      <c r="E17" s="241">
        <v>74</v>
      </c>
      <c r="F17" s="175"/>
      <c r="G17" s="175"/>
      <c r="H17" s="175"/>
      <c r="I17" s="175"/>
      <c r="J17" s="175"/>
      <c r="K17" s="175"/>
      <c r="L17" s="175"/>
      <c r="M17" s="175"/>
      <c r="N17" s="177"/>
      <c r="O17" s="175"/>
      <c r="P17" s="175"/>
      <c r="Q17" s="175"/>
      <c r="R17" s="175"/>
      <c r="S17" s="175"/>
      <c r="T17" s="175"/>
      <c r="U17" s="175"/>
      <c r="V17" s="175"/>
      <c r="W17" s="175"/>
      <c r="X17" s="176">
        <f t="shared" si="0"/>
        <v>74</v>
      </c>
      <c r="Y17" s="235" t="s">
        <v>346</v>
      </c>
      <c r="Z17" s="169"/>
      <c r="AA17" s="170"/>
      <c r="AB17" s="177">
        <v>80</v>
      </c>
      <c r="AC17" s="171"/>
      <c r="AD17" s="187"/>
      <c r="AE17" s="188"/>
      <c r="AF17" s="187"/>
      <c r="AG17" s="188"/>
      <c r="AH17" s="417">
        <f t="shared" si="3"/>
        <v>59.2</v>
      </c>
      <c r="AI17" s="178">
        <f t="shared" ref="AI17:AI22" si="4">X17*AB17/100</f>
        <v>59.2</v>
      </c>
      <c r="AJ17" s="177"/>
      <c r="AK17" s="177"/>
      <c r="AL17" s="177"/>
      <c r="AM17" s="177"/>
      <c r="AN17" s="177"/>
      <c r="AO17" s="177"/>
      <c r="AP17" s="177"/>
      <c r="AQ17" s="188"/>
      <c r="AR17" s="159"/>
    </row>
    <row r="18" spans="1:44" x14ac:dyDescent="0.25">
      <c r="A18" s="190"/>
      <c r="B18" s="175"/>
      <c r="C18" s="175"/>
      <c r="D18" s="175"/>
      <c r="E18" s="175"/>
      <c r="F18" s="175"/>
      <c r="G18" s="175"/>
      <c r="H18" s="175"/>
      <c r="I18" s="175">
        <v>0.6</v>
      </c>
      <c r="J18" s="175"/>
      <c r="K18" s="175"/>
      <c r="L18" s="175"/>
      <c r="M18" s="175"/>
      <c r="N18" s="177"/>
      <c r="O18" s="175"/>
      <c r="P18" s="175"/>
      <c r="Q18" s="175"/>
      <c r="R18" s="175"/>
      <c r="S18" s="175"/>
      <c r="T18" s="175"/>
      <c r="U18" s="175"/>
      <c r="V18" s="175"/>
      <c r="W18" s="175"/>
      <c r="X18" s="176">
        <f t="shared" si="0"/>
        <v>0.6</v>
      </c>
      <c r="Y18" s="235" t="s">
        <v>347</v>
      </c>
      <c r="Z18" s="169"/>
      <c r="AA18" s="170"/>
      <c r="AB18" s="177">
        <v>85</v>
      </c>
      <c r="AC18" s="171"/>
      <c r="AD18" s="187"/>
      <c r="AE18" s="188"/>
      <c r="AF18" s="187"/>
      <c r="AG18" s="188"/>
      <c r="AH18" s="417">
        <f t="shared" si="3"/>
        <v>0.51</v>
      </c>
      <c r="AI18" s="178">
        <f t="shared" si="4"/>
        <v>0.51</v>
      </c>
      <c r="AJ18" s="177"/>
      <c r="AK18" s="177"/>
      <c r="AL18" s="177"/>
      <c r="AM18" s="177"/>
      <c r="AN18" s="177"/>
      <c r="AO18" s="177"/>
      <c r="AP18" s="177"/>
      <c r="AQ18" s="188"/>
      <c r="AR18" s="159"/>
    </row>
    <row r="19" spans="1:44" x14ac:dyDescent="0.25">
      <c r="A19" s="190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7"/>
      <c r="O19" s="175"/>
      <c r="P19" s="175"/>
      <c r="Q19" s="175"/>
      <c r="R19" s="175"/>
      <c r="S19" s="254">
        <v>75</v>
      </c>
      <c r="T19" s="175"/>
      <c r="U19" s="175"/>
      <c r="V19" s="175"/>
      <c r="W19" s="175"/>
      <c r="X19" s="176">
        <f t="shared" si="0"/>
        <v>75</v>
      </c>
      <c r="Y19" s="235" t="s">
        <v>348</v>
      </c>
      <c r="Z19" s="169"/>
      <c r="AA19" s="170"/>
      <c r="AB19" s="177">
        <v>75</v>
      </c>
      <c r="AC19" s="171"/>
      <c r="AD19" s="187"/>
      <c r="AE19" s="188"/>
      <c r="AF19" s="187"/>
      <c r="AG19" s="188"/>
      <c r="AH19" s="417">
        <f t="shared" si="3"/>
        <v>56.25</v>
      </c>
      <c r="AI19" s="178">
        <f t="shared" si="4"/>
        <v>56.25</v>
      </c>
      <c r="AJ19" s="177"/>
      <c r="AK19" s="177"/>
      <c r="AL19" s="177"/>
      <c r="AM19" s="177"/>
      <c r="AN19" s="177"/>
      <c r="AO19" s="177"/>
      <c r="AP19" s="177"/>
      <c r="AQ19" s="188"/>
      <c r="AR19" s="159"/>
    </row>
    <row r="20" spans="1:44" x14ac:dyDescent="0.25">
      <c r="A20" s="190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7"/>
      <c r="O20" s="175"/>
      <c r="P20" s="175"/>
      <c r="Q20" s="175"/>
      <c r="R20" s="175">
        <v>153</v>
      </c>
      <c r="S20" s="175"/>
      <c r="T20" s="175"/>
      <c r="U20" s="175"/>
      <c r="V20" s="175"/>
      <c r="W20" s="175"/>
      <c r="X20" s="176">
        <f t="shared" si="0"/>
        <v>153</v>
      </c>
      <c r="Y20" s="235" t="s">
        <v>349</v>
      </c>
      <c r="Z20" s="169"/>
      <c r="AA20" s="170"/>
      <c r="AB20" s="177">
        <v>65</v>
      </c>
      <c r="AC20" s="171"/>
      <c r="AD20" s="187"/>
      <c r="AE20" s="188"/>
      <c r="AF20" s="187"/>
      <c r="AG20" s="188"/>
      <c r="AH20" s="417">
        <f t="shared" si="3"/>
        <v>99.45</v>
      </c>
      <c r="AI20" s="178">
        <f t="shared" si="4"/>
        <v>99.45</v>
      </c>
      <c r="AJ20" s="177"/>
      <c r="AK20" s="177"/>
      <c r="AL20" s="177"/>
      <c r="AM20" s="177"/>
      <c r="AN20" s="177"/>
      <c r="AO20" s="177"/>
      <c r="AP20" s="177"/>
      <c r="AQ20" s="188"/>
      <c r="AR20" s="159"/>
    </row>
    <row r="21" spans="1:44" x14ac:dyDescent="0.25">
      <c r="A21" s="190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7"/>
      <c r="O21" s="175"/>
      <c r="P21" s="175"/>
      <c r="Q21" s="175">
        <v>22</v>
      </c>
      <c r="R21" s="175"/>
      <c r="S21" s="175"/>
      <c r="T21" s="175"/>
      <c r="U21" s="175"/>
      <c r="V21" s="175"/>
      <c r="W21" s="175"/>
      <c r="X21" s="176">
        <f t="shared" si="0"/>
        <v>22</v>
      </c>
      <c r="Y21" s="235" t="s">
        <v>350</v>
      </c>
      <c r="Z21" s="169"/>
      <c r="AA21" s="170"/>
      <c r="AB21" s="177">
        <v>65</v>
      </c>
      <c r="AC21" s="171"/>
      <c r="AD21" s="187"/>
      <c r="AE21" s="188"/>
      <c r="AF21" s="187"/>
      <c r="AG21" s="188"/>
      <c r="AH21" s="417">
        <f t="shared" si="3"/>
        <v>14.3</v>
      </c>
      <c r="AI21" s="178">
        <f t="shared" si="4"/>
        <v>14.3</v>
      </c>
      <c r="AJ21" s="177"/>
      <c r="AK21" s="177"/>
      <c r="AL21" s="177"/>
      <c r="AM21" s="177"/>
      <c r="AN21" s="177"/>
      <c r="AO21" s="177"/>
      <c r="AP21" s="177"/>
      <c r="AQ21" s="188"/>
      <c r="AR21" s="159"/>
    </row>
    <row r="22" spans="1:44" x14ac:dyDescent="0.25">
      <c r="A22" s="190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>
        <v>3.000753402947522</v>
      </c>
      <c r="M22" s="175"/>
      <c r="N22" s="177"/>
      <c r="O22" s="175"/>
      <c r="P22" s="175"/>
      <c r="Q22" s="175"/>
      <c r="R22" s="175"/>
      <c r="S22" s="175"/>
      <c r="T22" s="175"/>
      <c r="U22" s="175"/>
      <c r="V22" s="175"/>
      <c r="W22" s="175"/>
      <c r="X22" s="176">
        <f t="shared" si="0"/>
        <v>3.000753402947522</v>
      </c>
      <c r="Y22" s="234" t="s">
        <v>331</v>
      </c>
      <c r="Z22" s="169"/>
      <c r="AA22" s="170"/>
      <c r="AB22" s="170">
        <v>100</v>
      </c>
      <c r="AC22" s="171"/>
      <c r="AD22" s="187"/>
      <c r="AE22" s="188"/>
      <c r="AF22" s="187"/>
      <c r="AG22" s="188"/>
      <c r="AH22" s="417">
        <f t="shared" si="3"/>
        <v>3.000753402947522</v>
      </c>
      <c r="AI22" s="178">
        <f t="shared" si="4"/>
        <v>3.000753402947522</v>
      </c>
      <c r="AJ22" s="177"/>
      <c r="AK22" s="177"/>
      <c r="AL22" s="177"/>
      <c r="AM22" s="177"/>
      <c r="AN22" s="177"/>
      <c r="AO22" s="177"/>
      <c r="AP22" s="177"/>
      <c r="AQ22" s="188"/>
      <c r="AR22" s="159"/>
    </row>
    <row r="23" spans="1:44" x14ac:dyDescent="0.25">
      <c r="A23" s="190"/>
      <c r="B23" s="175"/>
      <c r="C23" s="175"/>
      <c r="D23" s="175"/>
      <c r="E23" s="175">
        <v>10</v>
      </c>
      <c r="F23" s="175"/>
      <c r="G23" s="175"/>
      <c r="H23" s="175"/>
      <c r="I23" s="175"/>
      <c r="J23" s="175"/>
      <c r="K23" s="175"/>
      <c r="L23" s="175"/>
      <c r="M23" s="175"/>
      <c r="N23" s="177"/>
      <c r="O23" s="175"/>
      <c r="P23" s="175"/>
      <c r="Q23" s="175"/>
      <c r="R23" s="175"/>
      <c r="S23" s="175"/>
      <c r="T23" s="175"/>
      <c r="U23" s="175"/>
      <c r="V23" s="175"/>
      <c r="W23" s="175"/>
      <c r="X23" s="176">
        <f t="shared" si="0"/>
        <v>10</v>
      </c>
      <c r="Y23" s="235" t="s">
        <v>292</v>
      </c>
      <c r="Z23" s="169"/>
      <c r="AA23" s="170">
        <v>90</v>
      </c>
      <c r="AB23" s="170"/>
      <c r="AC23" s="171"/>
      <c r="AD23" s="187"/>
      <c r="AE23" s="188"/>
      <c r="AF23" s="187"/>
      <c r="AG23" s="188"/>
      <c r="AH23" s="417">
        <f t="shared" si="3"/>
        <v>9</v>
      </c>
      <c r="AI23" s="178"/>
      <c r="AJ23" s="177"/>
      <c r="AK23" s="177"/>
      <c r="AL23" s="177"/>
      <c r="AM23" s="177"/>
      <c r="AN23" s="177">
        <f>X23*AA23/100</f>
        <v>9</v>
      </c>
      <c r="AO23" s="177"/>
      <c r="AP23" s="177"/>
      <c r="AQ23" s="188"/>
      <c r="AR23" s="159"/>
    </row>
    <row r="24" spans="1:44" x14ac:dyDescent="0.25">
      <c r="A24" s="190"/>
      <c r="B24" s="175"/>
      <c r="C24" s="175"/>
      <c r="D24" s="175"/>
      <c r="E24" s="175"/>
      <c r="F24" s="175"/>
      <c r="G24" s="175"/>
      <c r="H24" s="175"/>
      <c r="I24" s="175">
        <v>392</v>
      </c>
      <c r="J24" s="175"/>
      <c r="K24" s="175"/>
      <c r="L24" s="175"/>
      <c r="M24" s="175"/>
      <c r="N24" s="177"/>
      <c r="O24" s="175"/>
      <c r="P24" s="175"/>
      <c r="Q24" s="175"/>
      <c r="R24" s="175"/>
      <c r="S24" s="175"/>
      <c r="T24" s="175"/>
      <c r="U24" s="175"/>
      <c r="V24" s="175"/>
      <c r="W24" s="175"/>
      <c r="X24" s="176">
        <f t="shared" si="0"/>
        <v>392</v>
      </c>
      <c r="Y24" s="235" t="s">
        <v>294</v>
      </c>
      <c r="Z24" s="169"/>
      <c r="AA24" s="170">
        <v>90</v>
      </c>
      <c r="AB24" s="170"/>
      <c r="AC24" s="171"/>
      <c r="AD24" s="187"/>
      <c r="AE24" s="188"/>
      <c r="AF24" s="187"/>
      <c r="AG24" s="188"/>
      <c r="AH24" s="417">
        <f t="shared" si="3"/>
        <v>352.8</v>
      </c>
      <c r="AI24" s="178"/>
      <c r="AJ24" s="177"/>
      <c r="AK24" s="177"/>
      <c r="AL24" s="177"/>
      <c r="AM24" s="177"/>
      <c r="AN24" s="177">
        <f>X24*AA24/100</f>
        <v>352.8</v>
      </c>
      <c r="AO24" s="177"/>
      <c r="AP24" s="177"/>
      <c r="AQ24" s="188"/>
      <c r="AR24" s="159"/>
    </row>
    <row r="25" spans="1:44" x14ac:dyDescent="0.25">
      <c r="A25" s="190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6"/>
      <c r="Y25" s="235" t="s">
        <v>296</v>
      </c>
      <c r="Z25" s="169"/>
      <c r="AA25" s="170">
        <v>90</v>
      </c>
      <c r="AB25" s="170"/>
      <c r="AC25" s="171"/>
      <c r="AD25" s="187"/>
      <c r="AE25" s="188"/>
      <c r="AF25" s="187"/>
      <c r="AG25" s="188"/>
      <c r="AH25" s="417">
        <f t="shared" si="3"/>
        <v>0</v>
      </c>
      <c r="AI25" s="178"/>
      <c r="AJ25" s="177"/>
      <c r="AK25" s="177"/>
      <c r="AL25" s="177"/>
      <c r="AM25" s="177"/>
      <c r="AN25" s="177">
        <f>X25*AA25/100</f>
        <v>0</v>
      </c>
      <c r="AO25" s="177"/>
      <c r="AP25" s="177"/>
      <c r="AQ25" s="188"/>
      <c r="AR25" s="255"/>
    </row>
    <row r="26" spans="1:44" x14ac:dyDescent="0.25">
      <c r="A26" s="190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>
        <v>24.9</v>
      </c>
      <c r="M26" s="175"/>
      <c r="N26" s="177"/>
      <c r="O26" s="175"/>
      <c r="P26" s="175"/>
      <c r="Q26" s="175"/>
      <c r="R26" s="175"/>
      <c r="S26" s="175"/>
      <c r="T26" s="175"/>
      <c r="U26" s="175"/>
      <c r="V26" s="175"/>
      <c r="W26" s="175"/>
      <c r="X26" s="176">
        <f t="shared" si="0"/>
        <v>24.9</v>
      </c>
      <c r="Y26" s="234" t="s">
        <v>131</v>
      </c>
      <c r="Z26" s="170">
        <v>100</v>
      </c>
      <c r="AA26" s="170"/>
      <c r="AB26" s="170"/>
      <c r="AC26" s="171"/>
      <c r="AD26" s="187">
        <f>X26*Z26/100</f>
        <v>24.9</v>
      </c>
      <c r="AE26" s="188"/>
      <c r="AF26" s="187"/>
      <c r="AG26" s="188"/>
      <c r="AH26" s="417">
        <f t="shared" si="3"/>
        <v>0</v>
      </c>
      <c r="AI26" s="178"/>
      <c r="AJ26" s="177"/>
      <c r="AK26" s="177"/>
      <c r="AL26" s="177"/>
      <c r="AM26" s="177"/>
      <c r="AN26" s="177"/>
      <c r="AO26" s="177"/>
      <c r="AP26" s="177"/>
      <c r="AQ26" s="188"/>
      <c r="AR26" s="159"/>
    </row>
    <row r="27" spans="1:44" x14ac:dyDescent="0.25">
      <c r="A27" s="190"/>
      <c r="B27" s="175"/>
      <c r="C27" s="175"/>
      <c r="D27" s="175"/>
      <c r="E27" s="175"/>
      <c r="F27" s="175"/>
      <c r="G27" s="175"/>
      <c r="H27" s="175"/>
      <c r="I27" s="175"/>
      <c r="J27" s="175">
        <v>70</v>
      </c>
      <c r="K27" s="175"/>
      <c r="L27" s="175"/>
      <c r="M27" s="175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6">
        <f t="shared" si="0"/>
        <v>70</v>
      </c>
      <c r="Y27" s="235" t="s">
        <v>135</v>
      </c>
      <c r="Z27" s="170">
        <v>100</v>
      </c>
      <c r="AA27" s="170"/>
      <c r="AB27" s="170"/>
      <c r="AC27" s="171"/>
      <c r="AD27" s="187">
        <f>Z27*X27/100</f>
        <v>70</v>
      </c>
      <c r="AE27" s="188"/>
      <c r="AF27" s="187"/>
      <c r="AG27" s="188"/>
      <c r="AH27" s="417">
        <f t="shared" si="3"/>
        <v>0</v>
      </c>
      <c r="AI27" s="178"/>
      <c r="AJ27" s="177"/>
      <c r="AK27" s="177"/>
      <c r="AL27" s="177"/>
      <c r="AM27" s="177"/>
      <c r="AN27" s="177"/>
      <c r="AO27" s="177"/>
      <c r="AP27" s="177"/>
      <c r="AQ27" s="188"/>
      <c r="AR27" s="159"/>
    </row>
    <row r="28" spans="1:44" x14ac:dyDescent="0.25">
      <c r="A28" s="190"/>
      <c r="B28" s="175"/>
      <c r="C28" s="175"/>
      <c r="D28" s="175"/>
      <c r="E28" s="175"/>
      <c r="F28" s="175"/>
      <c r="G28" s="175"/>
      <c r="H28" s="175"/>
      <c r="I28" s="175"/>
      <c r="J28" s="238"/>
      <c r="K28" s="175"/>
      <c r="L28" s="175"/>
      <c r="M28" s="175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6">
        <f t="shared" si="0"/>
        <v>0</v>
      </c>
      <c r="Y28" s="235" t="s">
        <v>137</v>
      </c>
      <c r="Z28" s="187">
        <v>100</v>
      </c>
      <c r="AA28" s="177"/>
      <c r="AB28" s="177"/>
      <c r="AC28" s="188"/>
      <c r="AD28" s="187">
        <f>Z28*X28/100</f>
        <v>0</v>
      </c>
      <c r="AE28" s="188"/>
      <c r="AF28" s="187"/>
      <c r="AG28" s="188"/>
      <c r="AH28" s="417">
        <f t="shared" si="3"/>
        <v>0</v>
      </c>
      <c r="AI28" s="178"/>
      <c r="AJ28" s="177"/>
      <c r="AK28" s="177"/>
      <c r="AL28" s="177"/>
      <c r="AM28" s="177"/>
      <c r="AN28" s="177"/>
      <c r="AO28" s="177"/>
      <c r="AP28" s="177"/>
      <c r="AQ28" s="188"/>
      <c r="AR28" s="159"/>
    </row>
    <row r="29" spans="1:44" x14ac:dyDescent="0.25">
      <c r="A29" s="190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6">
        <f t="shared" si="0"/>
        <v>0</v>
      </c>
      <c r="Y29" s="487" t="s">
        <v>139</v>
      </c>
      <c r="Z29" s="177">
        <v>100</v>
      </c>
      <c r="AA29" s="177"/>
      <c r="AB29" s="177"/>
      <c r="AC29" s="188"/>
      <c r="AD29" s="187">
        <f>Z29*X29/100</f>
        <v>0</v>
      </c>
      <c r="AE29" s="188"/>
      <c r="AF29" s="187"/>
      <c r="AG29" s="188"/>
      <c r="AH29" s="417">
        <f t="shared" si="3"/>
        <v>0</v>
      </c>
      <c r="AI29" s="178"/>
      <c r="AJ29" s="177"/>
      <c r="AK29" s="177"/>
      <c r="AL29" s="177"/>
      <c r="AM29" s="177"/>
      <c r="AN29" s="177"/>
      <c r="AO29" s="177"/>
      <c r="AP29" s="177"/>
      <c r="AQ29" s="188"/>
      <c r="AR29" s="159"/>
    </row>
    <row r="30" spans="1:44" x14ac:dyDescent="0.25">
      <c r="A30" s="190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6">
        <f t="shared" si="0"/>
        <v>0</v>
      </c>
      <c r="Y30" s="487" t="s">
        <v>141</v>
      </c>
      <c r="Z30" s="177">
        <v>100</v>
      </c>
      <c r="AA30" s="177"/>
      <c r="AB30" s="177"/>
      <c r="AC30" s="188"/>
      <c r="AD30" s="187">
        <f>Z30*X30/100</f>
        <v>0</v>
      </c>
      <c r="AE30" s="188"/>
      <c r="AF30" s="187"/>
      <c r="AG30" s="188"/>
      <c r="AH30" s="417">
        <f t="shared" si="3"/>
        <v>0</v>
      </c>
      <c r="AI30" s="178"/>
      <c r="AJ30" s="177"/>
      <c r="AK30" s="177"/>
      <c r="AL30" s="177"/>
      <c r="AM30" s="177"/>
      <c r="AN30" s="177"/>
      <c r="AO30" s="177"/>
      <c r="AP30" s="177"/>
      <c r="AQ30" s="188"/>
      <c r="AR30" s="159"/>
    </row>
    <row r="31" spans="1:44" x14ac:dyDescent="0.25">
      <c r="A31" s="174"/>
      <c r="B31" s="177"/>
      <c r="C31" s="177"/>
      <c r="D31" s="177"/>
      <c r="E31" s="177"/>
      <c r="F31" s="177"/>
      <c r="G31" s="177"/>
      <c r="H31" s="177"/>
      <c r="I31" s="177">
        <f>-(O31+T31)*AA31%</f>
        <v>0</v>
      </c>
      <c r="J31" s="238"/>
      <c r="K31" s="175"/>
      <c r="L31" s="175"/>
      <c r="M31" s="175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6">
        <f t="shared" si="0"/>
        <v>0</v>
      </c>
      <c r="Y31" s="239" t="s">
        <v>462</v>
      </c>
      <c r="Z31" s="174"/>
      <c r="AA31" s="175"/>
      <c r="AB31" s="175"/>
      <c r="AC31" s="176"/>
      <c r="AD31" s="190"/>
      <c r="AE31" s="176"/>
      <c r="AF31" s="190"/>
      <c r="AG31" s="176"/>
      <c r="AH31" s="421"/>
      <c r="AI31" s="174"/>
      <c r="AJ31" s="175"/>
      <c r="AK31" s="175"/>
      <c r="AL31" s="175"/>
      <c r="AM31" s="175"/>
      <c r="AN31" s="175"/>
      <c r="AO31" s="175"/>
      <c r="AP31" s="175"/>
      <c r="AQ31" s="176"/>
      <c r="AR31" s="159"/>
    </row>
    <row r="32" spans="1:44" x14ac:dyDescent="0.2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6">
        <f t="shared" si="0"/>
        <v>0</v>
      </c>
      <c r="Y32" s="239" t="s">
        <v>463</v>
      </c>
      <c r="Z32" s="190"/>
      <c r="AA32" s="175"/>
      <c r="AB32" s="175"/>
      <c r="AC32" s="176"/>
      <c r="AD32" s="187">
        <f>X32*Z32/100</f>
        <v>0</v>
      </c>
      <c r="AE32" s="188"/>
      <c r="AF32" s="187">
        <f>X32*AB32/100</f>
        <v>0</v>
      </c>
      <c r="AG32" s="188"/>
      <c r="AH32" s="417">
        <f>SUM(AI32:AQ32)</f>
        <v>0</v>
      </c>
      <c r="AI32" s="178"/>
      <c r="AJ32" s="175"/>
      <c r="AK32" s="175"/>
      <c r="AL32" s="175"/>
      <c r="AM32" s="175"/>
      <c r="AN32" s="175"/>
      <c r="AO32" s="175"/>
      <c r="AP32" s="175"/>
      <c r="AQ32" s="188"/>
      <c r="AR32" s="159"/>
    </row>
    <row r="33" spans="1:44" x14ac:dyDescent="0.2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241"/>
      <c r="O33" s="175"/>
      <c r="P33" s="175"/>
      <c r="Q33" s="175"/>
      <c r="R33" s="175"/>
      <c r="S33" s="175"/>
      <c r="T33" s="175"/>
      <c r="U33" s="175"/>
      <c r="V33" s="175"/>
      <c r="W33" s="175"/>
      <c r="X33" s="176">
        <f t="shared" si="0"/>
        <v>0</v>
      </c>
      <c r="Y33" s="487" t="s">
        <v>145</v>
      </c>
      <c r="Z33" s="190">
        <v>34.4</v>
      </c>
      <c r="AA33" s="175"/>
      <c r="AB33" s="175">
        <v>51.6</v>
      </c>
      <c r="AC33" s="188"/>
      <c r="AD33" s="187">
        <f>X33*Z33/100</f>
        <v>0</v>
      </c>
      <c r="AE33" s="188"/>
      <c r="AF33" s="187">
        <f>X33*AB33/100</f>
        <v>0</v>
      </c>
      <c r="AG33" s="188"/>
      <c r="AH33" s="417">
        <f t="shared" si="3"/>
        <v>0</v>
      </c>
      <c r="AI33" s="178"/>
      <c r="AJ33" s="177"/>
      <c r="AK33" s="177"/>
      <c r="AL33" s="177"/>
      <c r="AM33" s="177"/>
      <c r="AN33" s="177"/>
      <c r="AO33" s="177"/>
      <c r="AP33" s="177"/>
      <c r="AQ33" s="188"/>
      <c r="AR33" s="159"/>
    </row>
    <row r="34" spans="1:44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241"/>
      <c r="O34" s="175"/>
      <c r="P34" s="175"/>
      <c r="Q34" s="175"/>
      <c r="R34" s="175"/>
      <c r="S34" s="175"/>
      <c r="T34" s="175"/>
      <c r="U34" s="175"/>
      <c r="V34" s="175"/>
      <c r="W34" s="175"/>
      <c r="X34" s="176">
        <f t="shared" si="0"/>
        <v>0</v>
      </c>
      <c r="Y34" s="487" t="s">
        <v>147</v>
      </c>
      <c r="Z34" s="190"/>
      <c r="AA34" s="175"/>
      <c r="AB34" s="175">
        <v>0</v>
      </c>
      <c r="AC34" s="188"/>
      <c r="AD34" s="187">
        <f>X34*Z34/100</f>
        <v>0</v>
      </c>
      <c r="AE34" s="188"/>
      <c r="AF34" s="187">
        <f>X34*AB34</f>
        <v>0</v>
      </c>
      <c r="AG34" s="188"/>
      <c r="AH34" s="417">
        <f t="shared" si="3"/>
        <v>0</v>
      </c>
      <c r="AI34" s="178"/>
      <c r="AJ34" s="177"/>
      <c r="AK34" s="177"/>
      <c r="AL34" s="177"/>
      <c r="AM34" s="177"/>
      <c r="AN34" s="177"/>
      <c r="AO34" s="177"/>
      <c r="AP34" s="177"/>
      <c r="AQ34" s="188"/>
      <c r="AR34" s="159"/>
    </row>
    <row r="35" spans="1:44" x14ac:dyDescent="0.25">
      <c r="A35" s="175"/>
      <c r="B35" s="175"/>
      <c r="C35" s="175"/>
      <c r="D35" s="175"/>
      <c r="E35" s="193"/>
      <c r="F35" s="175"/>
      <c r="G35" s="175"/>
      <c r="H35" s="175"/>
      <c r="I35" s="175"/>
      <c r="J35" s="175"/>
      <c r="K35" s="175"/>
      <c r="L35" s="175"/>
      <c r="M35" s="175"/>
      <c r="N35" s="241"/>
      <c r="O35" s="175"/>
      <c r="P35" s="175"/>
      <c r="Q35" s="175"/>
      <c r="R35" s="175"/>
      <c r="S35" s="175"/>
      <c r="T35" s="175"/>
      <c r="U35" s="175"/>
      <c r="V35" s="175"/>
      <c r="W35" s="175"/>
      <c r="X35" s="176">
        <f t="shared" si="0"/>
        <v>0</v>
      </c>
      <c r="Y35" s="487" t="s">
        <v>149</v>
      </c>
      <c r="Z35" s="190"/>
      <c r="AA35" s="175"/>
      <c r="AB35" s="175">
        <v>0</v>
      </c>
      <c r="AC35" s="188"/>
      <c r="AD35" s="187">
        <f>X35*Z35/100</f>
        <v>0</v>
      </c>
      <c r="AE35" s="188"/>
      <c r="AF35" s="187">
        <f>X35*AB35</f>
        <v>0</v>
      </c>
      <c r="AG35" s="188"/>
      <c r="AH35" s="417">
        <f t="shared" si="3"/>
        <v>0</v>
      </c>
      <c r="AI35" s="178"/>
      <c r="AJ35" s="177"/>
      <c r="AK35" s="177"/>
      <c r="AL35" s="177"/>
      <c r="AM35" s="177"/>
      <c r="AN35" s="177"/>
      <c r="AO35" s="177"/>
      <c r="AP35" s="177"/>
      <c r="AQ35" s="188"/>
      <c r="AR35" s="159"/>
    </row>
    <row r="36" spans="1:44" x14ac:dyDescent="0.2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241"/>
      <c r="O36" s="175"/>
      <c r="P36" s="175"/>
      <c r="Q36" s="175"/>
      <c r="R36" s="175"/>
      <c r="S36" s="175"/>
      <c r="T36" s="175"/>
      <c r="U36" s="175"/>
      <c r="V36" s="175"/>
      <c r="W36" s="175"/>
      <c r="X36" s="176">
        <f t="shared" si="0"/>
        <v>0</v>
      </c>
      <c r="Y36" s="487" t="s">
        <v>151</v>
      </c>
      <c r="Z36" s="190"/>
      <c r="AA36" s="175"/>
      <c r="AB36" s="175"/>
      <c r="AC36" s="188"/>
      <c r="AD36" s="187"/>
      <c r="AE36" s="188"/>
      <c r="AF36" s="187">
        <f>X36*AB36/100</f>
        <v>0</v>
      </c>
      <c r="AG36" s="188"/>
      <c r="AH36" s="417">
        <f t="shared" si="3"/>
        <v>0</v>
      </c>
      <c r="AI36" s="178"/>
      <c r="AJ36" s="177"/>
      <c r="AK36" s="177"/>
      <c r="AL36" s="177"/>
      <c r="AM36" s="177"/>
      <c r="AN36" s="177"/>
      <c r="AO36" s="177"/>
      <c r="AP36" s="177"/>
      <c r="AQ36" s="188"/>
      <c r="AR36" s="159"/>
    </row>
    <row r="37" spans="1:44" x14ac:dyDescent="0.25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7">
        <f>AF37-AE37</f>
        <v>0</v>
      </c>
      <c r="O37" s="175"/>
      <c r="P37" s="175"/>
      <c r="Q37" s="175"/>
      <c r="R37" s="175"/>
      <c r="S37" s="175"/>
      <c r="T37" s="175"/>
      <c r="U37" s="175"/>
      <c r="V37" s="175"/>
      <c r="W37" s="175"/>
      <c r="X37" s="176">
        <f t="shared" si="0"/>
        <v>0</v>
      </c>
      <c r="Y37" s="239" t="s">
        <v>153</v>
      </c>
      <c r="Z37" s="187"/>
      <c r="AA37" s="177"/>
      <c r="AB37" s="177"/>
      <c r="AC37" s="188"/>
      <c r="AD37" s="190">
        <f>-AE37/$D$2%</f>
        <v>0</v>
      </c>
      <c r="AE37" s="194"/>
      <c r="AF37" s="195">
        <f>AE37*AB37%</f>
        <v>0</v>
      </c>
      <c r="AG37" s="176"/>
      <c r="AH37" s="421"/>
      <c r="AI37" s="174"/>
      <c r="AJ37" s="174"/>
      <c r="AK37" s="175"/>
      <c r="AL37" s="175"/>
      <c r="AM37" s="175"/>
      <c r="AN37" s="175"/>
      <c r="AO37" s="175"/>
      <c r="AP37" s="175"/>
      <c r="AQ37" s="176"/>
      <c r="AR37" s="159"/>
    </row>
    <row r="38" spans="1:44" x14ac:dyDescent="0.25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6">
        <f t="shared" si="0"/>
        <v>0</v>
      </c>
      <c r="Y38" s="239" t="s">
        <v>155</v>
      </c>
      <c r="Z38" s="187"/>
      <c r="AA38" s="177"/>
      <c r="AB38" s="177"/>
      <c r="AC38" s="188"/>
      <c r="AD38" s="190">
        <f>-AE38/$D$2%</f>
        <v>0</v>
      </c>
      <c r="AE38" s="188"/>
      <c r="AF38" s="187">
        <f>AE38*AB38%</f>
        <v>0</v>
      </c>
      <c r="AG38" s="176"/>
      <c r="AH38" s="421"/>
      <c r="AI38" s="174"/>
      <c r="AJ38" s="174"/>
      <c r="AK38" s="175"/>
      <c r="AL38" s="175"/>
      <c r="AM38" s="175"/>
      <c r="AN38" s="175"/>
      <c r="AO38" s="175"/>
      <c r="AP38" s="175"/>
      <c r="AQ38" s="176"/>
      <c r="AR38" s="159"/>
    </row>
    <row r="39" spans="1:44" x14ac:dyDescent="0.25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241"/>
      <c r="O39" s="175"/>
      <c r="P39" s="175"/>
      <c r="Q39" s="175"/>
      <c r="R39" s="175"/>
      <c r="S39" s="175"/>
      <c r="T39" s="175"/>
      <c r="U39" s="175"/>
      <c r="V39" s="175"/>
      <c r="W39" s="175"/>
      <c r="X39" s="176">
        <f t="shared" si="0"/>
        <v>0</v>
      </c>
      <c r="Y39" s="239" t="s">
        <v>157</v>
      </c>
      <c r="Z39" s="190"/>
      <c r="AA39" s="175"/>
      <c r="AB39" s="175"/>
      <c r="AC39" s="176">
        <v>77.2</v>
      </c>
      <c r="AD39" s="187"/>
      <c r="AE39" s="188"/>
      <c r="AF39" s="187">
        <f>-SUM(AF33:AF36)</f>
        <v>0</v>
      </c>
      <c r="AG39" s="188">
        <f>-AF39*AC39/100</f>
        <v>0</v>
      </c>
      <c r="AH39" s="417">
        <f>SUM(AI39:AQ39)</f>
        <v>0</v>
      </c>
      <c r="AI39" s="178"/>
      <c r="AJ39" s="178"/>
      <c r="AK39" s="177"/>
      <c r="AL39" s="177"/>
      <c r="AM39" s="177"/>
      <c r="AN39" s="177"/>
      <c r="AO39" s="177"/>
      <c r="AP39" s="177"/>
      <c r="AQ39" s="188"/>
      <c r="AR39" s="159"/>
    </row>
    <row r="40" spans="1:44" x14ac:dyDescent="0.25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241"/>
      <c r="O40" s="175"/>
      <c r="P40" s="175"/>
      <c r="Q40" s="175"/>
      <c r="R40" s="175"/>
      <c r="S40" s="175"/>
      <c r="T40" s="175"/>
      <c r="U40" s="175"/>
      <c r="V40" s="175"/>
      <c r="W40" s="175"/>
      <c r="X40" s="176">
        <f t="shared" si="0"/>
        <v>0</v>
      </c>
      <c r="Y40" s="487" t="s">
        <v>163</v>
      </c>
      <c r="Z40" s="190"/>
      <c r="AA40" s="175"/>
      <c r="AB40" s="175"/>
      <c r="AC40" s="176"/>
      <c r="AD40" s="187">
        <f>X40*Z40/100</f>
        <v>0</v>
      </c>
      <c r="AE40" s="188"/>
      <c r="AF40" s="187">
        <f>X40*AB40/100</f>
        <v>0</v>
      </c>
      <c r="AG40" s="188"/>
      <c r="AH40" s="417">
        <f t="shared" si="3"/>
        <v>0</v>
      </c>
      <c r="AI40" s="174"/>
      <c r="AJ40" s="175"/>
      <c r="AK40" s="175"/>
      <c r="AL40" s="175"/>
      <c r="AM40" s="175"/>
      <c r="AN40" s="175"/>
      <c r="AO40" s="175"/>
      <c r="AP40" s="177"/>
      <c r="AQ40" s="188"/>
      <c r="AR40" s="159"/>
    </row>
    <row r="41" spans="1:44" x14ac:dyDescent="0.25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241"/>
      <c r="O41" s="175"/>
      <c r="P41" s="175"/>
      <c r="Q41" s="175"/>
      <c r="R41" s="175"/>
      <c r="S41" s="175"/>
      <c r="T41" s="175"/>
      <c r="U41" s="175"/>
      <c r="V41" s="175"/>
      <c r="W41" s="175"/>
      <c r="X41" s="176">
        <f t="shared" si="0"/>
        <v>0</v>
      </c>
      <c r="Y41" s="487" t="s">
        <v>165</v>
      </c>
      <c r="Z41" s="190"/>
      <c r="AA41" s="175"/>
      <c r="AB41" s="175"/>
      <c r="AC41" s="176"/>
      <c r="AD41" s="187">
        <f>X41*Z41/100</f>
        <v>0</v>
      </c>
      <c r="AE41" s="188"/>
      <c r="AF41" s="187">
        <f>X41*AB41/100</f>
        <v>0</v>
      </c>
      <c r="AG41" s="188"/>
      <c r="AH41" s="417">
        <f t="shared" si="3"/>
        <v>0</v>
      </c>
      <c r="AI41" s="174"/>
      <c r="AJ41" s="175"/>
      <c r="AK41" s="175"/>
      <c r="AL41" s="175"/>
      <c r="AM41" s="175"/>
      <c r="AN41" s="175"/>
      <c r="AO41" s="175"/>
      <c r="AP41" s="177"/>
      <c r="AQ41" s="188"/>
      <c r="AR41" s="159"/>
    </row>
    <row r="42" spans="1:44" x14ac:dyDescent="0.25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241"/>
      <c r="O42" s="175"/>
      <c r="P42" s="175"/>
      <c r="Q42" s="175"/>
      <c r="R42" s="175"/>
      <c r="S42" s="175"/>
      <c r="T42" s="175"/>
      <c r="U42" s="175"/>
      <c r="V42" s="175"/>
      <c r="W42" s="175"/>
      <c r="X42" s="176">
        <f t="shared" si="0"/>
        <v>0</v>
      </c>
      <c r="Y42" s="487" t="s">
        <v>167</v>
      </c>
      <c r="Z42" s="190"/>
      <c r="AA42" s="175"/>
      <c r="AB42" s="175"/>
      <c r="AC42" s="176"/>
      <c r="AD42" s="187">
        <f>X42*Z42/100</f>
        <v>0</v>
      </c>
      <c r="AE42" s="188"/>
      <c r="AF42" s="187">
        <f>X42*AB42/100</f>
        <v>0</v>
      </c>
      <c r="AG42" s="188"/>
      <c r="AH42" s="417">
        <f t="shared" si="3"/>
        <v>0</v>
      </c>
      <c r="AI42" s="174"/>
      <c r="AJ42" s="175"/>
      <c r="AK42" s="175"/>
      <c r="AL42" s="175"/>
      <c r="AM42" s="175"/>
      <c r="AN42" s="175"/>
      <c r="AO42" s="175"/>
      <c r="AP42" s="177"/>
      <c r="AQ42" s="188"/>
      <c r="AR42" s="159"/>
    </row>
    <row r="43" spans="1:44" x14ac:dyDescent="0.25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241"/>
      <c r="O43" s="175"/>
      <c r="P43" s="175"/>
      <c r="Q43" s="175"/>
      <c r="R43" s="175"/>
      <c r="S43" s="175"/>
      <c r="T43" s="175"/>
      <c r="U43" s="175"/>
      <c r="V43" s="175"/>
      <c r="W43" s="175"/>
      <c r="X43" s="176">
        <f t="shared" si="0"/>
        <v>0</v>
      </c>
      <c r="Y43" s="239" t="s">
        <v>169</v>
      </c>
      <c r="Z43" s="190"/>
      <c r="AA43" s="175"/>
      <c r="AB43" s="175"/>
      <c r="AC43" s="176">
        <v>77.2</v>
      </c>
      <c r="AD43" s="187"/>
      <c r="AE43" s="188"/>
      <c r="AF43" s="187">
        <f>-SUM(AF40:AF42)</f>
        <v>0</v>
      </c>
      <c r="AG43" s="188">
        <f>-AF43*AC43/100</f>
        <v>0</v>
      </c>
      <c r="AH43" s="417">
        <f t="shared" si="3"/>
        <v>0</v>
      </c>
      <c r="AI43" s="178"/>
      <c r="AJ43" s="178"/>
      <c r="AK43" s="177"/>
      <c r="AL43" s="177"/>
      <c r="AM43" s="177"/>
      <c r="AN43" s="177"/>
      <c r="AO43" s="177"/>
      <c r="AP43" s="177"/>
      <c r="AQ43" s="188"/>
      <c r="AR43" s="159"/>
    </row>
    <row r="44" spans="1:44" x14ac:dyDescent="0.25">
      <c r="A44" s="175"/>
      <c r="B44" s="175"/>
      <c r="C44" s="422"/>
      <c r="D44" s="175"/>
      <c r="E44" s="422"/>
      <c r="F44" s="175"/>
      <c r="G44" s="175"/>
      <c r="H44" s="175"/>
      <c r="I44" s="138"/>
      <c r="J44" s="175"/>
      <c r="K44" s="175"/>
      <c r="L44" s="175"/>
      <c r="M44" s="175"/>
      <c r="N44" s="241"/>
      <c r="O44" s="175"/>
      <c r="P44" s="175"/>
      <c r="Q44" s="175"/>
      <c r="R44" s="175"/>
      <c r="S44" s="175"/>
      <c r="T44" s="175"/>
      <c r="U44" s="175"/>
      <c r="V44" s="175"/>
      <c r="W44" s="175"/>
      <c r="X44" s="176">
        <f t="shared" si="0"/>
        <v>0</v>
      </c>
      <c r="Y44" s="487" t="s">
        <v>173</v>
      </c>
      <c r="Z44" s="190"/>
      <c r="AA44" s="175"/>
      <c r="AB44" s="175"/>
      <c r="AC44" s="173"/>
      <c r="AD44" s="187">
        <f>X44*Z44/100</f>
        <v>0</v>
      </c>
      <c r="AE44" s="188"/>
      <c r="AF44" s="187">
        <f t="shared" ref="AF44:AF51" si="5">X44*AB44/100</f>
        <v>0</v>
      </c>
      <c r="AG44" s="188"/>
      <c r="AH44" s="417">
        <f t="shared" si="3"/>
        <v>0</v>
      </c>
      <c r="AI44" s="178"/>
      <c r="AJ44" s="177"/>
      <c r="AK44" s="177"/>
      <c r="AL44" s="177"/>
      <c r="AM44" s="177"/>
      <c r="AN44" s="177"/>
      <c r="AO44" s="177"/>
      <c r="AP44" s="177"/>
      <c r="AQ44" s="188"/>
      <c r="AR44" s="159"/>
    </row>
    <row r="45" spans="1:44" x14ac:dyDescent="0.25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241"/>
      <c r="O45" s="175"/>
      <c r="P45" s="175"/>
      <c r="Q45" s="175"/>
      <c r="R45" s="175"/>
      <c r="S45" s="175"/>
      <c r="T45" s="175"/>
      <c r="U45" s="175"/>
      <c r="V45" s="175"/>
      <c r="W45" s="175"/>
      <c r="X45" s="176">
        <f t="shared" si="0"/>
        <v>0</v>
      </c>
      <c r="Y45" s="487" t="s">
        <v>175</v>
      </c>
      <c r="Z45" s="190"/>
      <c r="AA45" s="175"/>
      <c r="AB45" s="175"/>
      <c r="AC45" s="173"/>
      <c r="AD45" s="187">
        <f>X45*Z45/100</f>
        <v>0</v>
      </c>
      <c r="AE45" s="188"/>
      <c r="AF45" s="187">
        <f t="shared" si="5"/>
        <v>0</v>
      </c>
      <c r="AG45" s="188"/>
      <c r="AH45" s="417">
        <f t="shared" si="3"/>
        <v>0</v>
      </c>
      <c r="AI45" s="178"/>
      <c r="AJ45" s="177"/>
      <c r="AK45" s="177"/>
      <c r="AL45" s="177"/>
      <c r="AM45" s="177"/>
      <c r="AN45" s="177"/>
      <c r="AO45" s="177"/>
      <c r="AP45" s="177"/>
      <c r="AQ45" s="188"/>
      <c r="AR45" s="159"/>
    </row>
    <row r="46" spans="1:44" x14ac:dyDescent="0.25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241"/>
      <c r="O46" s="175"/>
      <c r="P46" s="175"/>
      <c r="Q46" s="175"/>
      <c r="R46" s="175"/>
      <c r="S46" s="423"/>
      <c r="T46" s="175"/>
      <c r="U46" s="175"/>
      <c r="V46" s="175"/>
      <c r="W46" s="175"/>
      <c r="X46" s="176">
        <f t="shared" si="0"/>
        <v>0</v>
      </c>
      <c r="Y46" s="487" t="s">
        <v>177</v>
      </c>
      <c r="Z46" s="190"/>
      <c r="AA46" s="175"/>
      <c r="AB46" s="175"/>
      <c r="AC46" s="173"/>
      <c r="AD46" s="187">
        <f>X46*Z46/100</f>
        <v>0</v>
      </c>
      <c r="AE46" s="188"/>
      <c r="AF46" s="187">
        <f t="shared" si="5"/>
        <v>0</v>
      </c>
      <c r="AG46" s="188"/>
      <c r="AH46" s="417">
        <f t="shared" si="3"/>
        <v>0</v>
      </c>
      <c r="AI46" s="178"/>
      <c r="AJ46" s="177"/>
      <c r="AK46" s="177"/>
      <c r="AL46" s="177"/>
      <c r="AM46" s="177"/>
      <c r="AN46" s="177"/>
      <c r="AO46" s="177"/>
      <c r="AP46" s="177"/>
      <c r="AQ46" s="188"/>
      <c r="AR46" s="159"/>
    </row>
    <row r="47" spans="1:44" x14ac:dyDescent="0.25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241"/>
      <c r="O47" s="175"/>
      <c r="P47" s="175"/>
      <c r="Q47" s="175"/>
      <c r="R47" s="175"/>
      <c r="S47" s="175"/>
      <c r="T47" s="175"/>
      <c r="U47" s="175"/>
      <c r="V47" s="175"/>
      <c r="W47" s="175"/>
      <c r="X47" s="176">
        <f t="shared" si="0"/>
        <v>0</v>
      </c>
      <c r="Y47" s="487" t="s">
        <v>179</v>
      </c>
      <c r="Z47" s="190"/>
      <c r="AA47" s="175"/>
      <c r="AB47" s="175"/>
      <c r="AC47" s="173"/>
      <c r="AD47" s="187">
        <f>X47*Z47/100</f>
        <v>0</v>
      </c>
      <c r="AE47" s="188"/>
      <c r="AF47" s="187">
        <f t="shared" si="5"/>
        <v>0</v>
      </c>
      <c r="AG47" s="188"/>
      <c r="AH47" s="417">
        <f t="shared" si="3"/>
        <v>0</v>
      </c>
      <c r="AI47" s="178"/>
      <c r="AJ47" s="177"/>
      <c r="AK47" s="177"/>
      <c r="AL47" s="177"/>
      <c r="AM47" s="177"/>
      <c r="AN47" s="177"/>
      <c r="AO47" s="177"/>
      <c r="AP47" s="177"/>
      <c r="AQ47" s="188"/>
      <c r="AR47" s="159"/>
    </row>
    <row r="48" spans="1:44" x14ac:dyDescent="0.2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>
        <f>AF48-AE48</f>
        <v>0</v>
      </c>
      <c r="O48" s="177"/>
      <c r="P48" s="177"/>
      <c r="Q48" s="177"/>
      <c r="R48" s="177"/>
      <c r="S48" s="177"/>
      <c r="T48" s="177"/>
      <c r="U48" s="177"/>
      <c r="V48" s="177"/>
      <c r="W48" s="177"/>
      <c r="X48" s="176">
        <f t="shared" si="0"/>
        <v>0</v>
      </c>
      <c r="Y48" s="235" t="s">
        <v>181</v>
      </c>
      <c r="Z48" s="187"/>
      <c r="AA48" s="177"/>
      <c r="AB48" s="177"/>
      <c r="AC48" s="188"/>
      <c r="AD48" s="190">
        <f>-AE48/$D$2%</f>
        <v>0</v>
      </c>
      <c r="AE48" s="176"/>
      <c r="AF48" s="187">
        <f>AE48*AB48%</f>
        <v>0</v>
      </c>
      <c r="AG48" s="176"/>
      <c r="AH48" s="421"/>
      <c r="AI48" s="174"/>
      <c r="AJ48" s="175"/>
      <c r="AK48" s="175"/>
      <c r="AL48" s="175"/>
      <c r="AM48" s="175"/>
      <c r="AN48" s="175"/>
      <c r="AO48" s="175"/>
      <c r="AP48" s="175"/>
      <c r="AQ48" s="176"/>
      <c r="AR48" s="52"/>
    </row>
    <row r="49" spans="1:44" x14ac:dyDescent="0.2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6">
        <f t="shared" si="0"/>
        <v>0</v>
      </c>
      <c r="Y49" s="235" t="s">
        <v>183</v>
      </c>
      <c r="Z49" s="187"/>
      <c r="AA49" s="177"/>
      <c r="AB49" s="177"/>
      <c r="AC49" s="188"/>
      <c r="AD49" s="190">
        <f>-AE49/$D$2%</f>
        <v>0</v>
      </c>
      <c r="AE49" s="176"/>
      <c r="AF49" s="190">
        <f>AE49*AB49%</f>
        <v>0</v>
      </c>
      <c r="AG49" s="176"/>
      <c r="AH49" s="421"/>
      <c r="AI49" s="174"/>
      <c r="AJ49" s="175"/>
      <c r="AK49" s="175"/>
      <c r="AL49" s="175"/>
      <c r="AM49" s="175"/>
      <c r="AN49" s="175"/>
      <c r="AO49" s="175"/>
      <c r="AP49" s="175"/>
      <c r="AQ49" s="176"/>
      <c r="AR49" s="52"/>
    </row>
    <row r="50" spans="1:44" x14ac:dyDescent="0.25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6">
        <f t="shared" si="0"/>
        <v>0</v>
      </c>
      <c r="Y50" s="488" t="s">
        <v>185</v>
      </c>
      <c r="Z50" s="190"/>
      <c r="AA50" s="175"/>
      <c r="AB50" s="175"/>
      <c r="AC50" s="173"/>
      <c r="AD50" s="187"/>
      <c r="AE50" s="188"/>
      <c r="AF50" s="187">
        <f t="shared" si="5"/>
        <v>0</v>
      </c>
      <c r="AG50" s="188"/>
      <c r="AH50" s="417">
        <f t="shared" si="3"/>
        <v>0</v>
      </c>
      <c r="AI50" s="178"/>
      <c r="AJ50" s="177"/>
      <c r="AK50" s="177"/>
      <c r="AL50" s="177"/>
      <c r="AM50" s="177"/>
      <c r="AN50" s="177"/>
      <c r="AO50" s="177"/>
      <c r="AP50" s="177"/>
      <c r="AQ50" s="188"/>
      <c r="AR50" s="159"/>
    </row>
    <row r="51" spans="1:44" x14ac:dyDescent="0.25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6">
        <f t="shared" si="0"/>
        <v>0</v>
      </c>
      <c r="Y51" s="487" t="s">
        <v>187</v>
      </c>
      <c r="Z51" s="190"/>
      <c r="AA51" s="175"/>
      <c r="AB51" s="175"/>
      <c r="AC51" s="173"/>
      <c r="AD51" s="187">
        <f>X51*Z51/100</f>
        <v>0</v>
      </c>
      <c r="AE51" s="188"/>
      <c r="AF51" s="187">
        <f t="shared" si="5"/>
        <v>0</v>
      </c>
      <c r="AG51" s="188"/>
      <c r="AH51" s="417">
        <f t="shared" si="3"/>
        <v>0</v>
      </c>
      <c r="AI51" s="178"/>
      <c r="AJ51" s="177"/>
      <c r="AK51" s="177"/>
      <c r="AL51" s="177"/>
      <c r="AM51" s="177"/>
      <c r="AN51" s="177"/>
      <c r="AO51" s="177"/>
      <c r="AP51" s="177"/>
      <c r="AQ51" s="188"/>
      <c r="AR51" s="159"/>
    </row>
    <row r="52" spans="1:44" x14ac:dyDescent="0.25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6">
        <f t="shared" si="0"/>
        <v>0</v>
      </c>
      <c r="Y52" s="239" t="s">
        <v>189</v>
      </c>
      <c r="Z52" s="190"/>
      <c r="AA52" s="175"/>
      <c r="AB52" s="175"/>
      <c r="AC52" s="176">
        <v>77.2</v>
      </c>
      <c r="AD52" s="187"/>
      <c r="AE52" s="188"/>
      <c r="AF52" s="187">
        <f>-SUM(AF44:AF51)</f>
        <v>0</v>
      </c>
      <c r="AG52" s="188">
        <f>-AF52*AC52/100</f>
        <v>0</v>
      </c>
      <c r="AH52" s="417">
        <f t="shared" si="3"/>
        <v>0</v>
      </c>
      <c r="AI52" s="178"/>
      <c r="AJ52" s="178"/>
      <c r="AK52" s="177"/>
      <c r="AL52" s="177"/>
      <c r="AM52" s="177"/>
      <c r="AN52" s="177"/>
      <c r="AO52" s="177"/>
      <c r="AP52" s="177"/>
      <c r="AQ52" s="188"/>
      <c r="AR52" s="159"/>
    </row>
    <row r="53" spans="1:44" x14ac:dyDescent="0.25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6">
        <f t="shared" si="0"/>
        <v>0</v>
      </c>
      <c r="Y53" s="487" t="s">
        <v>193</v>
      </c>
      <c r="Z53" s="190"/>
      <c r="AA53" s="175"/>
      <c r="AB53" s="175"/>
      <c r="AC53" s="173"/>
      <c r="AD53" s="187">
        <f>X53*Z53/100</f>
        <v>0</v>
      </c>
      <c r="AE53" s="188"/>
      <c r="AF53" s="187">
        <f>X53*AB53/100</f>
        <v>0</v>
      </c>
      <c r="AG53" s="188"/>
      <c r="AH53" s="417">
        <f t="shared" ref="AH53:AH80" si="6">SUM(AI53:AQ53)</f>
        <v>0</v>
      </c>
      <c r="AI53" s="178"/>
      <c r="AJ53" s="175"/>
      <c r="AK53" s="175"/>
      <c r="AL53" s="175"/>
      <c r="AM53" s="175"/>
      <c r="AN53" s="175"/>
      <c r="AO53" s="175"/>
      <c r="AP53" s="175"/>
      <c r="AQ53" s="188"/>
      <c r="AR53" s="159"/>
    </row>
    <row r="54" spans="1:44" x14ac:dyDescent="0.25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6">
        <f t="shared" si="0"/>
        <v>0</v>
      </c>
      <c r="Y54" s="487" t="s">
        <v>195</v>
      </c>
      <c r="Z54" s="190"/>
      <c r="AA54" s="175"/>
      <c r="AB54" s="175"/>
      <c r="AC54" s="173"/>
      <c r="AD54" s="187">
        <f>X54*Z54/100</f>
        <v>0</v>
      </c>
      <c r="AE54" s="188"/>
      <c r="AF54" s="187">
        <f>X54*AB54/100</f>
        <v>0</v>
      </c>
      <c r="AG54" s="188"/>
      <c r="AH54" s="417">
        <f t="shared" si="6"/>
        <v>0</v>
      </c>
      <c r="AI54" s="178"/>
      <c r="AJ54" s="175"/>
      <c r="AK54" s="175"/>
      <c r="AL54" s="175"/>
      <c r="AM54" s="175"/>
      <c r="AN54" s="175"/>
      <c r="AO54" s="175"/>
      <c r="AP54" s="175"/>
      <c r="AQ54" s="188"/>
      <c r="AR54" s="159"/>
    </row>
    <row r="55" spans="1:44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6">
        <f t="shared" si="0"/>
        <v>0</v>
      </c>
      <c r="Y55" s="239" t="s">
        <v>197</v>
      </c>
      <c r="Z55" s="190"/>
      <c r="AA55" s="175"/>
      <c r="AB55" s="175"/>
      <c r="AC55" s="176">
        <v>77.2</v>
      </c>
      <c r="AD55" s="187"/>
      <c r="AE55" s="188"/>
      <c r="AF55" s="187">
        <f>-SUM(AF53:AF54)</f>
        <v>0</v>
      </c>
      <c r="AG55" s="188">
        <f>-AF55*AC55/100</f>
        <v>0</v>
      </c>
      <c r="AH55" s="417">
        <f t="shared" si="6"/>
        <v>0</v>
      </c>
      <c r="AI55" s="178"/>
      <c r="AJ55" s="178"/>
      <c r="AK55" s="177"/>
      <c r="AL55" s="177"/>
      <c r="AM55" s="177"/>
      <c r="AN55" s="177"/>
      <c r="AO55" s="177"/>
      <c r="AP55" s="177"/>
      <c r="AQ55" s="188"/>
      <c r="AR55" s="159"/>
    </row>
    <row r="56" spans="1:44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6">
        <f t="shared" si="0"/>
        <v>0</v>
      </c>
      <c r="Y56" s="487" t="s">
        <v>201</v>
      </c>
      <c r="Z56" s="190"/>
      <c r="AA56" s="175"/>
      <c r="AB56" s="175"/>
      <c r="AC56" s="173"/>
      <c r="AD56" s="187"/>
      <c r="AE56" s="188"/>
      <c r="AF56" s="187">
        <f>X56*AB56/100</f>
        <v>0</v>
      </c>
      <c r="AG56" s="188"/>
      <c r="AH56" s="417">
        <f t="shared" si="6"/>
        <v>0</v>
      </c>
      <c r="AI56" s="178"/>
      <c r="AJ56" s="177"/>
      <c r="AK56" s="177"/>
      <c r="AL56" s="177"/>
      <c r="AM56" s="177"/>
      <c r="AN56" s="177"/>
      <c r="AO56" s="177"/>
      <c r="AP56" s="177"/>
      <c r="AQ56" s="188"/>
      <c r="AR56" s="159"/>
    </row>
    <row r="57" spans="1:44" x14ac:dyDescent="0.25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>
        <f>AF57-AE57</f>
        <v>0</v>
      </c>
      <c r="O57" s="177"/>
      <c r="P57" s="177"/>
      <c r="Q57" s="177"/>
      <c r="R57" s="177"/>
      <c r="S57" s="177"/>
      <c r="T57" s="177"/>
      <c r="U57" s="177"/>
      <c r="V57" s="177"/>
      <c r="W57" s="177"/>
      <c r="X57" s="176">
        <f t="shared" si="0"/>
        <v>0</v>
      </c>
      <c r="Y57" s="235" t="s">
        <v>203</v>
      </c>
      <c r="Z57" s="187"/>
      <c r="AA57" s="177"/>
      <c r="AB57" s="177"/>
      <c r="AC57" s="188"/>
      <c r="AD57" s="187">
        <f>-AE57/$D$2%</f>
        <v>0</v>
      </c>
      <c r="AE57" s="188"/>
      <c r="AF57" s="187">
        <f>AE57*AB57%</f>
        <v>0</v>
      </c>
      <c r="AG57" s="188"/>
      <c r="AH57" s="417"/>
      <c r="AI57" s="178"/>
      <c r="AJ57" s="177"/>
      <c r="AK57" s="177"/>
      <c r="AL57" s="177"/>
      <c r="AM57" s="177"/>
      <c r="AN57" s="177"/>
      <c r="AO57" s="177"/>
      <c r="AP57" s="177"/>
      <c r="AQ57" s="188"/>
      <c r="AR57" s="52"/>
    </row>
    <row r="58" spans="1:44" x14ac:dyDescent="0.25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244"/>
      <c r="O58" s="177"/>
      <c r="P58" s="177"/>
      <c r="Q58" s="177"/>
      <c r="R58" s="177"/>
      <c r="S58" s="177"/>
      <c r="T58" s="177"/>
      <c r="U58" s="177"/>
      <c r="V58" s="177"/>
      <c r="W58" s="177"/>
      <c r="X58" s="176">
        <f t="shared" si="0"/>
        <v>0</v>
      </c>
      <c r="Y58" s="235" t="s">
        <v>205</v>
      </c>
      <c r="Z58" s="187"/>
      <c r="AA58" s="177"/>
      <c r="AB58" s="177"/>
      <c r="AC58" s="188"/>
      <c r="AD58" s="187">
        <f>-AE58/$D$2%</f>
        <v>0</v>
      </c>
      <c r="AE58" s="188"/>
      <c r="AF58" s="187">
        <f>X58*AB58/100</f>
        <v>0</v>
      </c>
      <c r="AG58" s="188"/>
      <c r="AH58" s="417"/>
      <c r="AI58" s="178"/>
      <c r="AJ58" s="177"/>
      <c r="AK58" s="177"/>
      <c r="AL58" s="177"/>
      <c r="AM58" s="177"/>
      <c r="AN58" s="177"/>
      <c r="AO58" s="177"/>
      <c r="AP58" s="177"/>
      <c r="AQ58" s="188"/>
      <c r="AR58" s="52"/>
    </row>
    <row r="59" spans="1:44" x14ac:dyDescent="0.25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244"/>
      <c r="O59" s="177"/>
      <c r="P59" s="177"/>
      <c r="Q59" s="177"/>
      <c r="R59" s="177"/>
      <c r="S59" s="177"/>
      <c r="T59" s="177"/>
      <c r="U59" s="177"/>
      <c r="V59" s="177"/>
      <c r="W59" s="177"/>
      <c r="X59" s="176">
        <f t="shared" si="0"/>
        <v>0</v>
      </c>
      <c r="Y59" s="235" t="s">
        <v>207</v>
      </c>
      <c r="Z59" s="187"/>
      <c r="AA59" s="177"/>
      <c r="AB59" s="177"/>
      <c r="AC59" s="188"/>
      <c r="AD59" s="187"/>
      <c r="AE59" s="188"/>
      <c r="AF59" s="187">
        <f>X59*AB59/100</f>
        <v>0</v>
      </c>
      <c r="AG59" s="188"/>
      <c r="AH59" s="417"/>
      <c r="AI59" s="178"/>
      <c r="AJ59" s="177"/>
      <c r="AK59" s="177"/>
      <c r="AL59" s="177"/>
      <c r="AM59" s="177"/>
      <c r="AN59" s="177"/>
      <c r="AO59" s="177"/>
      <c r="AP59" s="177"/>
      <c r="AQ59" s="188"/>
      <c r="AR59" s="52"/>
    </row>
    <row r="60" spans="1:44" x14ac:dyDescent="0.25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241"/>
      <c r="O60" s="175"/>
      <c r="P60" s="175"/>
      <c r="Q60" s="175"/>
      <c r="R60" s="175"/>
      <c r="S60" s="175"/>
      <c r="T60" s="175"/>
      <c r="U60" s="175"/>
      <c r="V60" s="175"/>
      <c r="W60" s="175"/>
      <c r="X60" s="176">
        <f t="shared" si="0"/>
        <v>0</v>
      </c>
      <c r="Y60" s="239" t="s">
        <v>209</v>
      </c>
      <c r="Z60" s="190"/>
      <c r="AA60" s="175"/>
      <c r="AB60" s="175"/>
      <c r="AC60" s="176"/>
      <c r="AD60" s="187"/>
      <c r="AE60" s="188"/>
      <c r="AF60" s="187">
        <f>X60*AB60/100</f>
        <v>0</v>
      </c>
      <c r="AG60" s="188"/>
      <c r="AH60" s="417">
        <f t="shared" si="6"/>
        <v>0</v>
      </c>
      <c r="AI60" s="178"/>
      <c r="AJ60" s="177"/>
      <c r="AK60" s="177"/>
      <c r="AL60" s="177"/>
      <c r="AM60" s="177"/>
      <c r="AN60" s="177"/>
      <c r="AO60" s="177"/>
      <c r="AP60" s="177"/>
      <c r="AQ60" s="188"/>
      <c r="AR60" s="159"/>
    </row>
    <row r="61" spans="1:44" x14ac:dyDescent="0.25">
      <c r="A61" s="190"/>
      <c r="B61" s="175"/>
      <c r="C61" s="175"/>
      <c r="D61" s="175"/>
      <c r="E61" s="138">
        <f>26.7*0.327</f>
        <v>8.7309000000000001</v>
      </c>
      <c r="F61" s="175"/>
      <c r="G61" s="175"/>
      <c r="H61" s="175"/>
      <c r="I61" s="175">
        <v>2500</v>
      </c>
      <c r="J61" s="175"/>
      <c r="K61" s="138"/>
      <c r="L61" s="175"/>
      <c r="M61" s="175"/>
      <c r="N61" s="175"/>
      <c r="O61" s="175"/>
      <c r="P61" s="175"/>
      <c r="Q61" s="175"/>
      <c r="R61" s="175">
        <f>4*0.327</f>
        <v>1.3080000000000001</v>
      </c>
      <c r="S61" s="138">
        <v>200</v>
      </c>
      <c r="T61" s="175"/>
      <c r="U61" s="175">
        <f>1563*0.55*0.327</f>
        <v>281.10555000000005</v>
      </c>
      <c r="V61" s="175">
        <f>44.4*0.327</f>
        <v>14.518800000000001</v>
      </c>
      <c r="W61" s="175">
        <f>1563*0.45*0.327</f>
        <v>229.99545000000001</v>
      </c>
      <c r="X61" s="176">
        <f t="shared" si="0"/>
        <v>3235.6587</v>
      </c>
      <c r="Y61" s="487" t="s">
        <v>159</v>
      </c>
      <c r="Z61" s="190">
        <v>20.6</v>
      </c>
      <c r="AA61" s="175"/>
      <c r="AB61" s="175">
        <v>51</v>
      </c>
      <c r="AC61" s="176"/>
      <c r="AD61" s="187">
        <f>X61*Z61%</f>
        <v>666.54569220000008</v>
      </c>
      <c r="AE61" s="188"/>
      <c r="AF61" s="187">
        <f>X61*AB61%</f>
        <v>1650.185937</v>
      </c>
      <c r="AG61" s="188"/>
      <c r="AH61" s="417">
        <f t="shared" si="6"/>
        <v>0</v>
      </c>
      <c r="AI61" s="178"/>
      <c r="AJ61" s="177"/>
      <c r="AK61" s="177"/>
      <c r="AL61" s="177"/>
      <c r="AM61" s="177"/>
      <c r="AN61" s="177"/>
      <c r="AO61" s="177"/>
      <c r="AP61" s="177"/>
      <c r="AQ61" s="188"/>
      <c r="AR61" s="159"/>
    </row>
    <row r="62" spans="1:44" x14ac:dyDescent="0.25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241"/>
      <c r="O62" s="175"/>
      <c r="P62" s="175"/>
      <c r="Q62" s="175"/>
      <c r="R62" s="175"/>
      <c r="S62" s="175"/>
      <c r="T62" s="175"/>
      <c r="U62" s="175"/>
      <c r="V62" s="175"/>
      <c r="W62" s="175"/>
      <c r="X62" s="176">
        <f t="shared" si="0"/>
        <v>0</v>
      </c>
      <c r="Y62" s="239" t="s">
        <v>211</v>
      </c>
      <c r="Z62" s="190"/>
      <c r="AA62" s="175"/>
      <c r="AB62" s="175"/>
      <c r="AC62" s="176">
        <v>77.2</v>
      </c>
      <c r="AD62" s="187"/>
      <c r="AE62" s="188"/>
      <c r="AF62" s="190">
        <f>-SUM(AF56:AF61)</f>
        <v>-1650.185937</v>
      </c>
      <c r="AG62" s="188">
        <f>-AF62*AC62/100</f>
        <v>1273.9435433640001</v>
      </c>
      <c r="AH62" s="417">
        <f t="shared" si="6"/>
        <v>1275.2174869073642</v>
      </c>
      <c r="AI62" s="178">
        <f>AG62*64.4%</f>
        <v>820.41964192641603</v>
      </c>
      <c r="AJ62" s="178">
        <f>AG62*9.8%</f>
        <v>124.84646724967202</v>
      </c>
      <c r="AK62" s="177">
        <f>AG62*13.1%</f>
        <v>166.88660418068403</v>
      </c>
      <c r="AL62" s="177">
        <f>AG62*6.9%</f>
        <v>87.90210449211601</v>
      </c>
      <c r="AM62" s="177">
        <f>AG62*0%</f>
        <v>0</v>
      </c>
      <c r="AN62" s="177">
        <f>AG62*4.4%</f>
        <v>56.05351590801601</v>
      </c>
      <c r="AO62" s="177">
        <f>AG62*1.5%</f>
        <v>19.109153150459999</v>
      </c>
      <c r="AP62" s="177"/>
      <c r="AQ62" s="188"/>
      <c r="AR62" s="159"/>
    </row>
    <row r="63" spans="1:44" x14ac:dyDescent="0.25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241"/>
      <c r="O63" s="175"/>
      <c r="P63" s="175"/>
      <c r="Q63" s="175"/>
      <c r="R63" s="175"/>
      <c r="S63" s="175"/>
      <c r="T63" s="175"/>
      <c r="U63" s="175"/>
      <c r="V63" s="175"/>
      <c r="W63" s="175"/>
      <c r="X63" s="176">
        <f t="shared" si="0"/>
        <v>0</v>
      </c>
      <c r="Y63" s="487" t="s">
        <v>215</v>
      </c>
      <c r="Z63" s="190"/>
      <c r="AA63" s="175"/>
      <c r="AB63" s="175"/>
      <c r="AC63" s="173"/>
      <c r="AD63" s="187">
        <f t="shared" ref="AD63:AD68" si="7">Z63/100*X63</f>
        <v>0</v>
      </c>
      <c r="AE63" s="188"/>
      <c r="AF63" s="187">
        <f>X63*AB63/100</f>
        <v>0</v>
      </c>
      <c r="AG63" s="188"/>
      <c r="AH63" s="417">
        <f t="shared" si="6"/>
        <v>0</v>
      </c>
      <c r="AI63" s="178"/>
      <c r="AJ63" s="177"/>
      <c r="AK63" s="177"/>
      <c r="AL63" s="177"/>
      <c r="AM63" s="177"/>
      <c r="AN63" s="177"/>
      <c r="AO63" s="177"/>
      <c r="AP63" s="177"/>
      <c r="AQ63" s="188"/>
      <c r="AR63" s="159"/>
    </row>
    <row r="64" spans="1:44" x14ac:dyDescent="0.25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241"/>
      <c r="O64" s="175"/>
      <c r="P64" s="175"/>
      <c r="Q64" s="175"/>
      <c r="R64" s="175"/>
      <c r="S64" s="175"/>
      <c r="T64" s="175"/>
      <c r="U64" s="175"/>
      <c r="V64" s="175"/>
      <c r="W64" s="175"/>
      <c r="X64" s="176">
        <f t="shared" si="0"/>
        <v>0</v>
      </c>
      <c r="Y64" s="487" t="s">
        <v>217</v>
      </c>
      <c r="Z64" s="190"/>
      <c r="AA64" s="175"/>
      <c r="AB64" s="175"/>
      <c r="AC64" s="173"/>
      <c r="AD64" s="187">
        <f t="shared" si="7"/>
        <v>0</v>
      </c>
      <c r="AE64" s="188"/>
      <c r="AF64" s="187">
        <f>X64*AB64/100</f>
        <v>0</v>
      </c>
      <c r="AG64" s="188"/>
      <c r="AH64" s="417">
        <f t="shared" si="6"/>
        <v>0</v>
      </c>
      <c r="AI64" s="178"/>
      <c r="AJ64" s="177"/>
      <c r="AK64" s="177"/>
      <c r="AL64" s="177"/>
      <c r="AM64" s="177"/>
      <c r="AN64" s="177"/>
      <c r="AO64" s="177"/>
      <c r="AP64" s="177"/>
      <c r="AQ64" s="188"/>
      <c r="AR64" s="159"/>
    </row>
    <row r="65" spans="1:44" x14ac:dyDescent="0.25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241"/>
      <c r="O65" s="175"/>
      <c r="P65" s="175"/>
      <c r="Q65" s="175"/>
      <c r="R65" s="175"/>
      <c r="S65" s="175"/>
      <c r="T65" s="175"/>
      <c r="U65" s="175"/>
      <c r="V65" s="175"/>
      <c r="W65" s="175"/>
      <c r="X65" s="176">
        <f t="shared" si="0"/>
        <v>0</v>
      </c>
      <c r="Y65" s="487" t="s">
        <v>219</v>
      </c>
      <c r="Z65" s="190"/>
      <c r="AA65" s="175"/>
      <c r="AB65" s="175"/>
      <c r="AC65" s="173"/>
      <c r="AD65" s="187">
        <f t="shared" si="7"/>
        <v>0</v>
      </c>
      <c r="AE65" s="188"/>
      <c r="AF65" s="187">
        <f>X65*AB65/100</f>
        <v>0</v>
      </c>
      <c r="AG65" s="188"/>
      <c r="AH65" s="417">
        <f t="shared" si="6"/>
        <v>0</v>
      </c>
      <c r="AI65" s="178"/>
      <c r="AJ65" s="177"/>
      <c r="AK65" s="177"/>
      <c r="AL65" s="177"/>
      <c r="AM65" s="177"/>
      <c r="AN65" s="177"/>
      <c r="AO65" s="177"/>
      <c r="AP65" s="177"/>
      <c r="AQ65" s="188"/>
      <c r="AR65" s="159"/>
    </row>
    <row r="66" spans="1:44" x14ac:dyDescent="0.25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7"/>
      <c r="O66" s="175"/>
      <c r="P66" s="175"/>
      <c r="Q66" s="175"/>
      <c r="R66" s="175"/>
      <c r="S66" s="175"/>
      <c r="T66" s="175"/>
      <c r="U66" s="175"/>
      <c r="V66" s="175"/>
      <c r="W66" s="175"/>
      <c r="X66" s="176">
        <f t="shared" si="0"/>
        <v>0</v>
      </c>
      <c r="Y66" s="487" t="s">
        <v>221</v>
      </c>
      <c r="Z66" s="190"/>
      <c r="AA66" s="175"/>
      <c r="AB66" s="175"/>
      <c r="AC66" s="173"/>
      <c r="AD66" s="187">
        <f t="shared" si="7"/>
        <v>0</v>
      </c>
      <c r="AE66" s="188"/>
      <c r="AF66" s="187">
        <f>X66*AB66/100</f>
        <v>0</v>
      </c>
      <c r="AG66" s="188"/>
      <c r="AH66" s="417">
        <f t="shared" si="6"/>
        <v>0</v>
      </c>
      <c r="AI66" s="178"/>
      <c r="AJ66" s="177"/>
      <c r="AK66" s="177"/>
      <c r="AL66" s="177"/>
      <c r="AM66" s="177"/>
      <c r="AN66" s="177"/>
      <c r="AO66" s="177"/>
      <c r="AP66" s="177"/>
      <c r="AQ66" s="188"/>
      <c r="AR66" s="159"/>
    </row>
    <row r="67" spans="1:44" x14ac:dyDescent="0.25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7"/>
      <c r="O67" s="175"/>
      <c r="P67" s="175"/>
      <c r="Q67" s="175"/>
      <c r="R67" s="175"/>
      <c r="S67" s="175"/>
      <c r="T67" s="175"/>
      <c r="U67" s="175"/>
      <c r="V67" s="175"/>
      <c r="W67" s="175"/>
      <c r="X67" s="176">
        <f t="shared" si="0"/>
        <v>0</v>
      </c>
      <c r="Y67" s="487" t="s">
        <v>223</v>
      </c>
      <c r="Z67" s="190"/>
      <c r="AA67" s="175"/>
      <c r="AB67" s="175"/>
      <c r="AC67" s="173"/>
      <c r="AD67" s="187">
        <f t="shared" si="7"/>
        <v>0</v>
      </c>
      <c r="AE67" s="188"/>
      <c r="AF67" s="187">
        <f>X67*AB67/100</f>
        <v>0</v>
      </c>
      <c r="AG67" s="188"/>
      <c r="AH67" s="417">
        <f t="shared" si="6"/>
        <v>0</v>
      </c>
      <c r="AI67" s="178"/>
      <c r="AJ67" s="177"/>
      <c r="AK67" s="177"/>
      <c r="AL67" s="177"/>
      <c r="AM67" s="177"/>
      <c r="AN67" s="177"/>
      <c r="AO67" s="177"/>
      <c r="AP67" s="177"/>
      <c r="AQ67" s="188"/>
      <c r="AR67" s="159"/>
    </row>
    <row r="68" spans="1:44" x14ac:dyDescent="0.25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7"/>
      <c r="O68" s="175"/>
      <c r="P68" s="175"/>
      <c r="Q68" s="175"/>
      <c r="R68" s="175"/>
      <c r="S68" s="175"/>
      <c r="T68" s="175"/>
      <c r="U68" s="175"/>
      <c r="V68" s="175"/>
      <c r="W68" s="175"/>
      <c r="X68" s="176">
        <f t="shared" si="0"/>
        <v>0</v>
      </c>
      <c r="Y68" s="487" t="s">
        <v>225</v>
      </c>
      <c r="Z68" s="190"/>
      <c r="AA68" s="175"/>
      <c r="AB68" s="175"/>
      <c r="AC68" s="173"/>
      <c r="AD68" s="187">
        <f t="shared" si="7"/>
        <v>0</v>
      </c>
      <c r="AE68" s="176"/>
      <c r="AF68" s="187">
        <f>1190*0.327</f>
        <v>389.13</v>
      </c>
      <c r="AG68" s="188"/>
      <c r="AH68" s="417">
        <f t="shared" si="6"/>
        <v>0</v>
      </c>
      <c r="AI68" s="178"/>
      <c r="AJ68" s="177"/>
      <c r="AK68" s="177"/>
      <c r="AL68" s="177"/>
      <c r="AM68" s="177"/>
      <c r="AN68" s="177"/>
      <c r="AO68" s="177"/>
      <c r="AP68" s="177"/>
      <c r="AQ68" s="188"/>
      <c r="AR68" s="159"/>
    </row>
    <row r="69" spans="1:44" x14ac:dyDescent="0.25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7"/>
      <c r="O69" s="175"/>
      <c r="P69" s="175"/>
      <c r="Q69" s="175"/>
      <c r="R69" s="175"/>
      <c r="S69" s="175"/>
      <c r="T69" s="175"/>
      <c r="U69" s="175"/>
      <c r="V69" s="175"/>
      <c r="W69" s="175"/>
      <c r="X69" s="176">
        <f t="shared" si="0"/>
        <v>0</v>
      </c>
      <c r="Y69" s="488" t="s">
        <v>227</v>
      </c>
      <c r="Z69" s="191"/>
      <c r="AA69" s="172"/>
      <c r="AB69" s="172"/>
      <c r="AC69" s="196"/>
      <c r="AD69" s="187">
        <f>-AE69</f>
        <v>-153.1884474</v>
      </c>
      <c r="AE69" s="176">
        <f>468.4662*0.327</f>
        <v>153.1884474</v>
      </c>
      <c r="AF69" s="190"/>
      <c r="AG69" s="188"/>
      <c r="AH69" s="417">
        <f t="shared" si="6"/>
        <v>153.1884474</v>
      </c>
      <c r="AI69" s="178"/>
      <c r="AJ69" s="177"/>
      <c r="AK69" s="177"/>
      <c r="AL69" s="177"/>
      <c r="AM69" s="177"/>
      <c r="AN69" s="177">
        <f>AE69</f>
        <v>153.1884474</v>
      </c>
      <c r="AO69" s="177"/>
      <c r="AP69" s="177"/>
      <c r="AQ69" s="188"/>
      <c r="AR69" s="159"/>
    </row>
    <row r="70" spans="1:44" x14ac:dyDescent="0.25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7"/>
      <c r="O70" s="175"/>
      <c r="P70" s="175"/>
      <c r="Q70" s="175"/>
      <c r="R70" s="175"/>
      <c r="S70" s="175"/>
      <c r="T70" s="175"/>
      <c r="U70" s="175"/>
      <c r="V70" s="175"/>
      <c r="W70" s="175"/>
      <c r="X70" s="176">
        <f t="shared" si="0"/>
        <v>0</v>
      </c>
      <c r="Y70" s="488" t="s">
        <v>229</v>
      </c>
      <c r="Z70" s="191"/>
      <c r="AA70" s="172"/>
      <c r="AB70" s="172"/>
      <c r="AC70" s="173"/>
      <c r="AD70" s="187"/>
      <c r="AE70" s="176"/>
      <c r="AF70" s="190"/>
      <c r="AG70" s="424"/>
      <c r="AH70" s="417">
        <f t="shared" si="6"/>
        <v>0</v>
      </c>
      <c r="AI70" s="178"/>
      <c r="AJ70" s="177"/>
      <c r="AK70" s="177"/>
      <c r="AL70" s="177"/>
      <c r="AM70" s="177"/>
      <c r="AN70" s="177">
        <f>-AF70</f>
        <v>0</v>
      </c>
      <c r="AO70" s="177"/>
      <c r="AP70" s="177"/>
      <c r="AQ70" s="188"/>
      <c r="AR70" s="159"/>
    </row>
    <row r="71" spans="1:44" x14ac:dyDescent="0.25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7"/>
      <c r="O71" s="175"/>
      <c r="P71" s="175"/>
      <c r="Q71" s="175"/>
      <c r="R71" s="175"/>
      <c r="S71" s="175"/>
      <c r="T71" s="175"/>
      <c r="U71" s="175"/>
      <c r="V71" s="175"/>
      <c r="W71" s="175"/>
      <c r="X71" s="176">
        <f t="shared" si="0"/>
        <v>0</v>
      </c>
      <c r="Y71" s="239" t="s">
        <v>231</v>
      </c>
      <c r="Z71" s="191"/>
      <c r="AA71" s="172"/>
      <c r="AB71" s="172"/>
      <c r="AC71" s="176">
        <v>77.2</v>
      </c>
      <c r="AD71" s="187"/>
      <c r="AE71" s="188"/>
      <c r="AF71" s="187">
        <f>-SUM(AF63:AF70)</f>
        <v>-389.13</v>
      </c>
      <c r="AG71" s="188">
        <f>-AF71*AC71/100</f>
        <v>300.40836000000002</v>
      </c>
      <c r="AH71" s="417">
        <f t="shared" si="6"/>
        <v>300.70876836000002</v>
      </c>
      <c r="AI71" s="178">
        <f>AG71*64.4%</f>
        <v>193.46298384000002</v>
      </c>
      <c r="AJ71" s="178">
        <f>AG71*9.8%</f>
        <v>29.440019280000001</v>
      </c>
      <c r="AK71" s="177">
        <f>AG71*13.1%</f>
        <v>39.353495160000001</v>
      </c>
      <c r="AL71" s="177">
        <f>AG71*6.9%</f>
        <v>20.728176840000003</v>
      </c>
      <c r="AM71" s="177">
        <f>AG71*0%</f>
        <v>0</v>
      </c>
      <c r="AN71" s="177">
        <f>AG71*4.4%</f>
        <v>13.217967840000002</v>
      </c>
      <c r="AO71" s="177">
        <f>AG71*1.5%</f>
        <v>4.5061254000000002</v>
      </c>
      <c r="AP71" s="177"/>
      <c r="AQ71" s="188"/>
      <c r="AR71" s="159"/>
    </row>
    <row r="72" spans="1:44" x14ac:dyDescent="0.25">
      <c r="A72" s="190"/>
      <c r="B72" s="175"/>
      <c r="C72" s="175"/>
      <c r="D72" s="175"/>
      <c r="E72" s="175"/>
      <c r="F72" s="175"/>
      <c r="G72" s="175"/>
      <c r="H72" s="184">
        <f>544*0.969</f>
        <v>527.13599999999997</v>
      </c>
      <c r="I72" s="175"/>
      <c r="J72" s="175"/>
      <c r="K72" s="175"/>
      <c r="L72" s="175"/>
      <c r="M72" s="175"/>
      <c r="N72" s="175"/>
      <c r="O72" s="175"/>
      <c r="P72" s="184">
        <f>544*0.031</f>
        <v>16.864000000000001</v>
      </c>
      <c r="Q72" s="175"/>
      <c r="R72" s="175"/>
      <c r="S72" s="175"/>
      <c r="T72" s="175"/>
      <c r="U72" s="175"/>
      <c r="V72" s="175"/>
      <c r="W72" s="175"/>
      <c r="X72" s="176">
        <f t="shared" ref="X72:X80" si="8">SUM(A72:W72)</f>
        <v>544</v>
      </c>
      <c r="Y72" s="239" t="s">
        <v>241</v>
      </c>
      <c r="Z72" s="169"/>
      <c r="AA72" s="170">
        <v>20</v>
      </c>
      <c r="AB72" s="170"/>
      <c r="AC72" s="171"/>
      <c r="AD72" s="187"/>
      <c r="AE72" s="188"/>
      <c r="AF72" s="187"/>
      <c r="AG72" s="188"/>
      <c r="AH72" s="417">
        <f t="shared" si="6"/>
        <v>108.8</v>
      </c>
      <c r="AI72" s="178"/>
      <c r="AJ72" s="177"/>
      <c r="AK72" s="177"/>
      <c r="AL72" s="177"/>
      <c r="AM72" s="177"/>
      <c r="AN72" s="177"/>
      <c r="AO72" s="177"/>
      <c r="AP72" s="177"/>
      <c r="AQ72" s="188">
        <f>X72*AA72/100</f>
        <v>108.8</v>
      </c>
      <c r="AR72" s="159"/>
    </row>
    <row r="73" spans="1:44" x14ac:dyDescent="0.25">
      <c r="A73" s="190"/>
      <c r="B73" s="175"/>
      <c r="C73" s="175"/>
      <c r="D73" s="175"/>
      <c r="E73" s="175"/>
      <c r="F73" s="184">
        <f>390*0.929</f>
        <v>362.31</v>
      </c>
      <c r="G73" s="1"/>
      <c r="H73" s="175"/>
      <c r="I73" s="175"/>
      <c r="J73" s="175"/>
      <c r="K73" s="175"/>
      <c r="L73" s="175"/>
      <c r="M73" s="175"/>
      <c r="N73" s="175"/>
      <c r="O73" s="175"/>
      <c r="P73" s="184">
        <f>390*0.071</f>
        <v>27.689999999999998</v>
      </c>
      <c r="Q73" s="175"/>
      <c r="R73" s="175"/>
      <c r="S73" s="175"/>
      <c r="T73" s="175"/>
      <c r="U73" s="175"/>
      <c r="V73" s="175"/>
      <c r="W73" s="175"/>
      <c r="X73" s="176">
        <f t="shared" si="8"/>
        <v>390</v>
      </c>
      <c r="Y73" s="239" t="s">
        <v>243</v>
      </c>
      <c r="Z73" s="169"/>
      <c r="AA73" s="170">
        <v>25</v>
      </c>
      <c r="AB73" s="170"/>
      <c r="AC73" s="171"/>
      <c r="AD73" s="187"/>
      <c r="AE73" s="188"/>
      <c r="AF73" s="187"/>
      <c r="AG73" s="188"/>
      <c r="AH73" s="417">
        <f t="shared" si="6"/>
        <v>97.5</v>
      </c>
      <c r="AI73" s="178"/>
      <c r="AJ73" s="177"/>
      <c r="AK73" s="177"/>
      <c r="AL73" s="177"/>
      <c r="AM73" s="177"/>
      <c r="AN73" s="177"/>
      <c r="AO73" s="177"/>
      <c r="AP73" s="177"/>
      <c r="AQ73" s="188">
        <f>X73*AA73/100</f>
        <v>97.5</v>
      </c>
      <c r="AR73" s="159"/>
    </row>
    <row r="74" spans="1:44" x14ac:dyDescent="0.25">
      <c r="A74" s="187"/>
      <c r="B74" s="175"/>
      <c r="C74" s="175"/>
      <c r="D74" s="175"/>
      <c r="E74" s="175"/>
      <c r="F74" s="184">
        <f>163.52*0.929</f>
        <v>151.91008000000002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84">
        <f>163.52*0.071</f>
        <v>11.609919999999999</v>
      </c>
      <c r="Q74" s="175"/>
      <c r="R74" s="175"/>
      <c r="S74" s="175"/>
      <c r="T74" s="175"/>
      <c r="U74" s="175"/>
      <c r="V74" s="175"/>
      <c r="W74" s="175"/>
      <c r="X74" s="176">
        <f t="shared" si="8"/>
        <v>163.52000000000001</v>
      </c>
      <c r="Y74" s="235" t="s">
        <v>244</v>
      </c>
      <c r="Z74" s="169"/>
      <c r="AA74" s="170">
        <v>25</v>
      </c>
      <c r="AB74" s="170"/>
      <c r="AC74" s="171"/>
      <c r="AD74" s="187"/>
      <c r="AE74" s="188"/>
      <c r="AF74" s="187"/>
      <c r="AG74" s="188"/>
      <c r="AH74" s="417">
        <f t="shared" si="6"/>
        <v>40.880000000000003</v>
      </c>
      <c r="AI74" s="178"/>
      <c r="AJ74" s="177"/>
      <c r="AK74" s="177"/>
      <c r="AL74" s="177"/>
      <c r="AM74" s="177"/>
      <c r="AN74" s="177"/>
      <c r="AO74" s="177"/>
      <c r="AP74" s="177"/>
      <c r="AQ74" s="188">
        <f>X74*AA74/100</f>
        <v>40.880000000000003</v>
      </c>
      <c r="AR74" s="159"/>
    </row>
    <row r="75" spans="1:44" x14ac:dyDescent="0.25">
      <c r="A75" s="190"/>
      <c r="B75" s="175"/>
      <c r="C75" s="175"/>
      <c r="D75" s="175"/>
      <c r="E75" s="175"/>
      <c r="F75" s="184">
        <f>29.03*0.929</f>
        <v>26.968870000000003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84">
        <f>29.03*0.071</f>
        <v>2.0611299999999999</v>
      </c>
      <c r="Q75" s="175"/>
      <c r="R75" s="175"/>
      <c r="S75" s="175"/>
      <c r="T75" s="175"/>
      <c r="U75" s="175"/>
      <c r="V75" s="175"/>
      <c r="W75" s="175"/>
      <c r="X75" s="176">
        <f t="shared" si="8"/>
        <v>29.03</v>
      </c>
      <c r="Y75" s="487" t="s">
        <v>246</v>
      </c>
      <c r="Z75" s="169"/>
      <c r="AA75" s="170">
        <v>33</v>
      </c>
      <c r="AB75" s="170"/>
      <c r="AC75" s="171"/>
      <c r="AD75" s="187"/>
      <c r="AE75" s="188"/>
      <c r="AF75" s="187"/>
      <c r="AG75" s="188"/>
      <c r="AH75" s="417">
        <f t="shared" si="6"/>
        <v>9.5799000000000003</v>
      </c>
      <c r="AI75" s="178"/>
      <c r="AJ75" s="177"/>
      <c r="AK75" s="177"/>
      <c r="AL75" s="177"/>
      <c r="AM75" s="177"/>
      <c r="AN75" s="177"/>
      <c r="AO75" s="177"/>
      <c r="AP75" s="177"/>
      <c r="AQ75" s="188">
        <f>X75*AA75/100</f>
        <v>9.5799000000000003</v>
      </c>
      <c r="AR75" s="159"/>
    </row>
    <row r="76" spans="1:44" x14ac:dyDescent="0.25">
      <c r="A76" s="190"/>
      <c r="B76" s="175"/>
      <c r="C76" s="175"/>
      <c r="D76" s="175"/>
      <c r="E76" s="175"/>
      <c r="F76" s="184">
        <f>320*0.929</f>
        <v>297.28000000000003</v>
      </c>
      <c r="G76" s="175"/>
      <c r="H76" s="175"/>
      <c r="I76" s="175"/>
      <c r="J76" s="175"/>
      <c r="K76" s="175"/>
      <c r="L76" s="175"/>
      <c r="M76" s="175"/>
      <c r="N76" s="175"/>
      <c r="O76" s="175"/>
      <c r="P76" s="184">
        <f>320*0.071</f>
        <v>22.72</v>
      </c>
      <c r="Q76" s="175"/>
      <c r="R76" s="175"/>
      <c r="S76" s="175"/>
      <c r="T76" s="175"/>
      <c r="U76" s="175"/>
      <c r="V76" s="175"/>
      <c r="W76" s="175"/>
      <c r="X76" s="176">
        <f t="shared" si="8"/>
        <v>320</v>
      </c>
      <c r="Y76" s="239" t="s">
        <v>248</v>
      </c>
      <c r="Z76" s="169"/>
      <c r="AA76" s="170">
        <v>33</v>
      </c>
      <c r="AB76" s="170"/>
      <c r="AC76" s="171"/>
      <c r="AD76" s="187"/>
      <c r="AE76" s="188"/>
      <c r="AF76" s="187"/>
      <c r="AG76" s="188"/>
      <c r="AH76" s="417">
        <f t="shared" si="6"/>
        <v>105.6</v>
      </c>
      <c r="AI76" s="178"/>
      <c r="AJ76" s="177"/>
      <c r="AK76" s="177"/>
      <c r="AL76" s="177"/>
      <c r="AM76" s="177"/>
      <c r="AN76" s="177"/>
      <c r="AO76" s="177"/>
      <c r="AP76" s="177"/>
      <c r="AQ76" s="188">
        <f>X76*AA76/100</f>
        <v>105.6</v>
      </c>
      <c r="AR76" s="159"/>
    </row>
    <row r="77" spans="1:44" x14ac:dyDescent="0.25">
      <c r="A77" s="190"/>
      <c r="B77" s="175"/>
      <c r="C77" s="175"/>
      <c r="D77" s="175"/>
      <c r="E77" s="175"/>
      <c r="F77" s="184">
        <f>36.1</f>
        <v>36.1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84"/>
      <c r="Q77" s="175"/>
      <c r="R77" s="175"/>
      <c r="S77" s="175"/>
      <c r="T77" s="175"/>
      <c r="U77" s="175"/>
      <c r="V77" s="175"/>
      <c r="W77" s="175"/>
      <c r="X77" s="176">
        <f t="shared" si="8"/>
        <v>36.1</v>
      </c>
      <c r="Y77" s="234" t="s">
        <v>788</v>
      </c>
      <c r="Z77" s="169"/>
      <c r="AA77" s="170">
        <v>33</v>
      </c>
      <c r="AB77" s="170"/>
      <c r="AC77" s="171"/>
      <c r="AD77" s="187"/>
      <c r="AE77" s="188"/>
      <c r="AF77" s="187"/>
      <c r="AG77" s="188"/>
      <c r="AH77" s="417">
        <f t="shared" si="6"/>
        <v>11.913</v>
      </c>
      <c r="AI77" s="178"/>
      <c r="AJ77" s="177"/>
      <c r="AK77" s="177"/>
      <c r="AL77" s="177"/>
      <c r="AM77" s="177"/>
      <c r="AN77" s="177"/>
      <c r="AO77" s="177"/>
      <c r="AP77" s="177">
        <f>X77*AA77%</f>
        <v>11.913</v>
      </c>
      <c r="AQ77" s="188"/>
      <c r="AR77" s="159"/>
    </row>
    <row r="78" spans="1:44" x14ac:dyDescent="0.25">
      <c r="A78" s="470"/>
      <c r="B78" s="427"/>
      <c r="C78" s="427"/>
      <c r="D78" s="427"/>
      <c r="E78" s="427"/>
      <c r="F78" s="489">
        <v>30.107094424259472</v>
      </c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  <c r="S78" s="427"/>
      <c r="T78" s="427"/>
      <c r="U78" s="427"/>
      <c r="V78" s="427"/>
      <c r="W78" s="427"/>
      <c r="X78" s="176">
        <f t="shared" si="8"/>
        <v>30.107094424259472</v>
      </c>
      <c r="Y78" s="490" t="s">
        <v>250</v>
      </c>
      <c r="Z78" s="197"/>
      <c r="AA78" s="170">
        <v>33</v>
      </c>
      <c r="AB78" s="198"/>
      <c r="AC78" s="200"/>
      <c r="AD78" s="187">
        <f>-AE78/$D$2%</f>
        <v>0</v>
      </c>
      <c r="AE78" s="201"/>
      <c r="AF78" s="428"/>
      <c r="AG78" s="201"/>
      <c r="AH78" s="417">
        <f t="shared" si="6"/>
        <v>9.9353411600056258</v>
      </c>
      <c r="AI78" s="429"/>
      <c r="AJ78" s="199"/>
      <c r="AK78" s="199"/>
      <c r="AL78" s="199"/>
      <c r="AM78" s="199"/>
      <c r="AN78" s="199"/>
      <c r="AO78" s="199"/>
      <c r="AP78" s="199"/>
      <c r="AQ78" s="188">
        <f>X78*AA78/100+AE78*AA78%</f>
        <v>9.9353411600056258</v>
      </c>
      <c r="AR78" s="159"/>
    </row>
    <row r="79" spans="1:44" x14ac:dyDescent="0.25">
      <c r="A79" s="470"/>
      <c r="B79" s="427"/>
      <c r="C79" s="427"/>
      <c r="D79" s="175"/>
      <c r="E79" s="175"/>
      <c r="F79" s="175"/>
      <c r="G79" s="175">
        <v>348.6</v>
      </c>
      <c r="H79" s="175">
        <v>0.5</v>
      </c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176">
        <f t="shared" si="8"/>
        <v>349.1</v>
      </c>
      <c r="Y79" s="490" t="s">
        <v>252</v>
      </c>
      <c r="Z79" s="197"/>
      <c r="AA79" s="170">
        <v>33</v>
      </c>
      <c r="AB79" s="198"/>
      <c r="AC79" s="200"/>
      <c r="AD79" s="428"/>
      <c r="AE79" s="201"/>
      <c r="AF79" s="428"/>
      <c r="AG79" s="201"/>
      <c r="AH79" s="417">
        <f t="shared" si="6"/>
        <v>115.20300000000002</v>
      </c>
      <c r="AI79" s="430"/>
      <c r="AJ79" s="199"/>
      <c r="AK79" s="199"/>
      <c r="AL79" s="199"/>
      <c r="AM79" s="199"/>
      <c r="AN79" s="199"/>
      <c r="AO79" s="199"/>
      <c r="AP79" s="199"/>
      <c r="AQ79" s="188">
        <f>X79*AA79/100</f>
        <v>115.20300000000002</v>
      </c>
      <c r="AR79" s="159"/>
    </row>
    <row r="80" spans="1:44" ht="15.75" thickBot="1" x14ac:dyDescent="0.3">
      <c r="A80" s="470"/>
      <c r="B80" s="427"/>
      <c r="C80" s="427"/>
      <c r="D80" s="184">
        <v>0.4</v>
      </c>
      <c r="E80" s="489"/>
      <c r="F80" s="184">
        <v>50.2</v>
      </c>
      <c r="G80" s="489"/>
      <c r="H80" s="489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71">
        <f t="shared" si="8"/>
        <v>50.6</v>
      </c>
      <c r="Y80" s="491" t="s">
        <v>254</v>
      </c>
      <c r="Z80" s="203"/>
      <c r="AA80" s="170">
        <v>33</v>
      </c>
      <c r="AB80" s="204"/>
      <c r="AC80" s="205"/>
      <c r="AD80" s="432"/>
      <c r="AE80" s="433"/>
      <c r="AF80" s="432"/>
      <c r="AG80" s="433"/>
      <c r="AH80" s="434">
        <f t="shared" si="6"/>
        <v>16.698</v>
      </c>
      <c r="AI80" s="435"/>
      <c r="AJ80" s="436"/>
      <c r="AK80" s="436"/>
      <c r="AL80" s="436"/>
      <c r="AM80" s="436"/>
      <c r="AN80" s="436"/>
      <c r="AO80" s="436"/>
      <c r="AP80" s="436"/>
      <c r="AQ80" s="188">
        <f>X80*AA80/100</f>
        <v>16.698</v>
      </c>
      <c r="AR80" s="159"/>
    </row>
    <row r="81" spans="1:51" ht="15.75" thickBot="1" x14ac:dyDescent="0.3">
      <c r="A81" s="437">
        <f t="shared" ref="A81:W81" si="9">SUM(A8:A80)</f>
        <v>664.18924240641434</v>
      </c>
      <c r="B81" s="438">
        <f t="shared" si="9"/>
        <v>20.9</v>
      </c>
      <c r="C81" s="438">
        <f t="shared" si="9"/>
        <v>0</v>
      </c>
      <c r="D81" s="438">
        <f t="shared" si="9"/>
        <v>0.4</v>
      </c>
      <c r="E81" s="438">
        <f t="shared" si="9"/>
        <v>92.730900000000005</v>
      </c>
      <c r="F81" s="438">
        <f t="shared" si="9"/>
        <v>954.8760444242597</v>
      </c>
      <c r="G81" s="438">
        <f t="shared" si="9"/>
        <v>348.6</v>
      </c>
      <c r="H81" s="438">
        <f t="shared" si="9"/>
        <v>527.63599999999997</v>
      </c>
      <c r="I81" s="438">
        <f t="shared" si="9"/>
        <v>2892.6</v>
      </c>
      <c r="J81" s="438">
        <f t="shared" si="9"/>
        <v>70</v>
      </c>
      <c r="K81" s="438">
        <f t="shared" si="9"/>
        <v>0</v>
      </c>
      <c r="L81" s="438">
        <f t="shared" si="9"/>
        <v>27.900753402947522</v>
      </c>
      <c r="M81" s="438">
        <f t="shared" si="9"/>
        <v>0</v>
      </c>
      <c r="N81" s="438">
        <f t="shared" si="9"/>
        <v>0.79999999999999993</v>
      </c>
      <c r="O81" s="438">
        <f t="shared" si="9"/>
        <v>0</v>
      </c>
      <c r="P81" s="438">
        <f t="shared" si="9"/>
        <v>80.945050000000009</v>
      </c>
      <c r="Q81" s="438">
        <f t="shared" si="9"/>
        <v>22</v>
      </c>
      <c r="R81" s="438">
        <f t="shared" si="9"/>
        <v>154.30799999999999</v>
      </c>
      <c r="S81" s="438">
        <f t="shared" si="9"/>
        <v>275</v>
      </c>
      <c r="T81" s="438">
        <f t="shared" si="9"/>
        <v>0</v>
      </c>
      <c r="U81" s="438">
        <f t="shared" si="9"/>
        <v>281.10555000000005</v>
      </c>
      <c r="V81" s="438">
        <f t="shared" si="9"/>
        <v>14.518800000000001</v>
      </c>
      <c r="W81" s="438">
        <f t="shared" si="9"/>
        <v>229.99545000000001</v>
      </c>
      <c r="X81" s="439">
        <f>SUM(X8:X80)</f>
        <v>6658.505790233623</v>
      </c>
      <c r="Y81" s="440" t="s">
        <v>464</v>
      </c>
      <c r="Z81" s="441"/>
      <c r="AA81" s="441"/>
      <c r="AB81" s="441"/>
      <c r="AC81" s="441"/>
      <c r="AD81" s="437">
        <f t="shared" ref="AD81:AQ81" si="10">SUM(AD8:AD80)</f>
        <v>8.5265128291212022E-14</v>
      </c>
      <c r="AE81" s="439">
        <f t="shared" si="10"/>
        <v>1324.348194224784</v>
      </c>
      <c r="AF81" s="437">
        <f t="shared" si="10"/>
        <v>0</v>
      </c>
      <c r="AG81" s="439">
        <f t="shared" si="10"/>
        <v>1574.351903364</v>
      </c>
      <c r="AH81" s="440">
        <f t="shared" si="10"/>
        <v>3852.4621529892374</v>
      </c>
      <c r="AI81" s="442">
        <f t="shared" si="10"/>
        <v>1481.4817791693636</v>
      </c>
      <c r="AJ81" s="438">
        <f t="shared" si="10"/>
        <v>346.58648652967202</v>
      </c>
      <c r="AK81" s="438">
        <f t="shared" si="10"/>
        <v>287.04009934068404</v>
      </c>
      <c r="AL81" s="438">
        <f t="shared" si="10"/>
        <v>183.33028133211602</v>
      </c>
      <c r="AM81" s="438">
        <f t="shared" si="10"/>
        <v>7.3854557589200009</v>
      </c>
      <c r="AN81" s="438">
        <f t="shared" si="10"/>
        <v>989.12513114801607</v>
      </c>
      <c r="AO81" s="438">
        <f t="shared" si="10"/>
        <v>24.715278550459999</v>
      </c>
      <c r="AP81" s="438">
        <f t="shared" si="10"/>
        <v>27.013000000000002</v>
      </c>
      <c r="AQ81" s="439">
        <f t="shared" si="10"/>
        <v>505.78464116000566</v>
      </c>
      <c r="AR81" s="159"/>
    </row>
    <row r="82" spans="1:51" x14ac:dyDescent="0.25">
      <c r="A82" s="391">
        <f>A81*A89/1000</f>
        <v>80.366898331176145</v>
      </c>
      <c r="B82" s="386">
        <f t="shared" ref="B82:V82" si="11">B81*B87/1000</f>
        <v>0</v>
      </c>
      <c r="C82" s="386">
        <f t="shared" si="11"/>
        <v>0</v>
      </c>
      <c r="D82" s="386">
        <f t="shared" ref="D82:I82" si="12">D81*D89/1000</f>
        <v>3.1200000000000002E-2</v>
      </c>
      <c r="E82" s="386">
        <f t="shared" si="12"/>
        <v>6.8620866000000005</v>
      </c>
      <c r="F82" s="386">
        <f t="shared" si="12"/>
        <v>70.660827287395222</v>
      </c>
      <c r="G82" s="386">
        <f t="shared" si="12"/>
        <v>25.0992</v>
      </c>
      <c r="H82" s="386">
        <f t="shared" si="12"/>
        <v>38.517428000000002</v>
      </c>
      <c r="I82" s="386">
        <f t="shared" si="12"/>
        <v>166.61376000000001</v>
      </c>
      <c r="J82" s="386">
        <f t="shared" si="11"/>
        <v>0</v>
      </c>
      <c r="K82" s="386">
        <f t="shared" si="11"/>
        <v>0</v>
      </c>
      <c r="L82" s="386">
        <f t="shared" si="11"/>
        <v>0</v>
      </c>
      <c r="M82" s="386">
        <f t="shared" si="11"/>
        <v>0</v>
      </c>
      <c r="N82" s="386">
        <v>0</v>
      </c>
      <c r="O82" s="386">
        <f t="shared" si="11"/>
        <v>0</v>
      </c>
      <c r="P82" s="386">
        <f t="shared" si="11"/>
        <v>0</v>
      </c>
      <c r="Q82" s="386">
        <f t="shared" si="11"/>
        <v>0</v>
      </c>
      <c r="R82" s="386">
        <f t="shared" si="11"/>
        <v>0</v>
      </c>
      <c r="S82" s="386">
        <f t="shared" si="11"/>
        <v>0</v>
      </c>
      <c r="T82" s="386">
        <f t="shared" si="11"/>
        <v>0</v>
      </c>
      <c r="U82" s="386">
        <f t="shared" si="11"/>
        <v>0</v>
      </c>
      <c r="V82" s="386">
        <f t="shared" si="11"/>
        <v>0</v>
      </c>
      <c r="W82" s="386">
        <f>W81*W87/1000</f>
        <v>0</v>
      </c>
      <c r="X82" s="418">
        <f>SUM(A82:W82)</f>
        <v>388.15140021857138</v>
      </c>
      <c r="Y82" s="443" t="s">
        <v>521</v>
      </c>
      <c r="Z82" s="444">
        <f>X82*1000/D1</f>
        <v>7.6575075503279084</v>
      </c>
      <c r="AA82" s="445" t="s">
        <v>465</v>
      </c>
      <c r="AB82" s="445"/>
      <c r="AC82" s="446"/>
      <c r="AD82" s="447"/>
      <c r="AE82" s="447"/>
      <c r="AF82" s="447"/>
      <c r="AG82" s="447"/>
      <c r="AH82" s="447"/>
      <c r="AI82" s="447"/>
      <c r="AJ82" s="447"/>
      <c r="AK82" s="447"/>
      <c r="AL82" s="196"/>
      <c r="AM82" s="196"/>
      <c r="AN82" s="196"/>
      <c r="AO82" s="196"/>
      <c r="AP82" s="196"/>
      <c r="AQ82" s="196"/>
      <c r="AR82" s="159"/>
      <c r="AS82" s="137"/>
      <c r="AT82" s="137"/>
      <c r="AU82" s="137"/>
      <c r="AV82" s="137"/>
      <c r="AW82" s="137"/>
      <c r="AX82" s="137"/>
      <c r="AY82" s="137"/>
    </row>
    <row r="83" spans="1:51" x14ac:dyDescent="0.25">
      <c r="A83" s="191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5">
        <v>229.66365161464361</v>
      </c>
      <c r="P83" s="175">
        <v>674.58061439999994</v>
      </c>
      <c r="Q83" s="175">
        <v>690.99633108414662</v>
      </c>
      <c r="R83" s="175">
        <v>438.65263353147589</v>
      </c>
      <c r="S83" s="172"/>
      <c r="T83" s="172"/>
      <c r="U83" s="172"/>
      <c r="V83" s="172"/>
      <c r="W83" s="172"/>
      <c r="X83" s="173">
        <f>SUM(A83:W83)</f>
        <v>2033.8932306302661</v>
      </c>
      <c r="Y83" s="192" t="s">
        <v>466</v>
      </c>
      <c r="Z83" s="251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17.281948742424269</v>
      </c>
      <c r="AA83" s="74" t="s">
        <v>550</v>
      </c>
      <c r="AB83" s="217"/>
      <c r="AC83" s="218"/>
      <c r="AD83" s="447"/>
      <c r="AE83" s="447"/>
      <c r="AF83" s="447"/>
      <c r="AG83" s="447"/>
      <c r="AH83" s="447"/>
      <c r="AI83" s="447"/>
      <c r="AJ83" s="447"/>
      <c r="AK83" s="447"/>
      <c r="AL83" s="196"/>
      <c r="AM83" s="196"/>
      <c r="AN83" s="196"/>
      <c r="AO83" s="196"/>
      <c r="AP83" s="196"/>
      <c r="AQ83" s="196"/>
      <c r="AR83" s="159"/>
      <c r="AS83" s="137"/>
      <c r="AT83" s="137"/>
      <c r="AU83" s="137"/>
      <c r="AV83" s="137"/>
      <c r="AW83" s="137"/>
      <c r="AX83" s="137"/>
      <c r="AY83" s="137"/>
    </row>
    <row r="84" spans="1:51" ht="15.75" thickBot="1" x14ac:dyDescent="0.3">
      <c r="A84" s="448"/>
      <c r="B84" s="449"/>
      <c r="C84" s="449"/>
      <c r="D84" s="449"/>
      <c r="E84" s="449"/>
      <c r="F84" s="449"/>
      <c r="G84" s="449"/>
      <c r="H84" s="449"/>
      <c r="I84" s="449"/>
      <c r="J84" s="449" t="str">
        <f>IF(J83&gt;0,J81/J83*100,"")</f>
        <v/>
      </c>
      <c r="K84" s="449" t="str">
        <f t="shared" ref="K84:W84" si="13">IF(K83&gt;0,K81/K83*100,"")</f>
        <v/>
      </c>
      <c r="L84" s="449" t="str">
        <f t="shared" si="13"/>
        <v/>
      </c>
      <c r="M84" s="449" t="str">
        <f t="shared" si="13"/>
        <v/>
      </c>
      <c r="N84" s="449" t="str">
        <f t="shared" si="13"/>
        <v/>
      </c>
      <c r="O84" s="449">
        <f t="shared" si="13"/>
        <v>0</v>
      </c>
      <c r="P84" s="449">
        <f t="shared" si="13"/>
        <v>11.999314577397973</v>
      </c>
      <c r="Q84" s="449">
        <f t="shared" si="13"/>
        <v>3.183808511035485</v>
      </c>
      <c r="R84" s="449">
        <f t="shared" si="13"/>
        <v>35.177721095096878</v>
      </c>
      <c r="S84" s="449" t="str">
        <f t="shared" si="13"/>
        <v/>
      </c>
      <c r="T84" s="449" t="str">
        <f t="shared" si="13"/>
        <v/>
      </c>
      <c r="U84" s="449" t="str">
        <f t="shared" si="13"/>
        <v/>
      </c>
      <c r="V84" s="449" t="str">
        <f>IF(V83&gt;0,V81/V83*100,"")</f>
        <v/>
      </c>
      <c r="W84" s="449" t="str">
        <f t="shared" si="13"/>
        <v/>
      </c>
      <c r="X84" s="450">
        <f>SUMIF(J83:W83,"&gt;0",J81:W81)/SUM(J83:W83)%</f>
        <v>12.6483065151007</v>
      </c>
      <c r="Y84" s="451" t="s">
        <v>467</v>
      </c>
      <c r="Z84" s="252"/>
      <c r="AA84" s="253"/>
      <c r="AB84" s="219"/>
      <c r="AC84" s="220"/>
      <c r="AD84" s="447"/>
      <c r="AE84" s="447"/>
      <c r="AF84" s="447"/>
      <c r="AG84" s="447"/>
      <c r="AH84" s="447"/>
      <c r="AI84" s="447"/>
      <c r="AJ84" s="447"/>
      <c r="AK84" s="447"/>
      <c r="AL84" s="196"/>
      <c r="AM84" s="196"/>
      <c r="AN84" s="196"/>
      <c r="AO84" s="196"/>
      <c r="AP84" s="196"/>
      <c r="AQ84" s="196"/>
      <c r="AR84" s="159"/>
      <c r="AS84" s="137"/>
      <c r="AT84" s="137"/>
      <c r="AU84" s="137"/>
      <c r="AV84" s="137"/>
      <c r="AW84" s="137"/>
      <c r="AX84" s="137"/>
      <c r="AY84" s="137"/>
    </row>
    <row r="85" spans="1:51" ht="15.75" thickBot="1" x14ac:dyDescent="0.3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166"/>
      <c r="Z85" s="166"/>
      <c r="AA85" s="161"/>
      <c r="AB85" s="166"/>
      <c r="AC85" s="245"/>
      <c r="AD85" s="395"/>
      <c r="AE85" s="395"/>
      <c r="AF85" s="395"/>
      <c r="AG85" s="395"/>
      <c r="AH85" s="395"/>
      <c r="AI85" s="395"/>
      <c r="AJ85" s="395"/>
      <c r="AK85" s="395"/>
      <c r="AL85" s="245"/>
      <c r="AM85" s="245"/>
      <c r="AN85" s="245"/>
      <c r="AO85" s="245"/>
      <c r="AP85" s="245"/>
      <c r="AQ85" s="245"/>
      <c r="AR85" s="159"/>
      <c r="AS85" s="137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492" t="s">
        <v>468</v>
      </c>
      <c r="B86" s="808" t="str">
        <f t="shared" ref="B86:W86" si="14">B7</f>
        <v xml:space="preserve">  LPG og petroleum</v>
      </c>
      <c r="C86" s="808" t="str">
        <f t="shared" si="14"/>
        <v xml:space="preserve">  Kul</v>
      </c>
      <c r="D86" s="808" t="str">
        <f t="shared" si="14"/>
        <v xml:space="preserve">  Fuelolie</v>
      </c>
      <c r="E86" s="808" t="str">
        <f t="shared" si="14"/>
        <v xml:space="preserve">  Brændselsolie</v>
      </c>
      <c r="F86" s="808" t="str">
        <f t="shared" si="14"/>
        <v xml:space="preserve">  Dieselolie</v>
      </c>
      <c r="G86" s="808" t="str">
        <f t="shared" si="14"/>
        <v xml:space="preserve">  JP1</v>
      </c>
      <c r="H86" s="808" t="str">
        <f t="shared" si="14"/>
        <v xml:space="preserve">  Benzin</v>
      </c>
      <c r="I86" s="808" t="str">
        <f t="shared" si="14"/>
        <v xml:space="preserve">  Naturgas</v>
      </c>
      <c r="J86" s="808" t="str">
        <f t="shared" si="14"/>
        <v xml:space="preserve">  Vindenergi</v>
      </c>
      <c r="K86" s="808" t="str">
        <f t="shared" si="14"/>
        <v xml:space="preserve">  Vandenergi</v>
      </c>
      <c r="L86" s="808" t="str">
        <f t="shared" si="14"/>
        <v xml:space="preserve">  Solenergi</v>
      </c>
      <c r="M86" s="808" t="str">
        <f t="shared" si="14"/>
        <v xml:space="preserve">  Geotermi</v>
      </c>
      <c r="N86" s="808" t="str">
        <f t="shared" si="14"/>
        <v xml:space="preserve">  Varmekilder til varmepumper</v>
      </c>
      <c r="O86" s="808" t="str">
        <f t="shared" si="14"/>
        <v xml:space="preserve">  Husdyrsgødning</v>
      </c>
      <c r="P86" s="808" t="str">
        <f t="shared" si="14"/>
        <v xml:space="preserve">  Biobrændstof og energiafgrøder</v>
      </c>
      <c r="Q86" s="808" t="str">
        <f t="shared" si="14"/>
        <v xml:space="preserve">  Halm</v>
      </c>
      <c r="R86" s="808" t="str">
        <f t="shared" si="14"/>
        <v xml:space="preserve">  Brænde og træflis</v>
      </c>
      <c r="S86" s="808" t="str">
        <f t="shared" si="14"/>
        <v xml:space="preserve">  Træpiller og træaffald</v>
      </c>
      <c r="T86" s="808" t="str">
        <f t="shared" si="14"/>
        <v xml:space="preserve">  Organisk affald, industri</v>
      </c>
      <c r="U86" s="808" t="str">
        <f t="shared" si="14"/>
        <v xml:space="preserve">  Organisk affald, husholdninger</v>
      </c>
      <c r="V86" s="808" t="str">
        <f t="shared" si="14"/>
        <v xml:space="preserve">  Deponi, slam, renseanlæg</v>
      </c>
      <c r="W86" s="811" t="str">
        <f t="shared" si="14"/>
        <v xml:space="preserve">  Affald, ikke bionedbrydeligt</v>
      </c>
      <c r="X86" s="166"/>
      <c r="Y86" s="166"/>
      <c r="Z86" s="166"/>
      <c r="AA86" s="161"/>
      <c r="AB86" s="166"/>
      <c r="AC86" s="166"/>
      <c r="AD86" s="161"/>
      <c r="AE86" s="161"/>
      <c r="AF86" s="161"/>
      <c r="AG86" s="161"/>
      <c r="AH86" s="161"/>
      <c r="AI86" s="161"/>
      <c r="AJ86" s="161"/>
      <c r="AK86" s="161"/>
      <c r="AL86" s="166"/>
      <c r="AM86" s="166"/>
      <c r="AN86" s="166"/>
      <c r="AO86" s="166"/>
      <c r="AP86" s="166"/>
      <c r="AQ86" s="166"/>
      <c r="AR86" s="52"/>
      <c r="AS86" s="137"/>
      <c r="AT86" s="137"/>
      <c r="AU86" s="137"/>
      <c r="AV86" s="137"/>
      <c r="AW86" s="137"/>
      <c r="AX86" s="137"/>
      <c r="AY86" s="137"/>
    </row>
    <row r="87" spans="1:51" ht="15.75" x14ac:dyDescent="0.25">
      <c r="A87" s="493">
        <v>41</v>
      </c>
      <c r="B87" s="809"/>
      <c r="C87" s="809"/>
      <c r="D87" s="809"/>
      <c r="E87" s="809"/>
      <c r="F87" s="809"/>
      <c r="G87" s="809"/>
      <c r="H87" s="809"/>
      <c r="I87" s="809"/>
      <c r="J87" s="809"/>
      <c r="K87" s="809"/>
      <c r="L87" s="809"/>
      <c r="M87" s="809"/>
      <c r="N87" s="809"/>
      <c r="O87" s="809"/>
      <c r="P87" s="809"/>
      <c r="Q87" s="809"/>
      <c r="R87" s="809"/>
      <c r="S87" s="809"/>
      <c r="T87" s="809"/>
      <c r="U87" s="809"/>
      <c r="V87" s="809"/>
      <c r="W87" s="812"/>
      <c r="X87" s="166"/>
      <c r="Y87" s="166"/>
      <c r="Z87" s="166"/>
      <c r="AA87" s="161"/>
      <c r="AB87" s="166"/>
      <c r="AC87" s="166"/>
      <c r="AD87" s="161"/>
      <c r="AE87" s="161"/>
      <c r="AF87" s="161"/>
      <c r="AG87" s="161"/>
      <c r="AH87" s="161"/>
      <c r="AI87" s="161"/>
      <c r="AJ87" s="161"/>
      <c r="AK87" s="161"/>
      <c r="AL87" s="166"/>
      <c r="AM87" s="166"/>
      <c r="AN87" s="166"/>
      <c r="AO87" s="166"/>
      <c r="AP87" s="166"/>
      <c r="AQ87" s="166"/>
      <c r="AR87" s="52"/>
      <c r="AS87" s="137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221" t="s">
        <v>469</v>
      </c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3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52"/>
      <c r="AS88" s="137"/>
      <c r="AT88" s="137"/>
      <c r="AU88" s="137"/>
      <c r="AV88" s="137"/>
      <c r="AW88" s="137"/>
      <c r="AX88" s="137"/>
      <c r="AY88" s="137"/>
    </row>
    <row r="89" spans="1:51" ht="16.5" thickBot="1" x14ac:dyDescent="0.35">
      <c r="A89" s="472">
        <v>121</v>
      </c>
      <c r="B89" s="473">
        <v>63.1</v>
      </c>
      <c r="C89" s="473">
        <v>94.25</v>
      </c>
      <c r="D89" s="473">
        <v>78</v>
      </c>
      <c r="E89" s="473">
        <v>74</v>
      </c>
      <c r="F89" s="473">
        <v>74</v>
      </c>
      <c r="G89" s="473">
        <v>72</v>
      </c>
      <c r="H89" s="473">
        <v>73</v>
      </c>
      <c r="I89" s="473">
        <v>57.6</v>
      </c>
      <c r="J89" s="223"/>
      <c r="K89" s="223"/>
      <c r="L89" s="223"/>
      <c r="M89" s="223"/>
      <c r="N89" s="224"/>
      <c r="O89" s="223"/>
      <c r="P89" s="223"/>
      <c r="Q89" s="223"/>
      <c r="R89" s="223"/>
      <c r="S89" s="223"/>
      <c r="T89" s="223"/>
      <c r="U89" s="223"/>
      <c r="V89" s="224"/>
      <c r="W89" s="474">
        <v>82.22</v>
      </c>
      <c r="X89" s="494" t="s">
        <v>522</v>
      </c>
      <c r="Y89" s="49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159"/>
      <c r="AS89" s="140"/>
      <c r="AT89" s="140"/>
      <c r="AU89" s="140"/>
      <c r="AV89" s="140"/>
      <c r="AW89" s="140"/>
      <c r="AX89" s="140"/>
      <c r="AY89" s="140"/>
    </row>
    <row r="90" spans="1:51" x14ac:dyDescent="0.25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137"/>
      <c r="AT90" s="137"/>
      <c r="AU90" s="137"/>
      <c r="AV90" s="137"/>
      <c r="AW90" s="137"/>
      <c r="AX90" s="137"/>
      <c r="AY90" s="137"/>
    </row>
    <row r="91" spans="1:51" x14ac:dyDescent="0.25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255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37"/>
      <c r="AT91" s="137"/>
      <c r="AU91" s="137"/>
      <c r="AV91" s="137"/>
      <c r="AW91" s="137"/>
      <c r="AX91" s="137"/>
      <c r="AY91" s="137"/>
    </row>
    <row r="92" spans="1:51" x14ac:dyDescent="0.25">
      <c r="A92" s="159"/>
      <c r="B92" s="159"/>
      <c r="C92" s="159"/>
      <c r="D92" s="159"/>
      <c r="E92" s="159"/>
      <c r="F92" s="159"/>
      <c r="G92" s="496"/>
      <c r="H92" s="159"/>
      <c r="I92" s="159"/>
      <c r="J92" s="159"/>
      <c r="K92" s="159"/>
      <c r="L92" s="159"/>
      <c r="M92" s="159"/>
      <c r="N92" s="159"/>
      <c r="O92" s="159"/>
      <c r="P92" s="496"/>
      <c r="Q92" s="159"/>
      <c r="R92" s="159"/>
      <c r="S92" s="159"/>
      <c r="T92" s="159"/>
      <c r="U92" s="159"/>
      <c r="V92" s="159"/>
      <c r="W92" s="159"/>
      <c r="X92" s="159"/>
      <c r="Y92" s="245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37"/>
      <c r="AT92" s="137"/>
      <c r="AU92" s="137"/>
      <c r="AV92" s="137"/>
      <c r="AW92" s="137"/>
      <c r="AX92" s="137"/>
      <c r="AY92" s="137"/>
    </row>
    <row r="93" spans="1:51" ht="20.25" x14ac:dyDescent="0.3">
      <c r="A93" s="256"/>
      <c r="B93" s="159"/>
      <c r="C93" s="159"/>
      <c r="D93" s="159"/>
      <c r="E93" s="159"/>
      <c r="F93" s="159"/>
      <c r="G93" s="496"/>
      <c r="H93" s="159"/>
      <c r="I93" s="159"/>
      <c r="J93" s="159"/>
      <c r="K93" s="159"/>
      <c r="L93" s="159"/>
      <c r="M93" s="159"/>
      <c r="N93" s="159"/>
      <c r="O93" s="159"/>
      <c r="P93" s="496"/>
      <c r="Q93" s="159"/>
      <c r="R93" s="159"/>
      <c r="S93" s="159"/>
      <c r="T93" s="159"/>
      <c r="U93" s="159"/>
      <c r="V93" s="159"/>
      <c r="W93" s="159"/>
      <c r="X93" s="159"/>
      <c r="Y93" s="255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37"/>
      <c r="AT93" s="137"/>
      <c r="AU93" s="137"/>
      <c r="AV93" s="137"/>
      <c r="AW93" s="137"/>
      <c r="AX93" s="137"/>
      <c r="AY93" s="137"/>
    </row>
    <row r="94" spans="1:51" x14ac:dyDescent="0.25">
      <c r="A94" s="159"/>
      <c r="B94" s="159"/>
      <c r="C94" s="159"/>
      <c r="D94" s="159"/>
      <c r="E94" s="159"/>
      <c r="F94" s="159"/>
      <c r="G94" s="496"/>
      <c r="H94" s="159"/>
      <c r="I94" s="159"/>
      <c r="J94" s="159"/>
      <c r="K94" s="159"/>
      <c r="L94" s="159"/>
      <c r="M94" s="159"/>
      <c r="N94" s="159"/>
      <c r="O94" s="159"/>
      <c r="P94" s="496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37"/>
      <c r="AT94" s="137"/>
      <c r="AU94" s="137"/>
      <c r="AV94" s="137"/>
      <c r="AW94" s="137"/>
      <c r="AX94" s="137"/>
      <c r="AY94" s="137"/>
    </row>
    <row r="95" spans="1:51" x14ac:dyDescent="0.25">
      <c r="A95" s="159"/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255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37"/>
      <c r="AT95" s="137"/>
      <c r="AU95" s="137"/>
      <c r="AV95" s="137"/>
      <c r="AW95" s="137"/>
      <c r="AX95" s="137"/>
      <c r="AY95" s="137"/>
    </row>
    <row r="96" spans="1:51" x14ac:dyDescent="0.25">
      <c r="A96" s="159"/>
      <c r="B96" s="159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255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</row>
    <row r="97" spans="1:44" x14ac:dyDescent="0.25">
      <c r="A97" s="159"/>
      <c r="B97" s="159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</row>
    <row r="117" spans="2:2" x14ac:dyDescent="0.25">
      <c r="B117" s="158" t="e">
        <f>' Plan Energi 2015'!AD</f>
        <v>#NAME?</v>
      </c>
    </row>
  </sheetData>
  <mergeCells count="30">
    <mergeCell ref="D1:E1"/>
    <mergeCell ref="Y1:Y2"/>
    <mergeCell ref="Y3:Y4"/>
    <mergeCell ref="A6:X6"/>
    <mergeCell ref="Z6:AC6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</mergeCells>
  <pageMargins left="0.7" right="0.7" top="0.75" bottom="0.75" header="0.3" footer="0.3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7"/>
  <dimension ref="A1:AY117"/>
  <sheetViews>
    <sheetView topLeftCell="A40" zoomScale="78" zoomScaleNormal="78" workbookViewId="0">
      <selection activeCell="U63" sqref="U63"/>
    </sheetView>
  </sheetViews>
  <sheetFormatPr defaultRowHeight="15" x14ac:dyDescent="0.25"/>
  <cols>
    <col min="1" max="24" width="9.140625" style="158"/>
    <col min="25" max="25" width="49.5703125" style="158" customWidth="1"/>
    <col min="26" max="29" width="9.140625" style="158"/>
    <col min="30" max="30" width="12.42578125" style="158" customWidth="1"/>
    <col min="31" max="16384" width="9.140625" style="158"/>
  </cols>
  <sheetData>
    <row r="1" spans="1:44" ht="23.25" x14ac:dyDescent="0.25">
      <c r="A1" s="393" t="s">
        <v>433</v>
      </c>
      <c r="B1" s="394"/>
      <c r="C1" s="480"/>
      <c r="D1" s="818">
        <v>50374</v>
      </c>
      <c r="E1" s="819"/>
      <c r="F1" s="395"/>
      <c r="G1" s="159"/>
      <c r="H1" s="159"/>
      <c r="I1" s="400"/>
      <c r="J1" s="310"/>
      <c r="K1" s="39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396"/>
      <c r="W1" s="396"/>
      <c r="X1" s="396"/>
      <c r="Y1" s="817" t="s">
        <v>434</v>
      </c>
      <c r="Z1" s="396"/>
      <c r="AA1" s="396"/>
      <c r="AB1" s="396"/>
      <c r="AC1" s="396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159"/>
    </row>
    <row r="2" spans="1:44" ht="23.25" x14ac:dyDescent="0.25">
      <c r="A2" s="397" t="s">
        <v>435</v>
      </c>
      <c r="B2" s="395"/>
      <c r="C2" s="310"/>
      <c r="D2" s="398">
        <v>92.411459993421104</v>
      </c>
      <c r="E2" s="399" t="s">
        <v>436</v>
      </c>
      <c r="F2" s="400"/>
      <c r="G2" s="159"/>
      <c r="H2" s="159"/>
      <c r="I2" s="400"/>
      <c r="J2" s="395"/>
      <c r="K2" s="39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396"/>
      <c r="W2" s="396"/>
      <c r="X2" s="396"/>
      <c r="Y2" s="817"/>
      <c r="Z2" s="396"/>
      <c r="AA2" s="396"/>
      <c r="AB2" s="396"/>
      <c r="AC2" s="396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159"/>
    </row>
    <row r="3" spans="1:44" ht="24" customHeight="1" thickBot="1" x14ac:dyDescent="0.3">
      <c r="A3" s="401" t="s">
        <v>437</v>
      </c>
      <c r="B3" s="402"/>
      <c r="C3" s="481"/>
      <c r="D3" s="402" t="s">
        <v>438</v>
      </c>
      <c r="E3" s="404"/>
      <c r="F3" s="395"/>
      <c r="G3" s="159"/>
      <c r="H3" s="159"/>
      <c r="I3" s="395"/>
      <c r="J3" s="395"/>
      <c r="K3" s="39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396"/>
      <c r="W3" s="396"/>
      <c r="X3" s="396"/>
      <c r="Y3" s="807" t="s">
        <v>786</v>
      </c>
      <c r="Z3" s="396"/>
      <c r="AA3" s="396"/>
      <c r="AB3" s="396"/>
      <c r="AC3" s="396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159"/>
    </row>
    <row r="4" spans="1:44" ht="23.25" customHeight="1" x14ac:dyDescent="0.25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396"/>
      <c r="W4" s="396"/>
      <c r="X4" s="396"/>
      <c r="Y4" s="807"/>
      <c r="Z4" s="396"/>
      <c r="AA4" s="396"/>
      <c r="AB4" s="396"/>
      <c r="AC4" s="396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159"/>
    </row>
    <row r="5" spans="1:44" x14ac:dyDescent="0.25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159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159"/>
    </row>
    <row r="6" spans="1:44" ht="15.75" x14ac:dyDescent="0.25">
      <c r="A6" s="814" t="s">
        <v>439</v>
      </c>
      <c r="B6" s="814"/>
      <c r="C6" s="814"/>
      <c r="D6" s="814"/>
      <c r="E6" s="814"/>
      <c r="F6" s="814"/>
      <c r="G6" s="814"/>
      <c r="H6" s="814"/>
      <c r="I6" s="814"/>
      <c r="J6" s="814"/>
      <c r="K6" s="814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405" t="s">
        <v>440</v>
      </c>
      <c r="Z6" s="814" t="s">
        <v>35</v>
      </c>
      <c r="AA6" s="814"/>
      <c r="AB6" s="814"/>
      <c r="AC6" s="814"/>
      <c r="AD6" s="814" t="s">
        <v>441</v>
      </c>
      <c r="AE6" s="814"/>
      <c r="AF6" s="814" t="s">
        <v>442</v>
      </c>
      <c r="AG6" s="814"/>
      <c r="AH6" s="406"/>
      <c r="AI6" s="814" t="s">
        <v>443</v>
      </c>
      <c r="AJ6" s="814"/>
      <c r="AK6" s="814"/>
      <c r="AL6" s="814"/>
      <c r="AM6" s="814"/>
      <c r="AN6" s="814"/>
      <c r="AO6" s="814"/>
      <c r="AP6" s="814"/>
      <c r="AQ6" s="814"/>
      <c r="AR6" s="159"/>
    </row>
    <row r="7" spans="1:44" ht="171.75" customHeight="1" thickBot="1" x14ac:dyDescent="0.65">
      <c r="A7" s="407" t="s">
        <v>378</v>
      </c>
      <c r="B7" s="408" t="s">
        <v>379</v>
      </c>
      <c r="C7" s="408" t="s">
        <v>380</v>
      </c>
      <c r="D7" s="408" t="s">
        <v>381</v>
      </c>
      <c r="E7" s="409" t="s">
        <v>383</v>
      </c>
      <c r="F7" s="408" t="s">
        <v>384</v>
      </c>
      <c r="G7" s="408" t="s">
        <v>385</v>
      </c>
      <c r="H7" s="409" t="s">
        <v>387</v>
      </c>
      <c r="I7" s="409" t="s">
        <v>549</v>
      </c>
      <c r="J7" s="409" t="s">
        <v>390</v>
      </c>
      <c r="K7" s="409" t="s">
        <v>392</v>
      </c>
      <c r="L7" s="409" t="s">
        <v>393</v>
      </c>
      <c r="M7" s="409" t="s">
        <v>394</v>
      </c>
      <c r="N7" s="409" t="s">
        <v>396</v>
      </c>
      <c r="O7" s="409" t="s">
        <v>397</v>
      </c>
      <c r="P7" s="409" t="s">
        <v>398</v>
      </c>
      <c r="Q7" s="409" t="s">
        <v>400</v>
      </c>
      <c r="R7" s="409" t="s">
        <v>401</v>
      </c>
      <c r="S7" s="409" t="s">
        <v>402</v>
      </c>
      <c r="T7" s="409" t="s">
        <v>403</v>
      </c>
      <c r="U7" s="409" t="s">
        <v>404</v>
      </c>
      <c r="V7" s="409" t="s">
        <v>405</v>
      </c>
      <c r="W7" s="409" t="s">
        <v>406</v>
      </c>
      <c r="X7" s="410" t="s">
        <v>444</v>
      </c>
      <c r="Y7" s="233"/>
      <c r="Z7" s="411" t="s">
        <v>445</v>
      </c>
      <c r="AA7" s="409" t="s">
        <v>446</v>
      </c>
      <c r="AB7" s="409" t="s">
        <v>447</v>
      </c>
      <c r="AC7" s="410" t="s">
        <v>448</v>
      </c>
      <c r="AD7" s="412" t="s">
        <v>449</v>
      </c>
      <c r="AE7" s="410" t="s">
        <v>450</v>
      </c>
      <c r="AF7" s="412" t="s">
        <v>449</v>
      </c>
      <c r="AG7" s="410" t="s">
        <v>450</v>
      </c>
      <c r="AH7" s="413" t="s">
        <v>451</v>
      </c>
      <c r="AI7" s="414" t="s">
        <v>452</v>
      </c>
      <c r="AJ7" s="409" t="s">
        <v>453</v>
      </c>
      <c r="AK7" s="409" t="s">
        <v>454</v>
      </c>
      <c r="AL7" s="409" t="s">
        <v>455</v>
      </c>
      <c r="AM7" s="409" t="s">
        <v>456</v>
      </c>
      <c r="AN7" s="409" t="s">
        <v>457</v>
      </c>
      <c r="AO7" s="415" t="s">
        <v>458</v>
      </c>
      <c r="AP7" s="415" t="s">
        <v>459</v>
      </c>
      <c r="AQ7" s="410" t="s">
        <v>460</v>
      </c>
      <c r="AR7" s="416"/>
    </row>
    <row r="8" spans="1:44" x14ac:dyDescent="0.25">
      <c r="A8" s="190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7"/>
      <c r="O8" s="175"/>
      <c r="P8" s="175"/>
      <c r="Q8" s="175"/>
      <c r="R8" s="175"/>
      <c r="S8" s="175"/>
      <c r="T8" s="175"/>
      <c r="U8" s="175"/>
      <c r="V8" s="172"/>
      <c r="W8" s="172"/>
      <c r="X8" s="173">
        <f t="shared" ref="X8:X71" si="0">SUM(A8:W8)</f>
        <v>0</v>
      </c>
      <c r="Y8" s="234" t="s">
        <v>307</v>
      </c>
      <c r="Z8" s="187"/>
      <c r="AA8" s="177">
        <v>44</v>
      </c>
      <c r="AB8" s="177"/>
      <c r="AC8" s="188"/>
      <c r="AD8" s="187">
        <f t="shared" ref="AD8:AD14" si="1">-AE8/$D$2%</f>
        <v>-44.911523259246778</v>
      </c>
      <c r="AE8" s="188">
        <f>AH8/AA8%</f>
        <v>41.503394349154853</v>
      </c>
      <c r="AF8" s="187"/>
      <c r="AG8" s="188"/>
      <c r="AH8" s="417">
        <f t="shared" ref="AH8:AH14" si="2">SUM(AI8:AQ8)</f>
        <v>18.261493513628135</v>
      </c>
      <c r="AI8" s="69">
        <v>18.261493513628135</v>
      </c>
      <c r="AJ8" s="175"/>
      <c r="AK8" s="175"/>
      <c r="AL8" s="175"/>
      <c r="AM8" s="175"/>
      <c r="AN8" s="175"/>
      <c r="AO8" s="175"/>
      <c r="AP8" s="175"/>
      <c r="AQ8" s="176"/>
      <c r="AR8" s="159"/>
    </row>
    <row r="9" spans="1:44" x14ac:dyDescent="0.25">
      <c r="A9" s="190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7"/>
      <c r="O9" s="175"/>
      <c r="P9" s="175"/>
      <c r="Q9" s="175"/>
      <c r="R9" s="175"/>
      <c r="S9" s="175"/>
      <c r="T9" s="175"/>
      <c r="U9" s="175"/>
      <c r="V9" s="172"/>
      <c r="W9" s="172"/>
      <c r="X9" s="173">
        <f t="shared" si="0"/>
        <v>0</v>
      </c>
      <c r="Y9" s="234" t="s">
        <v>314</v>
      </c>
      <c r="Z9" s="187"/>
      <c r="AA9" s="177"/>
      <c r="AB9" s="177">
        <v>90</v>
      </c>
      <c r="AC9" s="188"/>
      <c r="AD9" s="187">
        <f t="shared" si="1"/>
        <v>-5.6052433194966236</v>
      </c>
      <c r="AE9" s="188">
        <f>AH9/AB9%</f>
        <v>5.1798871877305315</v>
      </c>
      <c r="AF9" s="187"/>
      <c r="AG9" s="188"/>
      <c r="AH9" s="417">
        <f t="shared" si="2"/>
        <v>4.6618984689574781</v>
      </c>
      <c r="AI9" s="174">
        <v>4.6618984689574781</v>
      </c>
      <c r="AJ9" s="175"/>
      <c r="AK9" s="175"/>
      <c r="AL9" s="175"/>
      <c r="AM9" s="175"/>
      <c r="AN9" s="175"/>
      <c r="AO9" s="175"/>
      <c r="AP9" s="175"/>
      <c r="AQ9" s="176"/>
      <c r="AR9" s="159"/>
    </row>
    <row r="10" spans="1:44" x14ac:dyDescent="0.25">
      <c r="A10" s="190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7"/>
      <c r="O10" s="175"/>
      <c r="P10" s="175"/>
      <c r="Q10" s="175"/>
      <c r="R10" s="175"/>
      <c r="S10" s="175"/>
      <c r="T10" s="175"/>
      <c r="U10" s="175"/>
      <c r="V10" s="172"/>
      <c r="W10" s="172"/>
      <c r="X10" s="173">
        <f t="shared" si="0"/>
        <v>0</v>
      </c>
      <c r="Y10" s="234" t="s">
        <v>316</v>
      </c>
      <c r="Z10" s="187"/>
      <c r="AA10" s="177"/>
      <c r="AB10" s="177">
        <v>100</v>
      </c>
      <c r="AC10" s="188"/>
      <c r="AD10" s="187">
        <f t="shared" si="1"/>
        <v>-23.782246655578522</v>
      </c>
      <c r="AE10" s="188">
        <f>AH10/AB10%</f>
        <v>21.977521353656677</v>
      </c>
      <c r="AF10" s="187"/>
      <c r="AG10" s="188"/>
      <c r="AH10" s="417">
        <f t="shared" si="2"/>
        <v>21.977521353656677</v>
      </c>
      <c r="AI10" s="174">
        <v>21.977521353656677</v>
      </c>
      <c r="AJ10" s="175"/>
      <c r="AK10" s="175"/>
      <c r="AL10" s="175"/>
      <c r="AM10" s="175"/>
      <c r="AN10" s="175"/>
      <c r="AO10" s="175"/>
      <c r="AP10" s="175"/>
      <c r="AQ10" s="176"/>
      <c r="AR10" s="159"/>
    </row>
    <row r="11" spans="1:44" x14ac:dyDescent="0.25">
      <c r="A11" s="190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7"/>
      <c r="O11" s="175"/>
      <c r="P11" s="175"/>
      <c r="Q11" s="175"/>
      <c r="R11" s="175"/>
      <c r="S11" s="175"/>
      <c r="T11" s="175"/>
      <c r="U11" s="175"/>
      <c r="V11" s="172"/>
      <c r="W11" s="172"/>
      <c r="X11" s="173">
        <f t="shared" si="0"/>
        <v>0</v>
      </c>
      <c r="Y11" s="234" t="s">
        <v>305</v>
      </c>
      <c r="Z11" s="187"/>
      <c r="AA11" s="177">
        <v>50</v>
      </c>
      <c r="AB11" s="177"/>
      <c r="AC11" s="188"/>
      <c r="AD11" s="187">
        <f t="shared" si="1"/>
        <v>-203.08361472254148</v>
      </c>
      <c r="AE11" s="188">
        <f>AH11/AA11%</f>
        <v>187.67253337251489</v>
      </c>
      <c r="AF11" s="187"/>
      <c r="AG11" s="188"/>
      <c r="AH11" s="417">
        <f t="shared" si="2"/>
        <v>93.836266686257446</v>
      </c>
      <c r="AI11" s="174">
        <v>20.751697174577423</v>
      </c>
      <c r="AJ11" s="175">
        <v>32.775526836180006</v>
      </c>
      <c r="AK11" s="175">
        <v>14.074527807000001</v>
      </c>
      <c r="AL11" s="175">
        <v>12.326094225</v>
      </c>
      <c r="AM11" s="175">
        <v>0.29709115178400003</v>
      </c>
      <c r="AN11" s="175">
        <v>11.081845883016003</v>
      </c>
      <c r="AO11" s="175">
        <v>0.1213162029</v>
      </c>
      <c r="AP11" s="175">
        <v>2.4081674057999991</v>
      </c>
      <c r="AQ11" s="176"/>
      <c r="AR11" s="159"/>
    </row>
    <row r="12" spans="1:44" x14ac:dyDescent="0.25">
      <c r="A12" s="190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7"/>
      <c r="O12" s="175"/>
      <c r="P12" s="175"/>
      <c r="Q12" s="175"/>
      <c r="R12" s="175"/>
      <c r="S12" s="175"/>
      <c r="T12" s="175"/>
      <c r="U12" s="175"/>
      <c r="V12" s="172"/>
      <c r="W12" s="172"/>
      <c r="X12" s="173">
        <f t="shared" si="0"/>
        <v>0</v>
      </c>
      <c r="Y12" s="234" t="s">
        <v>309</v>
      </c>
      <c r="Z12" s="187"/>
      <c r="AA12" s="177">
        <v>150</v>
      </c>
      <c r="AB12" s="177"/>
      <c r="AC12" s="188"/>
      <c r="AD12" s="187">
        <f t="shared" si="1"/>
        <v>-150.94859513456944</v>
      </c>
      <c r="AE12" s="188">
        <f>AH12/AA12%</f>
        <v>139.49380060341383</v>
      </c>
      <c r="AF12" s="187"/>
      <c r="AG12" s="188"/>
      <c r="AH12" s="417">
        <f t="shared" si="2"/>
        <v>209.24070090512075</v>
      </c>
      <c r="AI12" s="174">
        <v>73.501172573180696</v>
      </c>
      <c r="AJ12" s="175">
        <v>0</v>
      </c>
      <c r="AK12" s="175">
        <v>47.290413431520008</v>
      </c>
      <c r="AL12" s="175">
        <v>41.415676596000004</v>
      </c>
      <c r="AM12" s="175">
        <v>1.1883646071360003</v>
      </c>
      <c r="AN12" s="175">
        <v>44.327383532064012</v>
      </c>
      <c r="AO12" s="175">
        <v>7.2789721740000021E-2</v>
      </c>
      <c r="AP12" s="175">
        <v>1.4449004434799995</v>
      </c>
      <c r="AQ12" s="176"/>
      <c r="AR12" s="159"/>
    </row>
    <row r="13" spans="1:44" x14ac:dyDescent="0.25">
      <c r="A13" s="190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7"/>
      <c r="O13" s="175"/>
      <c r="P13" s="175"/>
      <c r="Q13" s="175"/>
      <c r="R13" s="175"/>
      <c r="S13" s="175"/>
      <c r="T13" s="175"/>
      <c r="U13" s="175"/>
      <c r="V13" s="172"/>
      <c r="W13" s="172"/>
      <c r="X13" s="173">
        <f t="shared" si="0"/>
        <v>0</v>
      </c>
      <c r="Y13" s="235" t="s">
        <v>290</v>
      </c>
      <c r="Z13" s="187"/>
      <c r="AA13" s="177">
        <v>85</v>
      </c>
      <c r="AB13" s="177"/>
      <c r="AC13" s="188"/>
      <c r="AD13" s="187">
        <f t="shared" si="1"/>
        <v>-829.01526719752405</v>
      </c>
      <c r="AE13" s="188">
        <f>AH13/AA13%</f>
        <v>766.105111985593</v>
      </c>
      <c r="AF13" s="187"/>
      <c r="AG13" s="188"/>
      <c r="AH13" s="417">
        <f t="shared" si="2"/>
        <v>651.18934518775404</v>
      </c>
      <c r="AI13" s="174">
        <v>115.39282448237604</v>
      </c>
      <c r="AJ13" s="175">
        <v>150.646032606294</v>
      </c>
      <c r="AK13" s="175">
        <v>44.982190871172001</v>
      </c>
      <c r="AL13" s="175">
        <v>39.394197143099994</v>
      </c>
      <c r="AM13" s="175">
        <v>7.2391210651367999</v>
      </c>
      <c r="AN13" s="175">
        <v>270.02764468282322</v>
      </c>
      <c r="AO13" s="175">
        <v>1.1274319122840004</v>
      </c>
      <c r="AP13" s="175">
        <v>22.379902424567995</v>
      </c>
      <c r="AQ13" s="176"/>
      <c r="AR13" s="159"/>
    </row>
    <row r="14" spans="1:44" x14ac:dyDescent="0.25">
      <c r="A14" s="190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7">
        <f>AH14-AE14</f>
        <v>0.85183978141703331</v>
      </c>
      <c r="O14" s="175"/>
      <c r="P14" s="175"/>
      <c r="Q14" s="175"/>
      <c r="R14" s="175"/>
      <c r="S14" s="175"/>
      <c r="T14" s="175"/>
      <c r="U14" s="175"/>
      <c r="V14" s="172"/>
      <c r="W14" s="172"/>
      <c r="X14" s="173">
        <f t="shared" si="0"/>
        <v>0.85183978141703331</v>
      </c>
      <c r="Y14" s="235" t="s">
        <v>344</v>
      </c>
      <c r="Z14" s="187"/>
      <c r="AA14" s="177"/>
      <c r="AB14" s="177">
        <v>300</v>
      </c>
      <c r="AC14" s="188"/>
      <c r="AD14" s="187">
        <f t="shared" si="1"/>
        <v>-0.46089509974070147</v>
      </c>
      <c r="AE14" s="176">
        <v>0.42591989070851666</v>
      </c>
      <c r="AF14" s="187"/>
      <c r="AG14" s="188"/>
      <c r="AH14" s="417">
        <f t="shared" si="2"/>
        <v>1.27775967212555</v>
      </c>
      <c r="AI14" s="178">
        <v>1.27775967212555</v>
      </c>
      <c r="AJ14" s="177"/>
      <c r="AK14" s="177"/>
      <c r="AL14" s="177"/>
      <c r="AM14" s="177"/>
      <c r="AN14" s="177"/>
      <c r="AO14" s="177"/>
      <c r="AP14" s="177"/>
      <c r="AQ14" s="188"/>
      <c r="AR14" s="159"/>
    </row>
    <row r="15" spans="1:44" x14ac:dyDescent="0.25">
      <c r="A15" s="190">
        <f>Z15%*AD15</f>
        <v>530.03641278869748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7"/>
      <c r="O15" s="175"/>
      <c r="P15" s="175"/>
      <c r="Q15" s="175"/>
      <c r="R15" s="175"/>
      <c r="S15" s="175"/>
      <c r="T15" s="175"/>
      <c r="U15" s="175"/>
      <c r="V15" s="172"/>
      <c r="W15" s="172"/>
      <c r="X15" s="173">
        <f t="shared" si="0"/>
        <v>530.03641278869748</v>
      </c>
      <c r="Y15" s="234" t="s">
        <v>461</v>
      </c>
      <c r="Z15" s="187">
        <v>100</v>
      </c>
      <c r="AA15" s="177"/>
      <c r="AB15" s="177"/>
      <c r="AC15" s="188"/>
      <c r="AD15" s="187">
        <f>-SUM(AD16:AD80,AD8:AD14)</f>
        <v>530.03641278869748</v>
      </c>
      <c r="AE15" s="188"/>
      <c r="AF15" s="187"/>
      <c r="AG15" s="188"/>
      <c r="AH15" s="417">
        <f t="shared" ref="AH15:AH52" si="3">SUM(AI15:AQ15)</f>
        <v>0</v>
      </c>
      <c r="AI15" s="187"/>
      <c r="AJ15" s="177"/>
      <c r="AK15" s="177"/>
      <c r="AL15" s="177"/>
      <c r="AM15" s="177"/>
      <c r="AN15" s="177"/>
      <c r="AO15" s="177"/>
      <c r="AP15" s="177"/>
      <c r="AQ15" s="188"/>
      <c r="AR15" s="159"/>
    </row>
    <row r="16" spans="1:44" x14ac:dyDescent="0.25">
      <c r="A16" s="468"/>
      <c r="B16" s="236">
        <v>20.38515701917029</v>
      </c>
      <c r="C16" s="184"/>
      <c r="D16" s="184"/>
      <c r="E16" s="184"/>
      <c r="F16" s="184"/>
      <c r="G16" s="184"/>
      <c r="H16" s="184"/>
      <c r="I16" s="181"/>
      <c r="J16" s="184"/>
      <c r="K16" s="184"/>
      <c r="L16" s="184"/>
      <c r="M16" s="184"/>
      <c r="N16" s="181"/>
      <c r="O16" s="184"/>
      <c r="P16" s="184"/>
      <c r="Q16" s="184"/>
      <c r="R16" s="184"/>
      <c r="S16" s="184"/>
      <c r="T16" s="184"/>
      <c r="U16" s="184"/>
      <c r="V16" s="386"/>
      <c r="W16" s="386"/>
      <c r="X16" s="418">
        <f t="shared" si="0"/>
        <v>20.38515701917029</v>
      </c>
      <c r="Y16" s="237" t="s">
        <v>345</v>
      </c>
      <c r="Z16" s="419"/>
      <c r="AA16" s="181"/>
      <c r="AB16" s="181">
        <v>38</v>
      </c>
      <c r="AC16" s="420"/>
      <c r="AD16" s="419"/>
      <c r="AE16" s="420"/>
      <c r="AF16" s="419"/>
      <c r="AG16" s="420"/>
      <c r="AH16" s="417">
        <f t="shared" si="3"/>
        <v>7.7463596672847101</v>
      </c>
      <c r="AI16" s="183">
        <f>X16*AB16/100*0.2</f>
        <v>1.549271933456942</v>
      </c>
      <c r="AJ16" s="184"/>
      <c r="AK16" s="184"/>
      <c r="AL16" s="184"/>
      <c r="AM16" s="184"/>
      <c r="AN16" s="184">
        <f>X16*AB16/100*0.6</f>
        <v>4.6478158003708261</v>
      </c>
      <c r="AO16" s="184"/>
      <c r="AP16" s="184"/>
      <c r="AQ16" s="185">
        <f>X16*AB16/100*0.2</f>
        <v>1.549271933456942</v>
      </c>
      <c r="AR16" s="159"/>
    </row>
    <row r="17" spans="1:44" x14ac:dyDescent="0.25">
      <c r="A17" s="190"/>
      <c r="B17" s="175"/>
      <c r="C17" s="175"/>
      <c r="D17" s="175"/>
      <c r="E17" s="241">
        <v>88</v>
      </c>
      <c r="F17" s="175"/>
      <c r="G17" s="175"/>
      <c r="H17" s="175"/>
      <c r="I17" s="175"/>
      <c r="J17" s="175"/>
      <c r="K17" s="175"/>
      <c r="L17" s="175"/>
      <c r="M17" s="175"/>
      <c r="N17" s="177"/>
      <c r="O17" s="175"/>
      <c r="P17" s="175"/>
      <c r="Q17" s="175"/>
      <c r="R17" s="175"/>
      <c r="S17" s="175"/>
      <c r="T17" s="175"/>
      <c r="U17" s="175"/>
      <c r="V17" s="175"/>
      <c r="W17" s="175"/>
      <c r="X17" s="173">
        <f t="shared" si="0"/>
        <v>88</v>
      </c>
      <c r="Y17" s="235" t="s">
        <v>346</v>
      </c>
      <c r="Z17" s="187"/>
      <c r="AA17" s="177"/>
      <c r="AB17" s="177">
        <v>80</v>
      </c>
      <c r="AC17" s="188"/>
      <c r="AD17" s="187"/>
      <c r="AE17" s="188"/>
      <c r="AF17" s="187"/>
      <c r="AG17" s="188"/>
      <c r="AH17" s="417">
        <f t="shared" si="3"/>
        <v>70.400000000000006</v>
      </c>
      <c r="AI17" s="178">
        <f t="shared" ref="AI17:AI22" si="4">X17*AB17/100</f>
        <v>70.400000000000006</v>
      </c>
      <c r="AJ17" s="177"/>
      <c r="AK17" s="177"/>
      <c r="AL17" s="177"/>
      <c r="AM17" s="177"/>
      <c r="AN17" s="177"/>
      <c r="AO17" s="177"/>
      <c r="AP17" s="177"/>
      <c r="AQ17" s="188"/>
      <c r="AR17" s="159"/>
    </row>
    <row r="18" spans="1:44" x14ac:dyDescent="0.25">
      <c r="A18" s="190"/>
      <c r="B18" s="175"/>
      <c r="C18" s="175"/>
      <c r="D18" s="175"/>
      <c r="E18" s="175"/>
      <c r="F18" s="175"/>
      <c r="G18" s="175"/>
      <c r="H18" s="175"/>
      <c r="I18" s="175">
        <v>0.69954274921984905</v>
      </c>
      <c r="J18" s="175"/>
      <c r="K18" s="175"/>
      <c r="L18" s="175"/>
      <c r="M18" s="175"/>
      <c r="N18" s="177"/>
      <c r="O18" s="175"/>
      <c r="P18" s="175"/>
      <c r="Q18" s="175"/>
      <c r="R18" s="175"/>
      <c r="S18" s="175"/>
      <c r="T18" s="175"/>
      <c r="U18" s="175"/>
      <c r="V18" s="175"/>
      <c r="W18" s="175"/>
      <c r="X18" s="173">
        <f t="shared" si="0"/>
        <v>0.69954274921984905</v>
      </c>
      <c r="Y18" s="235" t="s">
        <v>347</v>
      </c>
      <c r="Z18" s="187"/>
      <c r="AA18" s="177"/>
      <c r="AB18" s="177">
        <v>85</v>
      </c>
      <c r="AC18" s="188"/>
      <c r="AD18" s="187"/>
      <c r="AE18" s="188"/>
      <c r="AF18" s="187"/>
      <c r="AG18" s="188"/>
      <c r="AH18" s="417">
        <f t="shared" si="3"/>
        <v>0.59461133683687162</v>
      </c>
      <c r="AI18" s="178">
        <f t="shared" si="4"/>
        <v>0.59461133683687162</v>
      </c>
      <c r="AJ18" s="177"/>
      <c r="AK18" s="177"/>
      <c r="AL18" s="177"/>
      <c r="AM18" s="177"/>
      <c r="AN18" s="177"/>
      <c r="AO18" s="177"/>
      <c r="AP18" s="177"/>
      <c r="AQ18" s="188"/>
      <c r="AR18" s="159"/>
    </row>
    <row r="19" spans="1:44" x14ac:dyDescent="0.25">
      <c r="A19" s="190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7"/>
      <c r="O19" s="175"/>
      <c r="P19" s="175"/>
      <c r="Q19" s="175"/>
      <c r="R19" s="175"/>
      <c r="S19" s="254">
        <v>68</v>
      </c>
      <c r="T19" s="175"/>
      <c r="U19" s="175"/>
      <c r="V19" s="175"/>
      <c r="W19" s="175"/>
      <c r="X19" s="173">
        <f t="shared" si="0"/>
        <v>68</v>
      </c>
      <c r="Y19" s="235" t="s">
        <v>348</v>
      </c>
      <c r="Z19" s="187"/>
      <c r="AA19" s="177"/>
      <c r="AB19" s="177">
        <v>75</v>
      </c>
      <c r="AC19" s="188"/>
      <c r="AD19" s="187"/>
      <c r="AE19" s="188"/>
      <c r="AF19" s="187"/>
      <c r="AG19" s="188"/>
      <c r="AH19" s="417">
        <f t="shared" si="3"/>
        <v>51</v>
      </c>
      <c r="AI19" s="178">
        <f t="shared" si="4"/>
        <v>51</v>
      </c>
      <c r="AJ19" s="177"/>
      <c r="AK19" s="177"/>
      <c r="AL19" s="177"/>
      <c r="AM19" s="177"/>
      <c r="AN19" s="177"/>
      <c r="AO19" s="177"/>
      <c r="AP19" s="177"/>
      <c r="AQ19" s="188"/>
      <c r="AR19" s="159"/>
    </row>
    <row r="20" spans="1:44" x14ac:dyDescent="0.25">
      <c r="A20" s="190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7"/>
      <c r="O20" s="175"/>
      <c r="P20" s="175"/>
      <c r="Q20" s="175"/>
      <c r="R20" s="175">
        <v>156</v>
      </c>
      <c r="S20" s="175"/>
      <c r="T20" s="175"/>
      <c r="U20" s="175"/>
      <c r="V20" s="175"/>
      <c r="W20" s="175"/>
      <c r="X20" s="173">
        <f t="shared" si="0"/>
        <v>156</v>
      </c>
      <c r="Y20" s="235" t="s">
        <v>349</v>
      </c>
      <c r="Z20" s="187"/>
      <c r="AA20" s="177"/>
      <c r="AB20" s="177">
        <v>65</v>
      </c>
      <c r="AC20" s="188"/>
      <c r="AD20" s="187"/>
      <c r="AE20" s="188"/>
      <c r="AF20" s="187"/>
      <c r="AG20" s="188"/>
      <c r="AH20" s="417">
        <f t="shared" si="3"/>
        <v>101.4</v>
      </c>
      <c r="AI20" s="178">
        <f t="shared" si="4"/>
        <v>101.4</v>
      </c>
      <c r="AJ20" s="177"/>
      <c r="AK20" s="177"/>
      <c r="AL20" s="177"/>
      <c r="AM20" s="177"/>
      <c r="AN20" s="177"/>
      <c r="AO20" s="177"/>
      <c r="AP20" s="177"/>
      <c r="AQ20" s="188"/>
      <c r="AR20" s="159"/>
    </row>
    <row r="21" spans="1:44" x14ac:dyDescent="0.25">
      <c r="A21" s="190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7"/>
      <c r="O21" s="175"/>
      <c r="P21" s="175"/>
      <c r="Q21" s="175">
        <v>24</v>
      </c>
      <c r="R21" s="175"/>
      <c r="S21" s="175"/>
      <c r="T21" s="175"/>
      <c r="U21" s="175"/>
      <c r="V21" s="175"/>
      <c r="W21" s="175"/>
      <c r="X21" s="173">
        <f t="shared" si="0"/>
        <v>24</v>
      </c>
      <c r="Y21" s="235" t="s">
        <v>350</v>
      </c>
      <c r="Z21" s="187"/>
      <c r="AA21" s="177"/>
      <c r="AB21" s="177">
        <v>65</v>
      </c>
      <c r="AC21" s="188"/>
      <c r="AD21" s="187"/>
      <c r="AE21" s="188"/>
      <c r="AF21" s="187"/>
      <c r="AG21" s="188"/>
      <c r="AH21" s="417">
        <f t="shared" si="3"/>
        <v>15.6</v>
      </c>
      <c r="AI21" s="178">
        <f t="shared" si="4"/>
        <v>15.6</v>
      </c>
      <c r="AJ21" s="177"/>
      <c r="AK21" s="177"/>
      <c r="AL21" s="177"/>
      <c r="AM21" s="177"/>
      <c r="AN21" s="177"/>
      <c r="AO21" s="177"/>
      <c r="AP21" s="177"/>
      <c r="AQ21" s="188"/>
      <c r="AR21" s="159"/>
    </row>
    <row r="22" spans="1:44" x14ac:dyDescent="0.25">
      <c r="A22" s="190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>
        <v>3.000753402947522</v>
      </c>
      <c r="M22" s="175"/>
      <c r="N22" s="177"/>
      <c r="O22" s="175"/>
      <c r="P22" s="175"/>
      <c r="Q22" s="175"/>
      <c r="R22" s="175"/>
      <c r="S22" s="175"/>
      <c r="T22" s="175"/>
      <c r="U22" s="175"/>
      <c r="V22" s="175"/>
      <c r="W22" s="175"/>
      <c r="X22" s="173">
        <f t="shared" si="0"/>
        <v>3.000753402947522</v>
      </c>
      <c r="Y22" s="234" t="s">
        <v>331</v>
      </c>
      <c r="Z22" s="187"/>
      <c r="AA22" s="177"/>
      <c r="AB22" s="177">
        <v>100</v>
      </c>
      <c r="AC22" s="188"/>
      <c r="AD22" s="187"/>
      <c r="AE22" s="188"/>
      <c r="AF22" s="187"/>
      <c r="AG22" s="188"/>
      <c r="AH22" s="417">
        <f t="shared" si="3"/>
        <v>3.000753402947522</v>
      </c>
      <c r="AI22" s="178">
        <f t="shared" si="4"/>
        <v>3.000753402947522</v>
      </c>
      <c r="AJ22" s="177"/>
      <c r="AK22" s="177"/>
      <c r="AL22" s="177"/>
      <c r="AM22" s="177"/>
      <c r="AN22" s="177"/>
      <c r="AO22" s="177"/>
      <c r="AP22" s="177"/>
      <c r="AQ22" s="188"/>
      <c r="AR22" s="159"/>
    </row>
    <row r="23" spans="1:44" x14ac:dyDescent="0.25">
      <c r="A23" s="190"/>
      <c r="B23" s="175"/>
      <c r="C23" s="175"/>
      <c r="D23" s="175"/>
      <c r="E23" s="175">
        <v>21.16664864864865</v>
      </c>
      <c r="F23" s="175"/>
      <c r="G23" s="175"/>
      <c r="H23" s="175"/>
      <c r="I23" s="175"/>
      <c r="J23" s="175"/>
      <c r="K23" s="175"/>
      <c r="L23" s="175"/>
      <c r="M23" s="175"/>
      <c r="N23" s="177"/>
      <c r="O23" s="175"/>
      <c r="P23" s="175"/>
      <c r="Q23" s="175"/>
      <c r="R23" s="175"/>
      <c r="S23" s="175"/>
      <c r="T23" s="175"/>
      <c r="U23" s="175"/>
      <c r="V23" s="175"/>
      <c r="W23" s="175"/>
      <c r="X23" s="173">
        <f t="shared" si="0"/>
        <v>21.16664864864865</v>
      </c>
      <c r="Y23" s="235" t="s">
        <v>292</v>
      </c>
      <c r="Z23" s="187"/>
      <c r="AA23" s="177">
        <v>90</v>
      </c>
      <c r="AB23" s="177"/>
      <c r="AC23" s="188"/>
      <c r="AD23" s="187"/>
      <c r="AE23" s="188"/>
      <c r="AF23" s="187"/>
      <c r="AG23" s="188"/>
      <c r="AH23" s="417">
        <f t="shared" si="3"/>
        <v>19.049983783783784</v>
      </c>
      <c r="AI23" s="178"/>
      <c r="AJ23" s="177"/>
      <c r="AK23" s="177"/>
      <c r="AL23" s="177"/>
      <c r="AM23" s="177"/>
      <c r="AN23" s="177">
        <f>X23*AA23/100</f>
        <v>19.049983783783784</v>
      </c>
      <c r="AO23" s="177"/>
      <c r="AP23" s="177"/>
      <c r="AQ23" s="188"/>
      <c r="AR23" s="159"/>
    </row>
    <row r="24" spans="1:44" x14ac:dyDescent="0.25">
      <c r="A24" s="190"/>
      <c r="B24" s="175"/>
      <c r="C24" s="175"/>
      <c r="D24" s="175"/>
      <c r="E24" s="175"/>
      <c r="F24" s="175"/>
      <c r="G24" s="175"/>
      <c r="H24" s="175"/>
      <c r="I24" s="175">
        <v>378.82928581078011</v>
      </c>
      <c r="J24" s="175"/>
      <c r="K24" s="175"/>
      <c r="L24" s="175"/>
      <c r="M24" s="175"/>
      <c r="N24" s="177"/>
      <c r="O24" s="175"/>
      <c r="P24" s="175"/>
      <c r="Q24" s="175"/>
      <c r="R24" s="175"/>
      <c r="S24" s="175"/>
      <c r="T24" s="175"/>
      <c r="U24" s="175"/>
      <c r="V24" s="175"/>
      <c r="W24" s="175"/>
      <c r="X24" s="173">
        <f t="shared" si="0"/>
        <v>378.82928581078011</v>
      </c>
      <c r="Y24" s="235" t="s">
        <v>294</v>
      </c>
      <c r="Z24" s="187"/>
      <c r="AA24" s="177">
        <v>90</v>
      </c>
      <c r="AB24" s="177"/>
      <c r="AC24" s="188"/>
      <c r="AD24" s="187"/>
      <c r="AE24" s="188"/>
      <c r="AF24" s="187"/>
      <c r="AG24" s="188"/>
      <c r="AH24" s="417">
        <f t="shared" si="3"/>
        <v>340.94635722970213</v>
      </c>
      <c r="AI24" s="178"/>
      <c r="AJ24" s="177"/>
      <c r="AK24" s="177"/>
      <c r="AL24" s="177"/>
      <c r="AM24" s="177"/>
      <c r="AN24" s="177">
        <f>X24*AA24/100</f>
        <v>340.94635722970213</v>
      </c>
      <c r="AO24" s="177"/>
      <c r="AP24" s="177"/>
      <c r="AQ24" s="188"/>
      <c r="AR24" s="159"/>
    </row>
    <row r="25" spans="1:44" x14ac:dyDescent="0.25">
      <c r="A25" s="190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3"/>
      <c r="Y25" s="235" t="s">
        <v>296</v>
      </c>
      <c r="Z25" s="187"/>
      <c r="AA25" s="177">
        <v>90</v>
      </c>
      <c r="AB25" s="177"/>
      <c r="AC25" s="188"/>
      <c r="AD25" s="187"/>
      <c r="AE25" s="188"/>
      <c r="AF25" s="187"/>
      <c r="AG25" s="188"/>
      <c r="AH25" s="417">
        <f t="shared" si="3"/>
        <v>0</v>
      </c>
      <c r="AI25" s="178"/>
      <c r="AJ25" s="177"/>
      <c r="AK25" s="177"/>
      <c r="AL25" s="177"/>
      <c r="AM25" s="177"/>
      <c r="AN25" s="177">
        <f>X25*AA25/100</f>
        <v>0</v>
      </c>
      <c r="AO25" s="177"/>
      <c r="AP25" s="177"/>
      <c r="AQ25" s="188"/>
      <c r="AR25" s="255"/>
    </row>
    <row r="26" spans="1:44" x14ac:dyDescent="0.25">
      <c r="A26" s="190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>
        <v>15.6</v>
      </c>
      <c r="M26" s="175"/>
      <c r="N26" s="177"/>
      <c r="O26" s="175"/>
      <c r="P26" s="175"/>
      <c r="Q26" s="175"/>
      <c r="R26" s="175"/>
      <c r="S26" s="175"/>
      <c r="T26" s="175"/>
      <c r="U26" s="175"/>
      <c r="V26" s="175"/>
      <c r="W26" s="175"/>
      <c r="X26" s="173">
        <f t="shared" si="0"/>
        <v>15.6</v>
      </c>
      <c r="Y26" s="234" t="s">
        <v>131</v>
      </c>
      <c r="Z26" s="177">
        <v>100</v>
      </c>
      <c r="AA26" s="177"/>
      <c r="AB26" s="177"/>
      <c r="AC26" s="188"/>
      <c r="AD26" s="187">
        <f>X26*Z26/100</f>
        <v>15.6</v>
      </c>
      <c r="AE26" s="188"/>
      <c r="AF26" s="187"/>
      <c r="AG26" s="188"/>
      <c r="AH26" s="417">
        <f t="shared" si="3"/>
        <v>0</v>
      </c>
      <c r="AI26" s="178"/>
      <c r="AJ26" s="177"/>
      <c r="AK26" s="177"/>
      <c r="AL26" s="177"/>
      <c r="AM26" s="177"/>
      <c r="AN26" s="177"/>
      <c r="AO26" s="177"/>
      <c r="AP26" s="177"/>
      <c r="AQ26" s="188"/>
      <c r="AR26" s="159"/>
    </row>
    <row r="27" spans="1:44" x14ac:dyDescent="0.25">
      <c r="A27" s="190"/>
      <c r="B27" s="175"/>
      <c r="C27" s="175"/>
      <c r="D27" s="175"/>
      <c r="E27" s="175"/>
      <c r="F27" s="175"/>
      <c r="G27" s="175"/>
      <c r="H27" s="175"/>
      <c r="I27" s="175"/>
      <c r="J27" s="175">
        <v>50</v>
      </c>
      <c r="K27" s="175"/>
      <c r="L27" s="175"/>
      <c r="M27" s="175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3">
        <f t="shared" si="0"/>
        <v>50</v>
      </c>
      <c r="Y27" s="235" t="s">
        <v>135</v>
      </c>
      <c r="Z27" s="177">
        <v>100</v>
      </c>
      <c r="AA27" s="177"/>
      <c r="AB27" s="177"/>
      <c r="AC27" s="188"/>
      <c r="AD27" s="187">
        <f>Z27*X27/100</f>
        <v>50</v>
      </c>
      <c r="AE27" s="188"/>
      <c r="AF27" s="187"/>
      <c r="AG27" s="188"/>
      <c r="AH27" s="417">
        <f t="shared" si="3"/>
        <v>0</v>
      </c>
      <c r="AI27" s="178"/>
      <c r="AJ27" s="177"/>
      <c r="AK27" s="177"/>
      <c r="AL27" s="177"/>
      <c r="AM27" s="177"/>
      <c r="AN27" s="177"/>
      <c r="AO27" s="177"/>
      <c r="AP27" s="177"/>
      <c r="AQ27" s="188"/>
      <c r="AR27" s="159"/>
    </row>
    <row r="28" spans="1:44" x14ac:dyDescent="0.25">
      <c r="A28" s="190"/>
      <c r="B28" s="175"/>
      <c r="C28" s="175"/>
      <c r="D28" s="175"/>
      <c r="E28" s="175"/>
      <c r="F28" s="175"/>
      <c r="G28" s="175"/>
      <c r="H28" s="175"/>
      <c r="I28" s="175"/>
      <c r="J28" s="238"/>
      <c r="K28" s="175"/>
      <c r="L28" s="175"/>
      <c r="M28" s="175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3">
        <f t="shared" si="0"/>
        <v>0</v>
      </c>
      <c r="Y28" s="235" t="s">
        <v>137</v>
      </c>
      <c r="Z28" s="187">
        <v>100</v>
      </c>
      <c r="AA28" s="177"/>
      <c r="AB28" s="177"/>
      <c r="AC28" s="188"/>
      <c r="AD28" s="187">
        <f>Z28*X28/100</f>
        <v>0</v>
      </c>
      <c r="AE28" s="188"/>
      <c r="AF28" s="187"/>
      <c r="AG28" s="188"/>
      <c r="AH28" s="417">
        <f t="shared" si="3"/>
        <v>0</v>
      </c>
      <c r="AI28" s="178"/>
      <c r="AJ28" s="177"/>
      <c r="AK28" s="177"/>
      <c r="AL28" s="177"/>
      <c r="AM28" s="177"/>
      <c r="AN28" s="177"/>
      <c r="AO28" s="177"/>
      <c r="AP28" s="177"/>
      <c r="AQ28" s="188"/>
      <c r="AR28" s="159"/>
    </row>
    <row r="29" spans="1:44" x14ac:dyDescent="0.25">
      <c r="A29" s="190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3">
        <f t="shared" si="0"/>
        <v>0</v>
      </c>
      <c r="Y29" s="234" t="s">
        <v>139</v>
      </c>
      <c r="Z29" s="177">
        <v>100</v>
      </c>
      <c r="AA29" s="177"/>
      <c r="AB29" s="177"/>
      <c r="AC29" s="188"/>
      <c r="AD29" s="187">
        <f>Z29*X29/100</f>
        <v>0</v>
      </c>
      <c r="AE29" s="188"/>
      <c r="AF29" s="187"/>
      <c r="AG29" s="188"/>
      <c r="AH29" s="417">
        <f t="shared" si="3"/>
        <v>0</v>
      </c>
      <c r="AI29" s="178"/>
      <c r="AJ29" s="177"/>
      <c r="AK29" s="177"/>
      <c r="AL29" s="177"/>
      <c r="AM29" s="177"/>
      <c r="AN29" s="177"/>
      <c r="AO29" s="177"/>
      <c r="AP29" s="177"/>
      <c r="AQ29" s="188"/>
      <c r="AR29" s="159"/>
    </row>
    <row r="30" spans="1:44" x14ac:dyDescent="0.25">
      <c r="A30" s="190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3">
        <f t="shared" si="0"/>
        <v>0</v>
      </c>
      <c r="Y30" s="234" t="s">
        <v>141</v>
      </c>
      <c r="Z30" s="177">
        <v>100</v>
      </c>
      <c r="AA30" s="177"/>
      <c r="AB30" s="177"/>
      <c r="AC30" s="188"/>
      <c r="AD30" s="187">
        <f>Z30*X30/100</f>
        <v>0</v>
      </c>
      <c r="AE30" s="188"/>
      <c r="AF30" s="187"/>
      <c r="AG30" s="188"/>
      <c r="AH30" s="417">
        <f t="shared" si="3"/>
        <v>0</v>
      </c>
      <c r="AI30" s="178"/>
      <c r="AJ30" s="177"/>
      <c r="AK30" s="177"/>
      <c r="AL30" s="177"/>
      <c r="AM30" s="177"/>
      <c r="AN30" s="177"/>
      <c r="AO30" s="177"/>
      <c r="AP30" s="177"/>
      <c r="AQ30" s="188"/>
      <c r="AR30" s="159"/>
    </row>
    <row r="31" spans="1:44" x14ac:dyDescent="0.25">
      <c r="A31" s="174"/>
      <c r="B31" s="177"/>
      <c r="C31" s="177"/>
      <c r="D31" s="177"/>
      <c r="E31" s="177"/>
      <c r="F31" s="177"/>
      <c r="G31" s="177"/>
      <c r="H31" s="177"/>
      <c r="I31" s="177">
        <f>-(O31+T31)*AA31%</f>
        <v>0</v>
      </c>
      <c r="J31" s="238"/>
      <c r="K31" s="175"/>
      <c r="L31" s="175"/>
      <c r="M31" s="175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3">
        <f t="shared" si="0"/>
        <v>0</v>
      </c>
      <c r="Y31" s="239" t="s">
        <v>462</v>
      </c>
      <c r="Z31" s="174"/>
      <c r="AA31" s="175"/>
      <c r="AB31" s="175"/>
      <c r="AC31" s="176"/>
      <c r="AD31" s="190"/>
      <c r="AE31" s="176"/>
      <c r="AF31" s="190"/>
      <c r="AG31" s="176"/>
      <c r="AH31" s="421"/>
      <c r="AI31" s="174"/>
      <c r="AJ31" s="175"/>
      <c r="AK31" s="175"/>
      <c r="AL31" s="175"/>
      <c r="AM31" s="175"/>
      <c r="AN31" s="175"/>
      <c r="AO31" s="175"/>
      <c r="AP31" s="175"/>
      <c r="AQ31" s="176"/>
      <c r="AR31" s="159"/>
    </row>
    <row r="32" spans="1:44" x14ac:dyDescent="0.2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3">
        <f t="shared" si="0"/>
        <v>0</v>
      </c>
      <c r="Y32" s="239" t="s">
        <v>463</v>
      </c>
      <c r="Z32" s="190"/>
      <c r="AA32" s="175"/>
      <c r="AB32" s="175"/>
      <c r="AC32" s="176"/>
      <c r="AD32" s="187">
        <f>X32*Z32/100</f>
        <v>0</v>
      </c>
      <c r="AE32" s="188"/>
      <c r="AF32" s="187">
        <f>X32*AB32/100</f>
        <v>0</v>
      </c>
      <c r="AG32" s="188"/>
      <c r="AH32" s="417">
        <f>SUM(AI32:AQ32)</f>
        <v>0</v>
      </c>
      <c r="AI32" s="178"/>
      <c r="AJ32" s="175"/>
      <c r="AK32" s="175"/>
      <c r="AL32" s="175"/>
      <c r="AM32" s="175"/>
      <c r="AN32" s="175"/>
      <c r="AO32" s="175"/>
      <c r="AP32" s="175"/>
      <c r="AQ32" s="188"/>
      <c r="AR32" s="159"/>
    </row>
    <row r="33" spans="1:44" x14ac:dyDescent="0.2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241"/>
      <c r="O33" s="175"/>
      <c r="P33" s="175"/>
      <c r="Q33" s="175"/>
      <c r="R33" s="175"/>
      <c r="S33" s="175"/>
      <c r="T33" s="175"/>
      <c r="U33" s="175"/>
      <c r="V33" s="175"/>
      <c r="W33" s="175"/>
      <c r="X33" s="173">
        <f t="shared" si="0"/>
        <v>0</v>
      </c>
      <c r="Y33" s="234" t="s">
        <v>145</v>
      </c>
      <c r="Z33" s="190">
        <v>34.4</v>
      </c>
      <c r="AA33" s="175"/>
      <c r="AB33" s="175">
        <v>51.6</v>
      </c>
      <c r="AC33" s="188"/>
      <c r="AD33" s="187">
        <f>X33*Z33/100</f>
        <v>0</v>
      </c>
      <c r="AE33" s="188"/>
      <c r="AF33" s="187">
        <f>X33*AB33/100</f>
        <v>0</v>
      </c>
      <c r="AG33" s="188"/>
      <c r="AH33" s="417">
        <f t="shared" si="3"/>
        <v>0</v>
      </c>
      <c r="AI33" s="178"/>
      <c r="AJ33" s="177"/>
      <c r="AK33" s="177"/>
      <c r="AL33" s="177"/>
      <c r="AM33" s="177"/>
      <c r="AN33" s="177"/>
      <c r="AO33" s="177"/>
      <c r="AP33" s="177"/>
      <c r="AQ33" s="188"/>
      <c r="AR33" s="159"/>
    </row>
    <row r="34" spans="1:44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241"/>
      <c r="O34" s="175"/>
      <c r="P34" s="175"/>
      <c r="Q34" s="175"/>
      <c r="R34" s="175"/>
      <c r="S34" s="175"/>
      <c r="T34" s="175"/>
      <c r="U34" s="175"/>
      <c r="V34" s="175"/>
      <c r="W34" s="175"/>
      <c r="X34" s="173">
        <f t="shared" si="0"/>
        <v>0</v>
      </c>
      <c r="Y34" s="234" t="s">
        <v>147</v>
      </c>
      <c r="Z34" s="190"/>
      <c r="AA34" s="175"/>
      <c r="AB34" s="175">
        <v>0</v>
      </c>
      <c r="AC34" s="188"/>
      <c r="AD34" s="187">
        <f>X34*Z34/100</f>
        <v>0</v>
      </c>
      <c r="AE34" s="188"/>
      <c r="AF34" s="187">
        <f>X34*AB34</f>
        <v>0</v>
      </c>
      <c r="AG34" s="188"/>
      <c r="AH34" s="417">
        <f t="shared" si="3"/>
        <v>0</v>
      </c>
      <c r="AI34" s="178"/>
      <c r="AJ34" s="177"/>
      <c r="AK34" s="177"/>
      <c r="AL34" s="177"/>
      <c r="AM34" s="177"/>
      <c r="AN34" s="177"/>
      <c r="AO34" s="177"/>
      <c r="AP34" s="177"/>
      <c r="AQ34" s="188"/>
      <c r="AR34" s="159"/>
    </row>
    <row r="35" spans="1:44" x14ac:dyDescent="0.25">
      <c r="A35" s="175"/>
      <c r="B35" s="175"/>
      <c r="C35" s="175"/>
      <c r="D35" s="175"/>
      <c r="E35" s="193"/>
      <c r="F35" s="175"/>
      <c r="G35" s="175"/>
      <c r="H35" s="175"/>
      <c r="I35" s="175"/>
      <c r="J35" s="175"/>
      <c r="K35" s="175"/>
      <c r="L35" s="175"/>
      <c r="M35" s="175"/>
      <c r="N35" s="241"/>
      <c r="O35" s="175"/>
      <c r="P35" s="175"/>
      <c r="Q35" s="175"/>
      <c r="R35" s="175"/>
      <c r="S35" s="175"/>
      <c r="T35" s="175"/>
      <c r="U35" s="175"/>
      <c r="V35" s="175"/>
      <c r="W35" s="175"/>
      <c r="X35" s="173">
        <f t="shared" si="0"/>
        <v>0</v>
      </c>
      <c r="Y35" s="234" t="s">
        <v>149</v>
      </c>
      <c r="Z35" s="190"/>
      <c r="AA35" s="175"/>
      <c r="AB35" s="175">
        <v>0</v>
      </c>
      <c r="AC35" s="188"/>
      <c r="AD35" s="187">
        <f>X35*Z35/100</f>
        <v>0</v>
      </c>
      <c r="AE35" s="188"/>
      <c r="AF35" s="187">
        <f>X35*AB35</f>
        <v>0</v>
      </c>
      <c r="AG35" s="188"/>
      <c r="AH35" s="417">
        <f t="shared" si="3"/>
        <v>0</v>
      </c>
      <c r="AI35" s="178"/>
      <c r="AJ35" s="177"/>
      <c r="AK35" s="177"/>
      <c r="AL35" s="177"/>
      <c r="AM35" s="177"/>
      <c r="AN35" s="177"/>
      <c r="AO35" s="177"/>
      <c r="AP35" s="177"/>
      <c r="AQ35" s="188"/>
      <c r="AR35" s="159"/>
    </row>
    <row r="36" spans="1:44" x14ac:dyDescent="0.2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241"/>
      <c r="O36" s="175"/>
      <c r="P36" s="175"/>
      <c r="Q36" s="175"/>
      <c r="R36" s="175"/>
      <c r="S36" s="175"/>
      <c r="T36" s="175"/>
      <c r="U36" s="175"/>
      <c r="V36" s="175"/>
      <c r="W36" s="175"/>
      <c r="X36" s="173">
        <f t="shared" si="0"/>
        <v>0</v>
      </c>
      <c r="Y36" s="234" t="s">
        <v>151</v>
      </c>
      <c r="Z36" s="190"/>
      <c r="AA36" s="175"/>
      <c r="AB36" s="175"/>
      <c r="AC36" s="188"/>
      <c r="AD36" s="187"/>
      <c r="AE36" s="188"/>
      <c r="AF36" s="187">
        <f>X36*AB36/100</f>
        <v>0</v>
      </c>
      <c r="AG36" s="188"/>
      <c r="AH36" s="417">
        <f t="shared" si="3"/>
        <v>0</v>
      </c>
      <c r="AI36" s="178"/>
      <c r="AJ36" s="177"/>
      <c r="AK36" s="177"/>
      <c r="AL36" s="177"/>
      <c r="AM36" s="177"/>
      <c r="AN36" s="177"/>
      <c r="AO36" s="177"/>
      <c r="AP36" s="177"/>
      <c r="AQ36" s="188"/>
      <c r="AR36" s="159"/>
    </row>
    <row r="37" spans="1:44" x14ac:dyDescent="0.25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7">
        <f>AF37-AE37</f>
        <v>0</v>
      </c>
      <c r="O37" s="175"/>
      <c r="P37" s="175"/>
      <c r="Q37" s="175"/>
      <c r="R37" s="175"/>
      <c r="S37" s="175"/>
      <c r="T37" s="175"/>
      <c r="U37" s="175"/>
      <c r="V37" s="175"/>
      <c r="W37" s="175"/>
      <c r="X37" s="173">
        <f t="shared" si="0"/>
        <v>0</v>
      </c>
      <c r="Y37" s="239" t="s">
        <v>153</v>
      </c>
      <c r="Z37" s="187"/>
      <c r="AA37" s="177"/>
      <c r="AB37" s="177"/>
      <c r="AC37" s="188"/>
      <c r="AD37" s="190">
        <f>-AE37/$D$2%</f>
        <v>0</v>
      </c>
      <c r="AE37" s="194"/>
      <c r="AF37" s="195">
        <f>AE37*AB37%</f>
        <v>0</v>
      </c>
      <c r="AG37" s="176"/>
      <c r="AH37" s="421"/>
      <c r="AI37" s="174"/>
      <c r="AJ37" s="174"/>
      <c r="AK37" s="175"/>
      <c r="AL37" s="175"/>
      <c r="AM37" s="175"/>
      <c r="AN37" s="175"/>
      <c r="AO37" s="175"/>
      <c r="AP37" s="175"/>
      <c r="AQ37" s="176"/>
      <c r="AR37" s="159"/>
    </row>
    <row r="38" spans="1:44" x14ac:dyDescent="0.25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3">
        <f t="shared" si="0"/>
        <v>0</v>
      </c>
      <c r="Y38" s="239" t="s">
        <v>155</v>
      </c>
      <c r="Z38" s="187"/>
      <c r="AA38" s="177"/>
      <c r="AB38" s="177"/>
      <c r="AC38" s="188"/>
      <c r="AD38" s="190">
        <f>-AE38/$D$2%</f>
        <v>0</v>
      </c>
      <c r="AE38" s="188"/>
      <c r="AF38" s="187">
        <f>AE38*AB38%</f>
        <v>0</v>
      </c>
      <c r="AG38" s="176"/>
      <c r="AH38" s="421"/>
      <c r="AI38" s="174"/>
      <c r="AJ38" s="174"/>
      <c r="AK38" s="175"/>
      <c r="AL38" s="175"/>
      <c r="AM38" s="175"/>
      <c r="AN38" s="175"/>
      <c r="AO38" s="175"/>
      <c r="AP38" s="175"/>
      <c r="AQ38" s="176"/>
      <c r="AR38" s="159"/>
    </row>
    <row r="39" spans="1:44" x14ac:dyDescent="0.25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241"/>
      <c r="O39" s="175"/>
      <c r="P39" s="175"/>
      <c r="Q39" s="175"/>
      <c r="R39" s="175"/>
      <c r="S39" s="175"/>
      <c r="T39" s="175"/>
      <c r="U39" s="175"/>
      <c r="V39" s="175"/>
      <c r="W39" s="175"/>
      <c r="X39" s="173">
        <f t="shared" si="0"/>
        <v>0</v>
      </c>
      <c r="Y39" s="235" t="s">
        <v>157</v>
      </c>
      <c r="Z39" s="190"/>
      <c r="AA39" s="175"/>
      <c r="AB39" s="175"/>
      <c r="AC39" s="176">
        <v>77.2</v>
      </c>
      <c r="AD39" s="187"/>
      <c r="AE39" s="188"/>
      <c r="AF39" s="187">
        <f>-SUM(AF33:AF36)</f>
        <v>0</v>
      </c>
      <c r="AG39" s="188">
        <f>-AF39*AC39/100</f>
        <v>0</v>
      </c>
      <c r="AH39" s="417">
        <f t="shared" si="3"/>
        <v>0</v>
      </c>
      <c r="AI39" s="178">
        <f>AG39*64.5%</f>
        <v>0</v>
      </c>
      <c r="AJ39" s="178">
        <f>AG39*9.9%</f>
        <v>0</v>
      </c>
      <c r="AK39" s="177">
        <f>AG39*13%</f>
        <v>0</v>
      </c>
      <c r="AL39" s="177">
        <f>AG39*6.9%</f>
        <v>0</v>
      </c>
      <c r="AM39" s="177">
        <f>AG39*0%</f>
        <v>0</v>
      </c>
      <c r="AN39" s="177">
        <f>AG39*4.1%</f>
        <v>0</v>
      </c>
      <c r="AO39" s="177">
        <f>AG39*1.7%</f>
        <v>0</v>
      </c>
      <c r="AP39" s="177"/>
      <c r="AQ39" s="188"/>
      <c r="AR39" s="159"/>
    </row>
    <row r="40" spans="1:44" x14ac:dyDescent="0.25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241"/>
      <c r="O40" s="175"/>
      <c r="P40" s="175"/>
      <c r="Q40" s="175"/>
      <c r="R40" s="175"/>
      <c r="S40" s="175"/>
      <c r="T40" s="175"/>
      <c r="U40" s="175"/>
      <c r="V40" s="175"/>
      <c r="W40" s="175"/>
      <c r="X40" s="173">
        <f t="shared" si="0"/>
        <v>0</v>
      </c>
      <c r="Y40" s="234" t="s">
        <v>163</v>
      </c>
      <c r="Z40" s="190"/>
      <c r="AA40" s="175"/>
      <c r="AB40" s="175"/>
      <c r="AC40" s="176"/>
      <c r="AD40" s="187">
        <f>X40*Z40/100</f>
        <v>0</v>
      </c>
      <c r="AE40" s="188"/>
      <c r="AF40" s="187">
        <f>X40*AB40/100</f>
        <v>0</v>
      </c>
      <c r="AG40" s="188"/>
      <c r="AH40" s="417">
        <f t="shared" si="3"/>
        <v>0</v>
      </c>
      <c r="AI40" s="174"/>
      <c r="AJ40" s="175"/>
      <c r="AK40" s="175"/>
      <c r="AL40" s="175"/>
      <c r="AM40" s="175"/>
      <c r="AN40" s="175"/>
      <c r="AO40" s="175"/>
      <c r="AP40" s="177"/>
      <c r="AQ40" s="188"/>
      <c r="AR40" s="159"/>
    </row>
    <row r="41" spans="1:44" x14ac:dyDescent="0.25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241"/>
      <c r="O41" s="175"/>
      <c r="P41" s="175"/>
      <c r="Q41" s="175"/>
      <c r="R41" s="175"/>
      <c r="S41" s="175"/>
      <c r="T41" s="175"/>
      <c r="U41" s="175"/>
      <c r="V41" s="175"/>
      <c r="W41" s="175"/>
      <c r="X41" s="173">
        <f t="shared" si="0"/>
        <v>0</v>
      </c>
      <c r="Y41" s="234" t="s">
        <v>165</v>
      </c>
      <c r="Z41" s="190"/>
      <c r="AA41" s="175"/>
      <c r="AB41" s="175"/>
      <c r="AC41" s="176"/>
      <c r="AD41" s="187">
        <f>X41*Z41/100</f>
        <v>0</v>
      </c>
      <c r="AE41" s="188"/>
      <c r="AF41" s="187">
        <f>X41*AB41/100</f>
        <v>0</v>
      </c>
      <c r="AG41" s="188"/>
      <c r="AH41" s="417">
        <f t="shared" si="3"/>
        <v>0</v>
      </c>
      <c r="AI41" s="174"/>
      <c r="AJ41" s="175"/>
      <c r="AK41" s="175"/>
      <c r="AL41" s="175"/>
      <c r="AM41" s="175"/>
      <c r="AN41" s="175"/>
      <c r="AO41" s="175"/>
      <c r="AP41" s="177"/>
      <c r="AQ41" s="188"/>
      <c r="AR41" s="159"/>
    </row>
    <row r="42" spans="1:44" x14ac:dyDescent="0.25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241"/>
      <c r="O42" s="175"/>
      <c r="P42" s="175"/>
      <c r="Q42" s="175"/>
      <c r="R42" s="175"/>
      <c r="S42" s="175"/>
      <c r="T42" s="175"/>
      <c r="U42" s="175"/>
      <c r="V42" s="175"/>
      <c r="W42" s="175"/>
      <c r="X42" s="173">
        <f t="shared" si="0"/>
        <v>0</v>
      </c>
      <c r="Y42" s="234" t="s">
        <v>167</v>
      </c>
      <c r="Z42" s="190"/>
      <c r="AA42" s="175"/>
      <c r="AB42" s="175"/>
      <c r="AC42" s="176"/>
      <c r="AD42" s="187">
        <f>X42*Z42/100</f>
        <v>0</v>
      </c>
      <c r="AE42" s="188"/>
      <c r="AF42" s="187">
        <f>X42*AB42/100</f>
        <v>0</v>
      </c>
      <c r="AG42" s="188"/>
      <c r="AH42" s="417">
        <f t="shared" si="3"/>
        <v>0</v>
      </c>
      <c r="AI42" s="174"/>
      <c r="AJ42" s="175"/>
      <c r="AK42" s="175"/>
      <c r="AL42" s="175"/>
      <c r="AM42" s="175"/>
      <c r="AN42" s="175"/>
      <c r="AO42" s="175"/>
      <c r="AP42" s="177"/>
      <c r="AQ42" s="188"/>
      <c r="AR42" s="159"/>
    </row>
    <row r="43" spans="1:44" x14ac:dyDescent="0.25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241"/>
      <c r="O43" s="175"/>
      <c r="P43" s="175"/>
      <c r="Q43" s="175"/>
      <c r="R43" s="175"/>
      <c r="S43" s="175"/>
      <c r="T43" s="175"/>
      <c r="U43" s="175"/>
      <c r="V43" s="175"/>
      <c r="W43" s="175"/>
      <c r="X43" s="173">
        <f t="shared" si="0"/>
        <v>0</v>
      </c>
      <c r="Y43" s="235" t="s">
        <v>169</v>
      </c>
      <c r="Z43" s="190"/>
      <c r="AA43" s="175"/>
      <c r="AB43" s="175"/>
      <c r="AC43" s="176">
        <v>77.2</v>
      </c>
      <c r="AD43" s="187"/>
      <c r="AE43" s="188"/>
      <c r="AF43" s="187">
        <f>-SUM(AF40:AF42)</f>
        <v>0</v>
      </c>
      <c r="AG43" s="188">
        <f>-AF43*AC43/100</f>
        <v>0</v>
      </c>
      <c r="AH43" s="417">
        <f t="shared" si="3"/>
        <v>0</v>
      </c>
      <c r="AI43" s="178">
        <f>AG43*64.5%</f>
        <v>0</v>
      </c>
      <c r="AJ43" s="178">
        <f>AG43*9.9%</f>
        <v>0</v>
      </c>
      <c r="AK43" s="177">
        <f>AG43*13%</f>
        <v>0</v>
      </c>
      <c r="AL43" s="177">
        <f>AG43*6.9%</f>
        <v>0</v>
      </c>
      <c r="AM43" s="177">
        <f>AG43*0%</f>
        <v>0</v>
      </c>
      <c r="AN43" s="177">
        <f>AG43*4.1%</f>
        <v>0</v>
      </c>
      <c r="AO43" s="177">
        <f>AG43*1.7%</f>
        <v>0</v>
      </c>
      <c r="AP43" s="177"/>
      <c r="AQ43" s="188"/>
      <c r="AR43" s="159"/>
    </row>
    <row r="44" spans="1:44" x14ac:dyDescent="0.25">
      <c r="A44" s="175"/>
      <c r="B44" s="175"/>
      <c r="C44" s="422"/>
      <c r="D44" s="175"/>
      <c r="E44" s="422"/>
      <c r="F44" s="175"/>
      <c r="G44" s="175"/>
      <c r="H44" s="175"/>
      <c r="I44" s="138"/>
      <c r="J44" s="175"/>
      <c r="K44" s="175"/>
      <c r="L44" s="175"/>
      <c r="M44" s="175"/>
      <c r="N44" s="241"/>
      <c r="O44" s="175"/>
      <c r="P44" s="175"/>
      <c r="Q44" s="175"/>
      <c r="R44" s="175"/>
      <c r="S44" s="175"/>
      <c r="T44" s="175"/>
      <c r="U44" s="175"/>
      <c r="V44" s="175"/>
      <c r="W44" s="175"/>
      <c r="X44" s="173">
        <f t="shared" si="0"/>
        <v>0</v>
      </c>
      <c r="Y44" s="234" t="s">
        <v>173</v>
      </c>
      <c r="Z44" s="190"/>
      <c r="AA44" s="175"/>
      <c r="AB44" s="175"/>
      <c r="AC44" s="176"/>
      <c r="AD44" s="187">
        <f>X44*Z44/100</f>
        <v>0</v>
      </c>
      <c r="AE44" s="188"/>
      <c r="AF44" s="187">
        <f t="shared" ref="AF44:AF51" si="5">X44*AB44/100</f>
        <v>0</v>
      </c>
      <c r="AG44" s="188"/>
      <c r="AH44" s="417">
        <f t="shared" si="3"/>
        <v>0</v>
      </c>
      <c r="AI44" s="178"/>
      <c r="AJ44" s="177"/>
      <c r="AK44" s="177"/>
      <c r="AL44" s="177"/>
      <c r="AM44" s="177"/>
      <c r="AN44" s="177"/>
      <c r="AO44" s="177"/>
      <c r="AP44" s="177"/>
      <c r="AQ44" s="188"/>
      <c r="AR44" s="159"/>
    </row>
    <row r="45" spans="1:44" x14ac:dyDescent="0.25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241"/>
      <c r="O45" s="175"/>
      <c r="P45" s="175"/>
      <c r="Q45" s="175"/>
      <c r="R45" s="175"/>
      <c r="S45" s="175"/>
      <c r="T45" s="175"/>
      <c r="U45" s="175"/>
      <c r="V45" s="175"/>
      <c r="W45" s="175"/>
      <c r="X45" s="173">
        <f t="shared" si="0"/>
        <v>0</v>
      </c>
      <c r="Y45" s="234" t="s">
        <v>175</v>
      </c>
      <c r="Z45" s="190"/>
      <c r="AA45" s="175"/>
      <c r="AB45" s="175"/>
      <c r="AC45" s="176"/>
      <c r="AD45" s="187">
        <f>X45*Z45/100</f>
        <v>0</v>
      </c>
      <c r="AE45" s="188"/>
      <c r="AF45" s="187">
        <f t="shared" si="5"/>
        <v>0</v>
      </c>
      <c r="AG45" s="188"/>
      <c r="AH45" s="417">
        <f t="shared" si="3"/>
        <v>0</v>
      </c>
      <c r="AI45" s="178"/>
      <c r="AJ45" s="177"/>
      <c r="AK45" s="177"/>
      <c r="AL45" s="177"/>
      <c r="AM45" s="177"/>
      <c r="AN45" s="177"/>
      <c r="AO45" s="177"/>
      <c r="AP45" s="177"/>
      <c r="AQ45" s="188"/>
      <c r="AR45" s="159"/>
    </row>
    <row r="46" spans="1:44" x14ac:dyDescent="0.25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241"/>
      <c r="O46" s="175"/>
      <c r="P46" s="175"/>
      <c r="Q46" s="175"/>
      <c r="R46" s="175"/>
      <c r="S46" s="423"/>
      <c r="T46" s="175"/>
      <c r="U46" s="175"/>
      <c r="V46" s="175"/>
      <c r="W46" s="175"/>
      <c r="X46" s="173">
        <f t="shared" si="0"/>
        <v>0</v>
      </c>
      <c r="Y46" s="235" t="s">
        <v>177</v>
      </c>
      <c r="Z46" s="190"/>
      <c r="AA46" s="175"/>
      <c r="AB46" s="175"/>
      <c r="AC46" s="176"/>
      <c r="AD46" s="187">
        <f>X46*Z46/100</f>
        <v>0</v>
      </c>
      <c r="AE46" s="188"/>
      <c r="AF46" s="187">
        <f t="shared" si="5"/>
        <v>0</v>
      </c>
      <c r="AG46" s="188"/>
      <c r="AH46" s="417">
        <f t="shared" si="3"/>
        <v>0</v>
      </c>
      <c r="AI46" s="178"/>
      <c r="AJ46" s="177"/>
      <c r="AK46" s="177"/>
      <c r="AL46" s="177"/>
      <c r="AM46" s="177"/>
      <c r="AN46" s="177"/>
      <c r="AO46" s="177"/>
      <c r="AP46" s="177"/>
      <c r="AQ46" s="188"/>
      <c r="AR46" s="159"/>
    </row>
    <row r="47" spans="1:44" x14ac:dyDescent="0.25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241"/>
      <c r="O47" s="175"/>
      <c r="P47" s="175"/>
      <c r="Q47" s="175"/>
      <c r="R47" s="175"/>
      <c r="S47" s="175"/>
      <c r="T47" s="175"/>
      <c r="U47" s="175"/>
      <c r="V47" s="175"/>
      <c r="W47" s="175"/>
      <c r="X47" s="173">
        <f t="shared" si="0"/>
        <v>0</v>
      </c>
      <c r="Y47" s="235" t="s">
        <v>179</v>
      </c>
      <c r="Z47" s="190"/>
      <c r="AA47" s="175"/>
      <c r="AB47" s="175"/>
      <c r="AC47" s="176"/>
      <c r="AD47" s="187">
        <f>X47*Z47/100</f>
        <v>0</v>
      </c>
      <c r="AE47" s="188"/>
      <c r="AF47" s="187">
        <f t="shared" si="5"/>
        <v>0</v>
      </c>
      <c r="AG47" s="188"/>
      <c r="AH47" s="417">
        <f t="shared" si="3"/>
        <v>0</v>
      </c>
      <c r="AI47" s="178"/>
      <c r="AJ47" s="177"/>
      <c r="AK47" s="177"/>
      <c r="AL47" s="177"/>
      <c r="AM47" s="177"/>
      <c r="AN47" s="177"/>
      <c r="AO47" s="177"/>
      <c r="AP47" s="177"/>
      <c r="AQ47" s="188"/>
      <c r="AR47" s="159"/>
    </row>
    <row r="48" spans="1:44" x14ac:dyDescent="0.2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>
        <f>AH48-AE48</f>
        <v>0</v>
      </c>
      <c r="O48" s="177"/>
      <c r="P48" s="177"/>
      <c r="Q48" s="177"/>
      <c r="R48" s="177"/>
      <c r="S48" s="177"/>
      <c r="T48" s="177"/>
      <c r="U48" s="177"/>
      <c r="V48" s="177"/>
      <c r="W48" s="177"/>
      <c r="X48" s="173">
        <f t="shared" si="0"/>
        <v>0</v>
      </c>
      <c r="Y48" s="235" t="s">
        <v>181</v>
      </c>
      <c r="Z48" s="187"/>
      <c r="AA48" s="177"/>
      <c r="AB48" s="177"/>
      <c r="AC48" s="188"/>
      <c r="AD48" s="190">
        <f>-AG48/$D$2%</f>
        <v>0</v>
      </c>
      <c r="AE48" s="176"/>
      <c r="AF48" s="187">
        <f>X48*AB48/100</f>
        <v>0</v>
      </c>
      <c r="AG48" s="176"/>
      <c r="AH48" s="421"/>
      <c r="AI48" s="174"/>
      <c r="AJ48" s="175"/>
      <c r="AK48" s="175"/>
      <c r="AL48" s="175"/>
      <c r="AM48" s="175"/>
      <c r="AN48" s="175"/>
      <c r="AO48" s="175"/>
      <c r="AP48" s="175"/>
      <c r="AQ48" s="176"/>
      <c r="AR48" s="52"/>
    </row>
    <row r="49" spans="1:44" x14ac:dyDescent="0.2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3">
        <f t="shared" si="0"/>
        <v>0</v>
      </c>
      <c r="Y49" s="235" t="s">
        <v>183</v>
      </c>
      <c r="Z49" s="187"/>
      <c r="AA49" s="177"/>
      <c r="AB49" s="177"/>
      <c r="AC49" s="188"/>
      <c r="AD49" s="190">
        <f>-AG49/$D$2%</f>
        <v>0</v>
      </c>
      <c r="AE49" s="176"/>
      <c r="AF49" s="190">
        <f>AE49*AB49%</f>
        <v>0</v>
      </c>
      <c r="AG49" s="176"/>
      <c r="AH49" s="421"/>
      <c r="AI49" s="174"/>
      <c r="AJ49" s="175"/>
      <c r="AK49" s="175"/>
      <c r="AL49" s="175"/>
      <c r="AM49" s="175"/>
      <c r="AN49" s="175"/>
      <c r="AO49" s="175"/>
      <c r="AP49" s="175"/>
      <c r="AQ49" s="176"/>
      <c r="AR49" s="52"/>
    </row>
    <row r="50" spans="1:44" x14ac:dyDescent="0.25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3">
        <f t="shared" si="0"/>
        <v>0</v>
      </c>
      <c r="Y50" s="242" t="s">
        <v>185</v>
      </c>
      <c r="Z50" s="190"/>
      <c r="AA50" s="175"/>
      <c r="AB50" s="175"/>
      <c r="AC50" s="176"/>
      <c r="AD50" s="187"/>
      <c r="AE50" s="188"/>
      <c r="AF50" s="187">
        <f t="shared" si="5"/>
        <v>0</v>
      </c>
      <c r="AG50" s="188"/>
      <c r="AH50" s="417">
        <f t="shared" si="3"/>
        <v>0</v>
      </c>
      <c r="AI50" s="178"/>
      <c r="AJ50" s="177"/>
      <c r="AK50" s="177"/>
      <c r="AL50" s="177"/>
      <c r="AM50" s="177"/>
      <c r="AN50" s="177"/>
      <c r="AO50" s="177"/>
      <c r="AP50" s="177"/>
      <c r="AQ50" s="188"/>
      <c r="AR50" s="159"/>
    </row>
    <row r="51" spans="1:44" x14ac:dyDescent="0.25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3">
        <f t="shared" si="0"/>
        <v>0</v>
      </c>
      <c r="Y51" s="234" t="s">
        <v>187</v>
      </c>
      <c r="Z51" s="190"/>
      <c r="AA51" s="175"/>
      <c r="AB51" s="175"/>
      <c r="AC51" s="176"/>
      <c r="AD51" s="187">
        <f>X51*Z51/100</f>
        <v>0</v>
      </c>
      <c r="AE51" s="188"/>
      <c r="AF51" s="187">
        <f t="shared" si="5"/>
        <v>0</v>
      </c>
      <c r="AG51" s="188"/>
      <c r="AH51" s="417">
        <f t="shared" si="3"/>
        <v>0</v>
      </c>
      <c r="AI51" s="178"/>
      <c r="AJ51" s="177"/>
      <c r="AK51" s="177"/>
      <c r="AL51" s="177"/>
      <c r="AM51" s="177"/>
      <c r="AN51" s="177"/>
      <c r="AO51" s="177"/>
      <c r="AP51" s="177"/>
      <c r="AQ51" s="188"/>
      <c r="AR51" s="159"/>
    </row>
    <row r="52" spans="1:44" x14ac:dyDescent="0.25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3">
        <f t="shared" si="0"/>
        <v>0</v>
      </c>
      <c r="Y52" s="235" t="s">
        <v>189</v>
      </c>
      <c r="Z52" s="190"/>
      <c r="AA52" s="175"/>
      <c r="AB52" s="175"/>
      <c r="AC52" s="176">
        <v>77.2</v>
      </c>
      <c r="AD52" s="187"/>
      <c r="AE52" s="188"/>
      <c r="AF52" s="187">
        <f>-SUM(AF44:AF51)</f>
        <v>0</v>
      </c>
      <c r="AG52" s="188">
        <f>-AF52*AC52/100</f>
        <v>0</v>
      </c>
      <c r="AH52" s="417">
        <f t="shared" si="3"/>
        <v>0</v>
      </c>
      <c r="AI52" s="178">
        <f>AG52*64.5%</f>
        <v>0</v>
      </c>
      <c r="AJ52" s="178">
        <f>AG52*9.9%</f>
        <v>0</v>
      </c>
      <c r="AK52" s="177">
        <f>AG52*13%</f>
        <v>0</v>
      </c>
      <c r="AL52" s="177">
        <f>AG52*6.9%</f>
        <v>0</v>
      </c>
      <c r="AM52" s="177">
        <f>AG52*0%</f>
        <v>0</v>
      </c>
      <c r="AN52" s="177">
        <f>AG52*4.1%</f>
        <v>0</v>
      </c>
      <c r="AO52" s="177">
        <f>AG52*1.7%</f>
        <v>0</v>
      </c>
      <c r="AP52" s="177"/>
      <c r="AQ52" s="188"/>
      <c r="AR52" s="159"/>
    </row>
    <row r="53" spans="1:44" x14ac:dyDescent="0.25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>
        <v>3</v>
      </c>
      <c r="W53" s="175"/>
      <c r="X53" s="173">
        <f t="shared" si="0"/>
        <v>3</v>
      </c>
      <c r="Y53" s="234" t="s">
        <v>193</v>
      </c>
      <c r="Z53" s="190">
        <v>30.1</v>
      </c>
      <c r="AA53" s="175">
        <v>43</v>
      </c>
      <c r="AB53" s="175"/>
      <c r="AC53" s="176"/>
      <c r="AD53" s="187">
        <f>X53*Z53/100</f>
        <v>0.90300000000000014</v>
      </c>
      <c r="AE53" s="188"/>
      <c r="AF53" s="187">
        <f>X53*AB53/100</f>
        <v>0</v>
      </c>
      <c r="AG53" s="188"/>
      <c r="AH53" s="417">
        <f t="shared" ref="AH53:AH80" si="6">SUM(AI53:AQ53)</f>
        <v>1.29</v>
      </c>
      <c r="AI53" s="178"/>
      <c r="AJ53" s="175">
        <f>X53*AA53/100</f>
        <v>1.29</v>
      </c>
      <c r="AK53" s="175"/>
      <c r="AL53" s="175"/>
      <c r="AM53" s="175"/>
      <c r="AN53" s="175"/>
      <c r="AO53" s="175"/>
      <c r="AP53" s="175"/>
      <c r="AQ53" s="188"/>
      <c r="AR53" s="159"/>
    </row>
    <row r="54" spans="1:44" x14ac:dyDescent="0.25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3">
        <f t="shared" si="0"/>
        <v>0</v>
      </c>
      <c r="Y54" s="234" t="s">
        <v>195</v>
      </c>
      <c r="Z54" s="190"/>
      <c r="AA54" s="175"/>
      <c r="AB54" s="175"/>
      <c r="AC54" s="176"/>
      <c r="AD54" s="187">
        <f>X54*Z54/100</f>
        <v>0</v>
      </c>
      <c r="AE54" s="188"/>
      <c r="AF54" s="187">
        <f>X54*AB54/100</f>
        <v>0</v>
      </c>
      <c r="AG54" s="188"/>
      <c r="AH54" s="417">
        <f t="shared" si="6"/>
        <v>0</v>
      </c>
      <c r="AI54" s="178"/>
      <c r="AJ54" s="175"/>
      <c r="AK54" s="175"/>
      <c r="AL54" s="175"/>
      <c r="AM54" s="175"/>
      <c r="AN54" s="175"/>
      <c r="AO54" s="175"/>
      <c r="AP54" s="175"/>
      <c r="AQ54" s="188"/>
      <c r="AR54" s="159"/>
    </row>
    <row r="55" spans="1:44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3">
        <f t="shared" si="0"/>
        <v>0</v>
      </c>
      <c r="Y55" s="235" t="s">
        <v>197</v>
      </c>
      <c r="Z55" s="190"/>
      <c r="AA55" s="175"/>
      <c r="AB55" s="175"/>
      <c r="AC55" s="176">
        <v>77.2</v>
      </c>
      <c r="AD55" s="187"/>
      <c r="AE55" s="188"/>
      <c r="AF55" s="187">
        <f>-SUM(AF53:AF54)</f>
        <v>0</v>
      </c>
      <c r="AG55" s="188">
        <f>-AF55*AC55/100</f>
        <v>0</v>
      </c>
      <c r="AH55" s="417">
        <f t="shared" si="6"/>
        <v>0</v>
      </c>
      <c r="AI55" s="178">
        <f>AG55*64.5%</f>
        <v>0</v>
      </c>
      <c r="AJ55" s="178">
        <f>AG55*9.9%</f>
        <v>0</v>
      </c>
      <c r="AK55" s="177">
        <f>AG55*13%</f>
        <v>0</v>
      </c>
      <c r="AL55" s="177">
        <f>AG55*6.9%</f>
        <v>0</v>
      </c>
      <c r="AM55" s="177">
        <f>AG55*0%</f>
        <v>0</v>
      </c>
      <c r="AN55" s="177">
        <f>AG55*4.1%</f>
        <v>0</v>
      </c>
      <c r="AO55" s="177">
        <f>AG55*1.7%</f>
        <v>0</v>
      </c>
      <c r="AP55" s="177"/>
      <c r="AQ55" s="188"/>
      <c r="AR55" s="159"/>
    </row>
    <row r="56" spans="1:44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3">
        <f t="shared" si="0"/>
        <v>0</v>
      </c>
      <c r="Y56" s="235" t="s">
        <v>201</v>
      </c>
      <c r="Z56" s="190"/>
      <c r="AA56" s="175"/>
      <c r="AB56" s="175"/>
      <c r="AC56" s="176"/>
      <c r="AD56" s="187"/>
      <c r="AE56" s="188"/>
      <c r="AF56" s="187">
        <f>X56*AB56/100</f>
        <v>0</v>
      </c>
      <c r="AG56" s="188"/>
      <c r="AH56" s="417">
        <f t="shared" si="6"/>
        <v>0</v>
      </c>
      <c r="AI56" s="178"/>
      <c r="AJ56" s="177"/>
      <c r="AK56" s="177"/>
      <c r="AL56" s="177"/>
      <c r="AM56" s="177"/>
      <c r="AN56" s="177"/>
      <c r="AO56" s="177"/>
      <c r="AP56" s="177"/>
      <c r="AQ56" s="188"/>
      <c r="AR56" s="159"/>
    </row>
    <row r="57" spans="1:44" x14ac:dyDescent="0.25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>
        <f>AF57-AE57</f>
        <v>0</v>
      </c>
      <c r="O57" s="177"/>
      <c r="P57" s="177"/>
      <c r="Q57" s="177"/>
      <c r="R57" s="177"/>
      <c r="S57" s="177"/>
      <c r="T57" s="177"/>
      <c r="U57" s="177"/>
      <c r="V57" s="177"/>
      <c r="W57" s="177"/>
      <c r="X57" s="173">
        <f t="shared" si="0"/>
        <v>0</v>
      </c>
      <c r="Y57" s="235" t="s">
        <v>203</v>
      </c>
      <c r="Z57" s="187"/>
      <c r="AA57" s="177"/>
      <c r="AB57" s="177"/>
      <c r="AC57" s="188"/>
      <c r="AD57" s="187">
        <f>-AG57/$D$2%</f>
        <v>0</v>
      </c>
      <c r="AE57" s="188"/>
      <c r="AF57" s="187">
        <f>AE57*AB57%</f>
        <v>0</v>
      </c>
      <c r="AG57" s="188"/>
      <c r="AH57" s="417"/>
      <c r="AI57" s="178"/>
      <c r="AJ57" s="177"/>
      <c r="AK57" s="177"/>
      <c r="AL57" s="177"/>
      <c r="AM57" s="177"/>
      <c r="AN57" s="177"/>
      <c r="AO57" s="177"/>
      <c r="AP57" s="177"/>
      <c r="AQ57" s="188"/>
      <c r="AR57" s="52"/>
    </row>
    <row r="58" spans="1:44" x14ac:dyDescent="0.25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244"/>
      <c r="O58" s="177"/>
      <c r="P58" s="177"/>
      <c r="Q58" s="177"/>
      <c r="R58" s="177"/>
      <c r="S58" s="177"/>
      <c r="T58" s="177"/>
      <c r="U58" s="177"/>
      <c r="V58" s="177"/>
      <c r="W58" s="177"/>
      <c r="X58" s="173">
        <f t="shared" si="0"/>
        <v>0</v>
      </c>
      <c r="Y58" s="235" t="s">
        <v>205</v>
      </c>
      <c r="Z58" s="187"/>
      <c r="AA58" s="177"/>
      <c r="AB58" s="177"/>
      <c r="AC58" s="188"/>
      <c r="AD58" s="187"/>
      <c r="AE58" s="188"/>
      <c r="AF58" s="187">
        <f>AE58*AB58%</f>
        <v>0</v>
      </c>
      <c r="AG58" s="188"/>
      <c r="AH58" s="417"/>
      <c r="AI58" s="178"/>
      <c r="AJ58" s="177"/>
      <c r="AK58" s="177"/>
      <c r="AL58" s="177"/>
      <c r="AM58" s="177"/>
      <c r="AN58" s="177"/>
      <c r="AO58" s="177"/>
      <c r="AP58" s="177"/>
      <c r="AQ58" s="188"/>
      <c r="AR58" s="52"/>
    </row>
    <row r="59" spans="1:44" x14ac:dyDescent="0.25">
      <c r="A59" s="170"/>
      <c r="B59" s="170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244"/>
      <c r="O59" s="177"/>
      <c r="P59" s="177"/>
      <c r="Q59" s="177"/>
      <c r="R59" s="177"/>
      <c r="S59" s="177"/>
      <c r="T59" s="177"/>
      <c r="U59" s="177"/>
      <c r="V59" s="177"/>
      <c r="W59" s="177"/>
      <c r="X59" s="173">
        <f t="shared" si="0"/>
        <v>0</v>
      </c>
      <c r="Y59" s="235" t="s">
        <v>207</v>
      </c>
      <c r="Z59" s="187"/>
      <c r="AA59" s="177"/>
      <c r="AB59" s="177"/>
      <c r="AC59" s="188"/>
      <c r="AD59" s="187"/>
      <c r="AE59" s="188"/>
      <c r="AF59" s="187">
        <f>X59*AB59/100</f>
        <v>0</v>
      </c>
      <c r="AG59" s="188"/>
      <c r="AH59" s="417"/>
      <c r="AI59" s="178"/>
      <c r="AJ59" s="177"/>
      <c r="AK59" s="177"/>
      <c r="AL59" s="177"/>
      <c r="AM59" s="177"/>
      <c r="AN59" s="177"/>
      <c r="AO59" s="177"/>
      <c r="AP59" s="177"/>
      <c r="AQ59" s="188"/>
      <c r="AR59" s="52"/>
    </row>
    <row r="60" spans="1:44" x14ac:dyDescent="0.25">
      <c r="A60" s="172"/>
      <c r="B60" s="172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241"/>
      <c r="O60" s="175"/>
      <c r="P60" s="175"/>
      <c r="Q60" s="175"/>
      <c r="R60" s="175"/>
      <c r="S60" s="175"/>
      <c r="T60" s="175"/>
      <c r="U60" s="175"/>
      <c r="V60" s="175"/>
      <c r="W60" s="175"/>
      <c r="X60" s="173">
        <f t="shared" si="0"/>
        <v>0</v>
      </c>
      <c r="Y60" s="235" t="s">
        <v>209</v>
      </c>
      <c r="Z60" s="190"/>
      <c r="AA60" s="175"/>
      <c r="AB60" s="175"/>
      <c r="AC60" s="176"/>
      <c r="AD60" s="187"/>
      <c r="AE60" s="188"/>
      <c r="AF60" s="187">
        <f>X60*AB60/100</f>
        <v>0</v>
      </c>
      <c r="AG60" s="188"/>
      <c r="AH60" s="417">
        <f t="shared" si="6"/>
        <v>0</v>
      </c>
      <c r="AI60" s="178"/>
      <c r="AJ60" s="177"/>
      <c r="AK60" s="177"/>
      <c r="AL60" s="177"/>
      <c r="AM60" s="177"/>
      <c r="AN60" s="177"/>
      <c r="AO60" s="177"/>
      <c r="AP60" s="177"/>
      <c r="AQ60" s="188"/>
      <c r="AR60" s="159"/>
    </row>
    <row r="61" spans="1:44" x14ac:dyDescent="0.25">
      <c r="A61" s="191"/>
      <c r="B61" s="172"/>
      <c r="C61" s="175"/>
      <c r="D61" s="175"/>
      <c r="E61" s="175">
        <v>47.088000000000001</v>
      </c>
      <c r="F61" s="175"/>
      <c r="G61" s="175"/>
      <c r="H61" s="175"/>
      <c r="I61" s="175">
        <v>2800</v>
      </c>
      <c r="J61" s="175"/>
      <c r="K61" s="175"/>
      <c r="L61" s="175"/>
      <c r="M61" s="175"/>
      <c r="N61" s="241"/>
      <c r="O61" s="175"/>
      <c r="P61" s="175"/>
      <c r="Q61" s="175">
        <v>2.9430000000000001</v>
      </c>
      <c r="R61" s="175">
        <v>21.255000000000003</v>
      </c>
      <c r="S61" s="175">
        <v>173.637</v>
      </c>
      <c r="T61" s="175"/>
      <c r="U61" s="175">
        <v>227.51025000000001</v>
      </c>
      <c r="V61" s="175">
        <v>7.194</v>
      </c>
      <c r="W61" s="175">
        <v>186.14475000000002</v>
      </c>
      <c r="X61" s="173">
        <f t="shared" si="0"/>
        <v>3465.7720000000004</v>
      </c>
      <c r="Y61" s="234" t="s">
        <v>159</v>
      </c>
      <c r="Z61" s="190">
        <v>23.5</v>
      </c>
      <c r="AA61" s="175"/>
      <c r="AB61" s="175">
        <v>51.7</v>
      </c>
      <c r="AC61" s="176"/>
      <c r="AD61" s="187">
        <f>X61*Z61%</f>
        <v>814.45642000000009</v>
      </c>
      <c r="AE61" s="188"/>
      <c r="AF61" s="187">
        <f>X61*AB61%</f>
        <v>1791.8041240000002</v>
      </c>
      <c r="AG61" s="188"/>
      <c r="AH61" s="417">
        <f t="shared" si="6"/>
        <v>0</v>
      </c>
      <c r="AI61" s="178"/>
      <c r="AJ61" s="177"/>
      <c r="AK61" s="177"/>
      <c r="AL61" s="177"/>
      <c r="AM61" s="177"/>
      <c r="AN61" s="177"/>
      <c r="AO61" s="177"/>
      <c r="AP61" s="177"/>
      <c r="AQ61" s="188"/>
      <c r="AR61" s="159"/>
    </row>
    <row r="62" spans="1:44" x14ac:dyDescent="0.25">
      <c r="A62" s="172"/>
      <c r="B62" s="172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240"/>
      <c r="O62" s="175"/>
      <c r="P62" s="175"/>
      <c r="Q62" s="175"/>
      <c r="R62" s="175"/>
      <c r="S62" s="175"/>
      <c r="T62" s="175"/>
      <c r="U62" s="175"/>
      <c r="V62" s="175"/>
      <c r="W62" s="172"/>
      <c r="X62" s="173">
        <f t="shared" si="0"/>
        <v>0</v>
      </c>
      <c r="Y62" s="235" t="s">
        <v>211</v>
      </c>
      <c r="Z62" s="190"/>
      <c r="AA62" s="175"/>
      <c r="AB62" s="175"/>
      <c r="AC62" s="176">
        <v>77.2</v>
      </c>
      <c r="AD62" s="187"/>
      <c r="AE62" s="188"/>
      <c r="AF62" s="190">
        <f>-SUM(AF56:AF61)</f>
        <v>-1791.8041240000002</v>
      </c>
      <c r="AG62" s="188">
        <f>-AF62*AC62/100</f>
        <v>1383.2727837280004</v>
      </c>
      <c r="AH62" s="417">
        <f t="shared" si="6"/>
        <v>1384.6560565117286</v>
      </c>
      <c r="AI62" s="178">
        <f>AG62*64.4%</f>
        <v>890.82767272083231</v>
      </c>
      <c r="AJ62" s="178">
        <f>AG62*9.8%</f>
        <v>135.56073280534403</v>
      </c>
      <c r="AK62" s="177">
        <f>AG62*13.1%</f>
        <v>181.20873466836807</v>
      </c>
      <c r="AL62" s="177">
        <f>AG62*6.9%</f>
        <v>95.445822077232037</v>
      </c>
      <c r="AM62" s="177">
        <f>AG62*0%</f>
        <v>0</v>
      </c>
      <c r="AN62" s="177">
        <f>AG62*4.4%</f>
        <v>60.864002484032021</v>
      </c>
      <c r="AO62" s="177">
        <f>AG62*1.5%</f>
        <v>20.749091755920006</v>
      </c>
      <c r="AP62" s="177"/>
      <c r="AQ62" s="188"/>
      <c r="AR62" s="159"/>
    </row>
    <row r="63" spans="1:44" x14ac:dyDescent="0.25">
      <c r="A63" s="172"/>
      <c r="B63" s="172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240"/>
      <c r="O63" s="175"/>
      <c r="P63" s="175"/>
      <c r="Q63" s="175"/>
      <c r="R63" s="175"/>
      <c r="S63" s="175"/>
      <c r="T63" s="175"/>
      <c r="U63" s="175"/>
      <c r="V63" s="175"/>
      <c r="W63" s="172"/>
      <c r="X63" s="173">
        <f t="shared" si="0"/>
        <v>0</v>
      </c>
      <c r="Y63" s="234" t="s">
        <v>215</v>
      </c>
      <c r="Z63" s="190"/>
      <c r="AA63" s="175"/>
      <c r="AB63" s="175"/>
      <c r="AC63" s="176"/>
      <c r="AD63" s="187">
        <f t="shared" ref="AD63:AD68" si="7">Z63/100*X63</f>
        <v>0</v>
      </c>
      <c r="AE63" s="188"/>
      <c r="AF63" s="187">
        <f>X63*AB63/100</f>
        <v>0</v>
      </c>
      <c r="AG63" s="188"/>
      <c r="AH63" s="417">
        <f t="shared" si="6"/>
        <v>0</v>
      </c>
      <c r="AI63" s="178"/>
      <c r="AJ63" s="177"/>
      <c r="AK63" s="177"/>
      <c r="AL63" s="177"/>
      <c r="AM63" s="177"/>
      <c r="AN63" s="177"/>
      <c r="AO63" s="177"/>
      <c r="AP63" s="177"/>
      <c r="AQ63" s="188"/>
      <c r="AR63" s="159"/>
    </row>
    <row r="64" spans="1:44" x14ac:dyDescent="0.25">
      <c r="A64" s="172"/>
      <c r="B64" s="172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240"/>
      <c r="O64" s="175"/>
      <c r="P64" s="175"/>
      <c r="Q64" s="175"/>
      <c r="R64" s="175"/>
      <c r="S64" s="175"/>
      <c r="T64" s="175"/>
      <c r="U64" s="175"/>
      <c r="V64" s="175"/>
      <c r="W64" s="172"/>
      <c r="X64" s="173">
        <f t="shared" si="0"/>
        <v>0</v>
      </c>
      <c r="Y64" s="234" t="s">
        <v>217</v>
      </c>
      <c r="Z64" s="190"/>
      <c r="AA64" s="175"/>
      <c r="AB64" s="175"/>
      <c r="AC64" s="176"/>
      <c r="AD64" s="187">
        <f t="shared" si="7"/>
        <v>0</v>
      </c>
      <c r="AE64" s="188"/>
      <c r="AF64" s="187">
        <f>X64*AB64/100</f>
        <v>0</v>
      </c>
      <c r="AG64" s="188"/>
      <c r="AH64" s="417">
        <f t="shared" si="6"/>
        <v>0</v>
      </c>
      <c r="AI64" s="178"/>
      <c r="AJ64" s="177"/>
      <c r="AK64" s="177"/>
      <c r="AL64" s="177"/>
      <c r="AM64" s="177"/>
      <c r="AN64" s="177"/>
      <c r="AO64" s="177"/>
      <c r="AP64" s="177"/>
      <c r="AQ64" s="188"/>
      <c r="AR64" s="159"/>
    </row>
    <row r="65" spans="1:44" x14ac:dyDescent="0.25">
      <c r="A65" s="172"/>
      <c r="B65" s="172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240"/>
      <c r="O65" s="175"/>
      <c r="P65" s="175"/>
      <c r="Q65" s="175"/>
      <c r="R65" s="175"/>
      <c r="S65" s="175"/>
      <c r="T65" s="175"/>
      <c r="U65" s="175"/>
      <c r="V65" s="175"/>
      <c r="W65" s="172"/>
      <c r="X65" s="173">
        <f t="shared" si="0"/>
        <v>0</v>
      </c>
      <c r="Y65" s="234" t="s">
        <v>219</v>
      </c>
      <c r="Z65" s="190"/>
      <c r="AA65" s="175"/>
      <c r="AB65" s="175"/>
      <c r="AC65" s="176"/>
      <c r="AD65" s="187">
        <f t="shared" si="7"/>
        <v>0</v>
      </c>
      <c r="AE65" s="188"/>
      <c r="AF65" s="187">
        <f>X65*AB65/100</f>
        <v>0</v>
      </c>
      <c r="AG65" s="188"/>
      <c r="AH65" s="417">
        <f t="shared" si="6"/>
        <v>0</v>
      </c>
      <c r="AI65" s="178"/>
      <c r="AJ65" s="177"/>
      <c r="AK65" s="177"/>
      <c r="AL65" s="177"/>
      <c r="AM65" s="177"/>
      <c r="AN65" s="177"/>
      <c r="AO65" s="177"/>
      <c r="AP65" s="177"/>
      <c r="AQ65" s="188"/>
      <c r="AR65" s="159"/>
    </row>
    <row r="66" spans="1:44" x14ac:dyDescent="0.25">
      <c r="A66" s="172"/>
      <c r="B66" s="172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0"/>
      <c r="O66" s="175"/>
      <c r="P66" s="175"/>
      <c r="Q66" s="175"/>
      <c r="R66" s="175"/>
      <c r="S66" s="175"/>
      <c r="T66" s="175"/>
      <c r="U66" s="175"/>
      <c r="V66" s="175"/>
      <c r="W66" s="172"/>
      <c r="X66" s="173">
        <f t="shared" si="0"/>
        <v>0</v>
      </c>
      <c r="Y66" s="234" t="s">
        <v>221</v>
      </c>
      <c r="Z66" s="190"/>
      <c r="AA66" s="175"/>
      <c r="AB66" s="175"/>
      <c r="AC66" s="176"/>
      <c r="AD66" s="187">
        <f t="shared" si="7"/>
        <v>0</v>
      </c>
      <c r="AE66" s="188"/>
      <c r="AF66" s="187">
        <f>X66*AB66/100</f>
        <v>0</v>
      </c>
      <c r="AG66" s="188"/>
      <c r="AH66" s="417">
        <f t="shared" si="6"/>
        <v>0</v>
      </c>
      <c r="AI66" s="178"/>
      <c r="AJ66" s="177"/>
      <c r="AK66" s="177"/>
      <c r="AL66" s="177"/>
      <c r="AM66" s="177"/>
      <c r="AN66" s="177"/>
      <c r="AO66" s="177"/>
      <c r="AP66" s="177"/>
      <c r="AQ66" s="188"/>
      <c r="AR66" s="159"/>
    </row>
    <row r="67" spans="1:44" x14ac:dyDescent="0.25">
      <c r="A67" s="172"/>
      <c r="B67" s="172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0"/>
      <c r="O67" s="175"/>
      <c r="P67" s="175"/>
      <c r="Q67" s="175"/>
      <c r="R67" s="175"/>
      <c r="S67" s="175"/>
      <c r="T67" s="175"/>
      <c r="U67" s="175"/>
      <c r="V67" s="175"/>
      <c r="W67" s="172"/>
      <c r="X67" s="173">
        <f t="shared" si="0"/>
        <v>0</v>
      </c>
      <c r="Y67" s="234" t="s">
        <v>223</v>
      </c>
      <c r="Z67" s="190"/>
      <c r="AA67" s="175"/>
      <c r="AB67" s="175"/>
      <c r="AC67" s="176"/>
      <c r="AD67" s="187">
        <f t="shared" si="7"/>
        <v>0</v>
      </c>
      <c r="AE67" s="188"/>
      <c r="AF67" s="187">
        <f>X67*AB67/100</f>
        <v>0</v>
      </c>
      <c r="AG67" s="188"/>
      <c r="AH67" s="417">
        <f t="shared" si="6"/>
        <v>0</v>
      </c>
      <c r="AI67" s="178"/>
      <c r="AJ67" s="177"/>
      <c r="AK67" s="177"/>
      <c r="AL67" s="177"/>
      <c r="AM67" s="177"/>
      <c r="AN67" s="177"/>
      <c r="AO67" s="177"/>
      <c r="AP67" s="177"/>
      <c r="AQ67" s="188"/>
      <c r="AR67" s="159"/>
    </row>
    <row r="68" spans="1:44" x14ac:dyDescent="0.25">
      <c r="A68" s="172"/>
      <c r="B68" s="172"/>
      <c r="C68" s="175"/>
      <c r="D68" s="175"/>
      <c r="E68" s="175">
        <v>0</v>
      </c>
      <c r="F68" s="175"/>
      <c r="G68" s="175"/>
      <c r="H68" s="175"/>
      <c r="I68" s="175"/>
      <c r="J68" s="175"/>
      <c r="K68" s="175"/>
      <c r="L68" s="175"/>
      <c r="M68" s="175"/>
      <c r="N68" s="170"/>
      <c r="O68" s="175"/>
      <c r="P68" s="175"/>
      <c r="Q68" s="175"/>
      <c r="R68" s="175"/>
      <c r="S68" s="175"/>
      <c r="T68" s="175"/>
      <c r="U68" s="175"/>
      <c r="V68" s="175"/>
      <c r="W68" s="172"/>
      <c r="X68" s="173">
        <f t="shared" si="0"/>
        <v>0</v>
      </c>
      <c r="Y68" s="234" t="s">
        <v>225</v>
      </c>
      <c r="Z68" s="190"/>
      <c r="AA68" s="175"/>
      <c r="AB68" s="175"/>
      <c r="AC68" s="176"/>
      <c r="AD68" s="187">
        <f t="shared" si="7"/>
        <v>0</v>
      </c>
      <c r="AE68" s="176"/>
      <c r="AF68" s="187">
        <f>(16.55+954)*0.327</f>
        <v>317.36984999999999</v>
      </c>
      <c r="AG68" s="188"/>
      <c r="AH68" s="417">
        <f t="shared" si="6"/>
        <v>0</v>
      </c>
      <c r="AI68" s="178"/>
      <c r="AJ68" s="177"/>
      <c r="AK68" s="177"/>
      <c r="AL68" s="177"/>
      <c r="AM68" s="177"/>
      <c r="AN68" s="177"/>
      <c r="AO68" s="177"/>
      <c r="AP68" s="177"/>
      <c r="AQ68" s="188"/>
      <c r="AR68" s="159"/>
    </row>
    <row r="69" spans="1:44" x14ac:dyDescent="0.25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0"/>
      <c r="O69" s="172"/>
      <c r="P69" s="172"/>
      <c r="Q69" s="172"/>
      <c r="R69" s="172"/>
      <c r="S69" s="172"/>
      <c r="T69" s="172"/>
      <c r="U69" s="172"/>
      <c r="V69" s="172"/>
      <c r="W69" s="172"/>
      <c r="X69" s="173">
        <f t="shared" si="0"/>
        <v>0</v>
      </c>
      <c r="Y69" s="242" t="s">
        <v>227</v>
      </c>
      <c r="Z69" s="190"/>
      <c r="AA69" s="175"/>
      <c r="AB69" s="175"/>
      <c r="AC69" s="423"/>
      <c r="AD69" s="187">
        <f>-AE69</f>
        <v>-153.1884474</v>
      </c>
      <c r="AE69" s="176">
        <f>468.4662*0.327</f>
        <v>153.1884474</v>
      </c>
      <c r="AF69" s="190"/>
      <c r="AG69" s="188"/>
      <c r="AH69" s="417">
        <f t="shared" si="6"/>
        <v>153.1884474</v>
      </c>
      <c r="AI69" s="178"/>
      <c r="AJ69" s="177"/>
      <c r="AK69" s="177"/>
      <c r="AL69" s="177"/>
      <c r="AM69" s="177"/>
      <c r="AN69" s="177">
        <f>AE69</f>
        <v>153.1884474</v>
      </c>
      <c r="AO69" s="177"/>
      <c r="AP69" s="177"/>
      <c r="AQ69" s="188"/>
      <c r="AR69" s="159"/>
    </row>
    <row r="70" spans="1:44" x14ac:dyDescent="0.25">
      <c r="A70" s="172"/>
      <c r="B70" s="172"/>
      <c r="C70" s="172"/>
      <c r="D70" s="172"/>
      <c r="E70" s="175"/>
      <c r="F70" s="175"/>
      <c r="G70" s="175"/>
      <c r="H70" s="175"/>
      <c r="I70" s="175"/>
      <c r="J70" s="175"/>
      <c r="K70" s="175"/>
      <c r="L70" s="175"/>
      <c r="M70" s="175"/>
      <c r="N70" s="170"/>
      <c r="O70" s="175"/>
      <c r="P70" s="175"/>
      <c r="Q70" s="175"/>
      <c r="R70" s="172"/>
      <c r="S70" s="172"/>
      <c r="T70" s="172"/>
      <c r="U70" s="172"/>
      <c r="V70" s="172"/>
      <c r="W70" s="172"/>
      <c r="X70" s="173">
        <f t="shared" si="0"/>
        <v>0</v>
      </c>
      <c r="Y70" s="242" t="s">
        <v>229</v>
      </c>
      <c r="Z70" s="190"/>
      <c r="AA70" s="175"/>
      <c r="AB70" s="175"/>
      <c r="AC70" s="176"/>
      <c r="AD70" s="187"/>
      <c r="AE70" s="176"/>
      <c r="AF70" s="190"/>
      <c r="AG70" s="424"/>
      <c r="AH70" s="417">
        <f t="shared" si="6"/>
        <v>0</v>
      </c>
      <c r="AI70" s="178"/>
      <c r="AJ70" s="177"/>
      <c r="AK70" s="177"/>
      <c r="AL70" s="177"/>
      <c r="AM70" s="177"/>
      <c r="AN70" s="177">
        <f>-AF70</f>
        <v>0</v>
      </c>
      <c r="AO70" s="177"/>
      <c r="AP70" s="177"/>
      <c r="AQ70" s="188"/>
      <c r="AR70" s="159"/>
    </row>
    <row r="71" spans="1:44" x14ac:dyDescent="0.25">
      <c r="A71" s="172"/>
      <c r="B71" s="172"/>
      <c r="C71" s="172"/>
      <c r="D71" s="172"/>
      <c r="E71" s="175"/>
      <c r="F71" s="175"/>
      <c r="G71" s="175"/>
      <c r="H71" s="175"/>
      <c r="I71" s="175"/>
      <c r="J71" s="175"/>
      <c r="K71" s="175"/>
      <c r="L71" s="175"/>
      <c r="M71" s="175"/>
      <c r="N71" s="170"/>
      <c r="O71" s="175"/>
      <c r="P71" s="175"/>
      <c r="Q71" s="175"/>
      <c r="R71" s="172"/>
      <c r="S71" s="172"/>
      <c r="T71" s="172"/>
      <c r="U71" s="172"/>
      <c r="V71" s="172"/>
      <c r="W71" s="172"/>
      <c r="X71" s="173">
        <f t="shared" si="0"/>
        <v>0</v>
      </c>
      <c r="Y71" s="235" t="s">
        <v>231</v>
      </c>
      <c r="Z71" s="190"/>
      <c r="AA71" s="175"/>
      <c r="AB71" s="175"/>
      <c r="AC71" s="176">
        <v>77.2</v>
      </c>
      <c r="AD71" s="187"/>
      <c r="AE71" s="188"/>
      <c r="AF71" s="187">
        <f>-SUM(AF63:AF70)</f>
        <v>-317.36984999999999</v>
      </c>
      <c r="AG71" s="188">
        <f>-AF71*AC71/100</f>
        <v>245.00952420000002</v>
      </c>
      <c r="AH71" s="417">
        <f t="shared" si="6"/>
        <v>245.25453372420003</v>
      </c>
      <c r="AI71" s="178">
        <f>AG71*64.4%</f>
        <v>157.78613358480001</v>
      </c>
      <c r="AJ71" s="178">
        <f>AG71*9.8%</f>
        <v>24.010933371600004</v>
      </c>
      <c r="AK71" s="177">
        <f>AG71*13.1%</f>
        <v>32.0962476702</v>
      </c>
      <c r="AL71" s="177">
        <f>AG71*6.9%</f>
        <v>16.905657169800001</v>
      </c>
      <c r="AM71" s="177">
        <f>AG71*0%</f>
        <v>0</v>
      </c>
      <c r="AN71" s="177">
        <f>AG71*4.4%</f>
        <v>10.780419064800002</v>
      </c>
      <c r="AO71" s="177">
        <f>AG71*1.5%</f>
        <v>3.675142863</v>
      </c>
      <c r="AP71" s="177"/>
      <c r="AQ71" s="188"/>
      <c r="AR71" s="159"/>
    </row>
    <row r="72" spans="1:44" x14ac:dyDescent="0.25">
      <c r="A72" s="191"/>
      <c r="B72" s="175"/>
      <c r="C72" s="175"/>
      <c r="D72" s="175"/>
      <c r="E72" s="175"/>
      <c r="F72" s="175"/>
      <c r="G72" s="175"/>
      <c r="H72" s="184">
        <f>559.56*0.9441</f>
        <v>528.28059599999995</v>
      </c>
      <c r="I72" s="175"/>
      <c r="J72" s="175"/>
      <c r="K72" s="175"/>
      <c r="L72" s="175"/>
      <c r="M72" s="175"/>
      <c r="N72" s="175"/>
      <c r="O72" s="175"/>
      <c r="P72" s="482">
        <f>559.56*0.0559</f>
        <v>31.279403999999996</v>
      </c>
      <c r="Q72" s="175"/>
      <c r="R72" s="175"/>
      <c r="S72" s="175"/>
      <c r="T72" s="175"/>
      <c r="U72" s="175"/>
      <c r="V72" s="175"/>
      <c r="W72" s="175"/>
      <c r="X72" s="173">
        <f t="shared" ref="X72:X80" si="8">SUM(A72:W72)</f>
        <v>559.55999999999995</v>
      </c>
      <c r="Y72" s="235" t="s">
        <v>241</v>
      </c>
      <c r="Z72" s="187"/>
      <c r="AA72" s="177">
        <v>20</v>
      </c>
      <c r="AB72" s="177"/>
      <c r="AC72" s="188"/>
      <c r="AD72" s="187"/>
      <c r="AE72" s="188"/>
      <c r="AF72" s="187"/>
      <c r="AG72" s="188"/>
      <c r="AH72" s="417">
        <f t="shared" si="6"/>
        <v>111.91199999999999</v>
      </c>
      <c r="AI72" s="178"/>
      <c r="AJ72" s="177"/>
      <c r="AK72" s="177"/>
      <c r="AL72" s="177"/>
      <c r="AM72" s="177"/>
      <c r="AN72" s="177"/>
      <c r="AO72" s="177"/>
      <c r="AP72" s="177"/>
      <c r="AQ72" s="188">
        <f>X72*AA72/100</f>
        <v>111.91199999999999</v>
      </c>
      <c r="AR72" s="159"/>
    </row>
    <row r="73" spans="1:44" x14ac:dyDescent="0.25">
      <c r="A73" s="191"/>
      <c r="B73" s="175"/>
      <c r="C73" s="175"/>
      <c r="D73" s="175"/>
      <c r="E73" s="175"/>
      <c r="F73" s="184">
        <f>354*(1-6.3%)</f>
        <v>331.69800000000004</v>
      </c>
      <c r="G73" s="1"/>
      <c r="H73" s="175"/>
      <c r="I73" s="175"/>
      <c r="J73" s="175"/>
      <c r="K73" s="175"/>
      <c r="L73" s="175"/>
      <c r="M73" s="175"/>
      <c r="N73" s="175"/>
      <c r="O73" s="175"/>
      <c r="P73" s="184">
        <f>354*6.3%</f>
        <v>22.302</v>
      </c>
      <c r="Q73" s="175"/>
      <c r="R73" s="175"/>
      <c r="S73" s="175"/>
      <c r="T73" s="175"/>
      <c r="U73" s="175"/>
      <c r="V73" s="175"/>
      <c r="W73" s="175"/>
      <c r="X73" s="173">
        <f t="shared" si="8"/>
        <v>354.00000000000006</v>
      </c>
      <c r="Y73" s="235" t="s">
        <v>243</v>
      </c>
      <c r="Z73" s="187"/>
      <c r="AA73" s="177">
        <v>25</v>
      </c>
      <c r="AB73" s="177"/>
      <c r="AC73" s="188"/>
      <c r="AD73" s="187"/>
      <c r="AE73" s="188"/>
      <c r="AF73" s="187"/>
      <c r="AG73" s="188"/>
      <c r="AH73" s="417">
        <f t="shared" si="6"/>
        <v>88.500000000000014</v>
      </c>
      <c r="AI73" s="178"/>
      <c r="AJ73" s="177"/>
      <c r="AK73" s="177"/>
      <c r="AL73" s="177"/>
      <c r="AM73" s="177"/>
      <c r="AN73" s="177"/>
      <c r="AO73" s="177"/>
      <c r="AP73" s="177"/>
      <c r="AQ73" s="188">
        <f>X73*AA73/100</f>
        <v>88.500000000000014</v>
      </c>
      <c r="AR73" s="159"/>
    </row>
    <row r="74" spans="1:44" x14ac:dyDescent="0.25">
      <c r="A74" s="169"/>
      <c r="B74" s="172"/>
      <c r="C74" s="172"/>
      <c r="D74" s="172"/>
      <c r="E74" s="175"/>
      <c r="F74" s="184">
        <f>160.85*(1-6.3%)</f>
        <v>150.71645000000001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84">
        <f>160.85*(6.3%)</f>
        <v>10.13355</v>
      </c>
      <c r="Q74" s="175"/>
      <c r="R74" s="172"/>
      <c r="S74" s="172"/>
      <c r="T74" s="172"/>
      <c r="U74" s="172"/>
      <c r="V74" s="172"/>
      <c r="W74" s="172"/>
      <c r="X74" s="173">
        <f t="shared" si="8"/>
        <v>160.85000000000002</v>
      </c>
      <c r="Y74" s="235" t="s">
        <v>244</v>
      </c>
      <c r="Z74" s="187"/>
      <c r="AA74" s="177">
        <v>25</v>
      </c>
      <c r="AB74" s="177"/>
      <c r="AC74" s="188"/>
      <c r="AD74" s="187"/>
      <c r="AE74" s="188"/>
      <c r="AF74" s="187"/>
      <c r="AG74" s="188"/>
      <c r="AH74" s="417">
        <f t="shared" si="6"/>
        <v>40.212500000000006</v>
      </c>
      <c r="AI74" s="178"/>
      <c r="AJ74" s="177"/>
      <c r="AK74" s="177"/>
      <c r="AL74" s="177"/>
      <c r="AM74" s="177"/>
      <c r="AN74" s="177"/>
      <c r="AO74" s="177"/>
      <c r="AP74" s="177"/>
      <c r="AQ74" s="188">
        <f>X74*AA74/100</f>
        <v>40.212500000000006</v>
      </c>
      <c r="AR74" s="159"/>
    </row>
    <row r="75" spans="1:44" x14ac:dyDescent="0.25">
      <c r="A75" s="191"/>
      <c r="B75" s="172"/>
      <c r="C75" s="172"/>
      <c r="D75" s="172"/>
      <c r="E75" s="175"/>
      <c r="F75" s="184">
        <f>26.49*(1-6.3%)</f>
        <v>24.82113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84">
        <f>26.49*(6.3%)</f>
        <v>1.6688699999999999</v>
      </c>
      <c r="Q75" s="175"/>
      <c r="R75" s="172"/>
      <c r="S75" s="172"/>
      <c r="T75" s="172"/>
      <c r="U75" s="172"/>
      <c r="V75" s="172"/>
      <c r="W75" s="172"/>
      <c r="X75" s="173">
        <f t="shared" si="8"/>
        <v>26.49</v>
      </c>
      <c r="Y75" s="234" t="s">
        <v>246</v>
      </c>
      <c r="Z75" s="187"/>
      <c r="AA75" s="177">
        <v>33</v>
      </c>
      <c r="AB75" s="177"/>
      <c r="AC75" s="188"/>
      <c r="AD75" s="187"/>
      <c r="AE75" s="188"/>
      <c r="AF75" s="187"/>
      <c r="AG75" s="188"/>
      <c r="AH75" s="417">
        <f t="shared" si="6"/>
        <v>8.7416999999999998</v>
      </c>
      <c r="AI75" s="178"/>
      <c r="AJ75" s="177"/>
      <c r="AK75" s="177"/>
      <c r="AL75" s="177"/>
      <c r="AM75" s="177"/>
      <c r="AN75" s="177"/>
      <c r="AO75" s="177"/>
      <c r="AP75" s="177"/>
      <c r="AQ75" s="188">
        <f>X75*AA75/100</f>
        <v>8.7416999999999998</v>
      </c>
      <c r="AR75" s="159"/>
    </row>
    <row r="76" spans="1:44" x14ac:dyDescent="0.25">
      <c r="A76" s="191"/>
      <c r="B76" s="172"/>
      <c r="C76" s="172"/>
      <c r="D76" s="172"/>
      <c r="E76" s="175"/>
      <c r="F76" s="175">
        <v>282.36821499999996</v>
      </c>
      <c r="G76" s="175"/>
      <c r="H76" s="175"/>
      <c r="I76" s="175"/>
      <c r="J76" s="175"/>
      <c r="K76" s="175"/>
      <c r="L76" s="175"/>
      <c r="M76" s="175"/>
      <c r="N76" s="175"/>
      <c r="O76" s="175"/>
      <c r="P76" s="175">
        <v>19.081784999999996</v>
      </c>
      <c r="Q76" s="175"/>
      <c r="R76" s="172"/>
      <c r="S76" s="172"/>
      <c r="T76" s="172"/>
      <c r="U76" s="172"/>
      <c r="V76" s="172"/>
      <c r="W76" s="172"/>
      <c r="X76" s="173">
        <f t="shared" si="8"/>
        <v>301.44999999999993</v>
      </c>
      <c r="Y76" s="235" t="s">
        <v>248</v>
      </c>
      <c r="Z76" s="187"/>
      <c r="AA76" s="177">
        <v>33</v>
      </c>
      <c r="AB76" s="177"/>
      <c r="AC76" s="188"/>
      <c r="AD76" s="187"/>
      <c r="AE76" s="188"/>
      <c r="AF76" s="187"/>
      <c r="AG76" s="188"/>
      <c r="AH76" s="417">
        <f t="shared" si="6"/>
        <v>99.478499999999983</v>
      </c>
      <c r="AI76" s="178"/>
      <c r="AJ76" s="177"/>
      <c r="AK76" s="177"/>
      <c r="AL76" s="177"/>
      <c r="AM76" s="177"/>
      <c r="AN76" s="177"/>
      <c r="AO76" s="177"/>
      <c r="AP76" s="177"/>
      <c r="AQ76" s="188">
        <f>X76*AA76/100</f>
        <v>99.478499999999983</v>
      </c>
      <c r="AR76" s="159"/>
    </row>
    <row r="77" spans="1:44" x14ac:dyDescent="0.25">
      <c r="A77" s="191"/>
      <c r="B77" s="172"/>
      <c r="C77" s="172"/>
      <c r="D77" s="172"/>
      <c r="E77" s="175"/>
      <c r="F77" s="138">
        <v>37.601499644211493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2"/>
      <c r="S77" s="172"/>
      <c r="T77" s="172"/>
      <c r="U77" s="172"/>
      <c r="V77" s="172"/>
      <c r="W77" s="172"/>
      <c r="X77" s="173">
        <f t="shared" si="8"/>
        <v>37.601499644211493</v>
      </c>
      <c r="Y77" s="234" t="s">
        <v>285</v>
      </c>
      <c r="Z77" s="187"/>
      <c r="AA77" s="177">
        <v>33</v>
      </c>
      <c r="AB77" s="177"/>
      <c r="AC77" s="188"/>
      <c r="AD77" s="187"/>
      <c r="AE77" s="188"/>
      <c r="AF77" s="187"/>
      <c r="AG77" s="188"/>
      <c r="AH77" s="417">
        <f t="shared" si="6"/>
        <v>12.408494882589794</v>
      </c>
      <c r="AI77" s="178"/>
      <c r="AJ77" s="177"/>
      <c r="AK77" s="177"/>
      <c r="AL77" s="177"/>
      <c r="AM77" s="177"/>
      <c r="AN77" s="177"/>
      <c r="AO77" s="177"/>
      <c r="AP77" s="177">
        <f>X77*AA77%</f>
        <v>12.408494882589794</v>
      </c>
      <c r="AQ77" s="188"/>
      <c r="AR77" s="159"/>
    </row>
    <row r="78" spans="1:44" x14ac:dyDescent="0.25">
      <c r="A78" s="425"/>
      <c r="B78" s="426"/>
      <c r="C78" s="427"/>
      <c r="D78" s="427"/>
      <c r="E78" s="427"/>
      <c r="F78" s="247">
        <v>30.107094424259472</v>
      </c>
      <c r="G78" s="427"/>
      <c r="H78" s="427"/>
      <c r="I78" s="427"/>
      <c r="J78" s="426"/>
      <c r="K78" s="426"/>
      <c r="L78" s="426"/>
      <c r="M78" s="426"/>
      <c r="N78" s="198"/>
      <c r="O78" s="426"/>
      <c r="P78" s="426"/>
      <c r="Q78" s="426"/>
      <c r="R78" s="426"/>
      <c r="S78" s="426"/>
      <c r="T78" s="426"/>
      <c r="U78" s="426"/>
      <c r="V78" s="426"/>
      <c r="W78" s="426"/>
      <c r="X78" s="173">
        <f t="shared" si="8"/>
        <v>30.107094424259472</v>
      </c>
      <c r="Y78" s="248" t="s">
        <v>250</v>
      </c>
      <c r="Z78" s="428"/>
      <c r="AA78" s="177">
        <v>33</v>
      </c>
      <c r="AB78" s="199"/>
      <c r="AC78" s="201"/>
      <c r="AD78" s="187">
        <f>-AE78/$D$2%</f>
        <v>0</v>
      </c>
      <c r="AE78" s="201"/>
      <c r="AF78" s="428"/>
      <c r="AG78" s="201"/>
      <c r="AH78" s="417">
        <f t="shared" si="6"/>
        <v>9.9353411600056258</v>
      </c>
      <c r="AI78" s="429"/>
      <c r="AJ78" s="199"/>
      <c r="AK78" s="199"/>
      <c r="AL78" s="199"/>
      <c r="AM78" s="199"/>
      <c r="AN78" s="199"/>
      <c r="AO78" s="199"/>
      <c r="AP78" s="199"/>
      <c r="AQ78" s="188">
        <f>X78*AA78/100+AE78*AA78%</f>
        <v>9.9353411600056258</v>
      </c>
      <c r="AR78" s="159"/>
    </row>
    <row r="79" spans="1:44" x14ac:dyDescent="0.25">
      <c r="A79" s="425"/>
      <c r="B79" s="426"/>
      <c r="C79" s="427"/>
      <c r="D79" s="427"/>
      <c r="E79" s="427"/>
      <c r="F79" s="427"/>
      <c r="G79" s="249">
        <v>335.22584887306454</v>
      </c>
      <c r="H79" s="177">
        <v>0.62506389501498216</v>
      </c>
      <c r="I79" s="427"/>
      <c r="J79" s="426"/>
      <c r="K79" s="426"/>
      <c r="L79" s="426"/>
      <c r="M79" s="426"/>
      <c r="N79" s="198"/>
      <c r="O79" s="426"/>
      <c r="P79" s="426"/>
      <c r="Q79" s="426"/>
      <c r="R79" s="426"/>
      <c r="S79" s="426"/>
      <c r="T79" s="426"/>
      <c r="U79" s="426"/>
      <c r="V79" s="426"/>
      <c r="W79" s="426"/>
      <c r="X79" s="173">
        <f t="shared" si="8"/>
        <v>335.85091276807952</v>
      </c>
      <c r="Y79" s="248" t="s">
        <v>252</v>
      </c>
      <c r="Z79" s="428"/>
      <c r="AA79" s="177">
        <v>33</v>
      </c>
      <c r="AB79" s="199"/>
      <c r="AC79" s="201"/>
      <c r="AD79" s="428"/>
      <c r="AE79" s="201"/>
      <c r="AF79" s="428"/>
      <c r="AG79" s="201"/>
      <c r="AH79" s="417">
        <f t="shared" si="6"/>
        <v>110.83080121346624</v>
      </c>
      <c r="AI79" s="430"/>
      <c r="AJ79" s="199"/>
      <c r="AK79" s="199"/>
      <c r="AL79" s="199"/>
      <c r="AM79" s="199"/>
      <c r="AN79" s="199"/>
      <c r="AO79" s="199"/>
      <c r="AP79" s="199"/>
      <c r="AQ79" s="188">
        <f>X79*AA79/100</f>
        <v>110.83080121346624</v>
      </c>
      <c r="AR79" s="159"/>
    </row>
    <row r="80" spans="1:44" ht="15.75" thickBot="1" x14ac:dyDescent="0.3">
      <c r="A80" s="425"/>
      <c r="B80" s="426"/>
      <c r="C80" s="427"/>
      <c r="D80" s="247">
        <v>6.9684014751648684</v>
      </c>
      <c r="E80" s="427"/>
      <c r="F80" s="247">
        <v>49.612468616513539</v>
      </c>
      <c r="G80" s="427"/>
      <c r="H80" s="427"/>
      <c r="I80" s="427"/>
      <c r="J80" s="426"/>
      <c r="K80" s="426"/>
      <c r="L80" s="426"/>
      <c r="M80" s="426"/>
      <c r="N80" s="198"/>
      <c r="O80" s="426"/>
      <c r="P80" s="426"/>
      <c r="Q80" s="426"/>
      <c r="R80" s="426"/>
      <c r="S80" s="426"/>
      <c r="T80" s="426"/>
      <c r="U80" s="426"/>
      <c r="V80" s="426"/>
      <c r="W80" s="426"/>
      <c r="X80" s="431">
        <f t="shared" si="8"/>
        <v>56.580870091678406</v>
      </c>
      <c r="Y80" s="250" t="s">
        <v>254</v>
      </c>
      <c r="Z80" s="432"/>
      <c r="AA80" s="177">
        <v>33</v>
      </c>
      <c r="AB80" s="436"/>
      <c r="AC80" s="433"/>
      <c r="AD80" s="432"/>
      <c r="AE80" s="433"/>
      <c r="AF80" s="432"/>
      <c r="AG80" s="433"/>
      <c r="AH80" s="434">
        <f t="shared" si="6"/>
        <v>18.671687130253876</v>
      </c>
      <c r="AI80" s="435"/>
      <c r="AJ80" s="436"/>
      <c r="AK80" s="436"/>
      <c r="AL80" s="436"/>
      <c r="AM80" s="436"/>
      <c r="AN80" s="436"/>
      <c r="AO80" s="436"/>
      <c r="AP80" s="436"/>
      <c r="AQ80" s="188">
        <f>X80*AA80/100</f>
        <v>18.671687130253876</v>
      </c>
      <c r="AR80" s="159"/>
    </row>
    <row r="81" spans="1:51" ht="15.75" thickBot="1" x14ac:dyDescent="0.3">
      <c r="A81" s="437">
        <f t="shared" ref="A81:W81" si="9">SUM(A8:A80)</f>
        <v>530.03641278869748</v>
      </c>
      <c r="B81" s="438">
        <f t="shared" si="9"/>
        <v>20.38515701917029</v>
      </c>
      <c r="C81" s="438">
        <f t="shared" si="9"/>
        <v>0</v>
      </c>
      <c r="D81" s="438">
        <f t="shared" si="9"/>
        <v>6.9684014751648684</v>
      </c>
      <c r="E81" s="438">
        <f t="shared" si="9"/>
        <v>156.25464864864864</v>
      </c>
      <c r="F81" s="438">
        <f t="shared" si="9"/>
        <v>906.92485768498443</v>
      </c>
      <c r="G81" s="438">
        <f t="shared" si="9"/>
        <v>335.22584887306454</v>
      </c>
      <c r="H81" s="438">
        <f t="shared" si="9"/>
        <v>528.90565989501488</v>
      </c>
      <c r="I81" s="438">
        <f t="shared" si="9"/>
        <v>3179.52882856</v>
      </c>
      <c r="J81" s="438">
        <f t="shared" si="9"/>
        <v>50</v>
      </c>
      <c r="K81" s="438">
        <f t="shared" si="9"/>
        <v>0</v>
      </c>
      <c r="L81" s="438">
        <f t="shared" si="9"/>
        <v>18.600753402947522</v>
      </c>
      <c r="M81" s="438">
        <f t="shared" si="9"/>
        <v>0</v>
      </c>
      <c r="N81" s="438">
        <f t="shared" si="9"/>
        <v>0.85183978141703331</v>
      </c>
      <c r="O81" s="438">
        <f t="shared" si="9"/>
        <v>0</v>
      </c>
      <c r="P81" s="438">
        <f t="shared" si="9"/>
        <v>84.465608999999986</v>
      </c>
      <c r="Q81" s="438">
        <f t="shared" si="9"/>
        <v>26.943000000000001</v>
      </c>
      <c r="R81" s="438">
        <f t="shared" si="9"/>
        <v>177.255</v>
      </c>
      <c r="S81" s="438">
        <f t="shared" si="9"/>
        <v>241.637</v>
      </c>
      <c r="T81" s="438">
        <f t="shared" si="9"/>
        <v>0</v>
      </c>
      <c r="U81" s="438">
        <f t="shared" si="9"/>
        <v>227.51025000000001</v>
      </c>
      <c r="V81" s="438">
        <f t="shared" si="9"/>
        <v>10.193999999999999</v>
      </c>
      <c r="W81" s="438">
        <f t="shared" si="9"/>
        <v>186.14475000000002</v>
      </c>
      <c r="X81" s="439">
        <f>SUM(X8:X80)</f>
        <v>6687.8320171291107</v>
      </c>
      <c r="Y81" s="440" t="s">
        <v>464</v>
      </c>
      <c r="Z81" s="441"/>
      <c r="AA81" s="441"/>
      <c r="AB81" s="441"/>
      <c r="AC81" s="441"/>
      <c r="AD81" s="437">
        <f t="shared" ref="AD81:AQ81" si="10">SUM(AD8:AD80)</f>
        <v>-2.8421709430404007E-14</v>
      </c>
      <c r="AE81" s="439">
        <f t="shared" si="10"/>
        <v>1315.5466161427723</v>
      </c>
      <c r="AF81" s="437">
        <f t="shared" si="10"/>
        <v>0</v>
      </c>
      <c r="AG81" s="439">
        <f t="shared" si="10"/>
        <v>1628.2823079280004</v>
      </c>
      <c r="AH81" s="440">
        <f t="shared" si="10"/>
        <v>3895.263113230299</v>
      </c>
      <c r="AI81" s="442">
        <f t="shared" si="10"/>
        <v>1547.9828102173756</v>
      </c>
      <c r="AJ81" s="438">
        <f t="shared" si="10"/>
        <v>344.28322561941803</v>
      </c>
      <c r="AK81" s="438">
        <f t="shared" si="10"/>
        <v>319.65211444826008</v>
      </c>
      <c r="AL81" s="438">
        <f t="shared" si="10"/>
        <v>205.48744721113204</v>
      </c>
      <c r="AM81" s="438">
        <f t="shared" si="10"/>
        <v>8.7245768240568005</v>
      </c>
      <c r="AN81" s="438">
        <f t="shared" si="10"/>
        <v>914.91389986059187</v>
      </c>
      <c r="AO81" s="438">
        <f t="shared" si="10"/>
        <v>25.745772455844008</v>
      </c>
      <c r="AP81" s="438">
        <f t="shared" si="10"/>
        <v>38.641465156437789</v>
      </c>
      <c r="AQ81" s="439">
        <f t="shared" si="10"/>
        <v>489.83180143718272</v>
      </c>
      <c r="AR81" s="159"/>
    </row>
    <row r="82" spans="1:51" x14ac:dyDescent="0.25">
      <c r="A82" s="391">
        <f>A81*A89/1000</f>
        <v>84.805826046191598</v>
      </c>
      <c r="B82" s="386">
        <f>B81*B89/1000</f>
        <v>1.2863034079096454</v>
      </c>
      <c r="C82" s="386">
        <f>C81*C87/1000</f>
        <v>0</v>
      </c>
      <c r="D82" s="386">
        <f t="shared" ref="D82:I82" si="11">D81*D89/1000</f>
        <v>0.54353531506285968</v>
      </c>
      <c r="E82" s="386">
        <f t="shared" si="11"/>
        <v>11.562843999999998</v>
      </c>
      <c r="F82" s="386">
        <f t="shared" si="11"/>
        <v>67.112439468688848</v>
      </c>
      <c r="G82" s="386">
        <f t="shared" si="11"/>
        <v>24.136261118860645</v>
      </c>
      <c r="H82" s="386">
        <f t="shared" si="11"/>
        <v>38.610113172336085</v>
      </c>
      <c r="I82" s="386">
        <f t="shared" si="11"/>
        <v>183.14086052505598</v>
      </c>
      <c r="J82" s="386">
        <f t="shared" ref="J82:V82" si="12">J81*J87/1000</f>
        <v>0</v>
      </c>
      <c r="K82" s="386">
        <f t="shared" si="12"/>
        <v>0</v>
      </c>
      <c r="L82" s="386">
        <f t="shared" si="12"/>
        <v>0</v>
      </c>
      <c r="M82" s="386">
        <f t="shared" si="12"/>
        <v>0</v>
      </c>
      <c r="N82" s="386">
        <v>0</v>
      </c>
      <c r="O82" s="386">
        <f t="shared" si="12"/>
        <v>0</v>
      </c>
      <c r="P82" s="386">
        <f t="shared" si="12"/>
        <v>0</v>
      </c>
      <c r="Q82" s="386">
        <f t="shared" si="12"/>
        <v>0</v>
      </c>
      <c r="R82" s="386">
        <f t="shared" si="12"/>
        <v>0</v>
      </c>
      <c r="S82" s="386">
        <f t="shared" si="12"/>
        <v>0</v>
      </c>
      <c r="T82" s="386">
        <f t="shared" si="12"/>
        <v>0</v>
      </c>
      <c r="U82" s="386">
        <f t="shared" si="12"/>
        <v>0</v>
      </c>
      <c r="V82" s="386">
        <f t="shared" si="12"/>
        <v>0</v>
      </c>
      <c r="W82" s="386">
        <f>W81*W89/1000</f>
        <v>15.304821345000001</v>
      </c>
      <c r="X82" s="418">
        <f>SUM(A82:W82)</f>
        <v>426.50300439910563</v>
      </c>
      <c r="Y82" s="443" t="s">
        <v>521</v>
      </c>
      <c r="Z82" s="444">
        <f>X82*1000/D1</f>
        <v>8.4667289553957517</v>
      </c>
      <c r="AA82" s="445" t="s">
        <v>465</v>
      </c>
      <c r="AB82" s="445"/>
      <c r="AC82" s="446"/>
      <c r="AD82" s="447"/>
      <c r="AE82" s="447"/>
      <c r="AF82" s="447"/>
      <c r="AG82" s="447"/>
      <c r="AH82" s="447"/>
      <c r="AI82" s="447"/>
      <c r="AJ82" s="447"/>
      <c r="AK82" s="447"/>
      <c r="AL82" s="196"/>
      <c r="AM82" s="196"/>
      <c r="AN82" s="196"/>
      <c r="AO82" s="196"/>
      <c r="AP82" s="196"/>
      <c r="AQ82" s="196"/>
      <c r="AR82" s="159"/>
      <c r="AS82" s="137"/>
      <c r="AT82" s="137"/>
      <c r="AU82" s="137"/>
      <c r="AV82" s="137"/>
      <c r="AW82" s="137"/>
      <c r="AX82" s="137"/>
      <c r="AY82" s="137"/>
    </row>
    <row r="83" spans="1:51" x14ac:dyDescent="0.25">
      <c r="A83" s="191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5">
        <v>229.66365161464361</v>
      </c>
      <c r="P83" s="175">
        <v>674.58061439999994</v>
      </c>
      <c r="Q83" s="175">
        <v>690.99633108414662</v>
      </c>
      <c r="R83" s="175">
        <v>438.65263353147589</v>
      </c>
      <c r="S83" s="172"/>
      <c r="T83" s="172"/>
      <c r="U83" s="172"/>
      <c r="V83" s="172"/>
      <c r="W83" s="172"/>
      <c r="X83" s="173">
        <f>SUM(A83:W83)</f>
        <v>2033.8932306302661</v>
      </c>
      <c r="Y83" s="192" t="s">
        <v>466</v>
      </c>
      <c r="Z83" s="251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14.736654584316325</v>
      </c>
      <c r="AA83" s="74" t="s">
        <v>550</v>
      </c>
      <c r="AB83" s="217"/>
      <c r="AC83" s="218"/>
      <c r="AD83" s="447"/>
      <c r="AE83" s="447"/>
      <c r="AF83" s="447"/>
      <c r="AG83" s="447"/>
      <c r="AH83" s="447"/>
      <c r="AI83" s="447"/>
      <c r="AJ83" s="447"/>
      <c r="AK83" s="447"/>
      <c r="AL83" s="196"/>
      <c r="AM83" s="196"/>
      <c r="AN83" s="196"/>
      <c r="AO83" s="196"/>
      <c r="AP83" s="196"/>
      <c r="AQ83" s="196"/>
      <c r="AR83" s="159"/>
      <c r="AS83" s="137"/>
      <c r="AT83" s="137"/>
      <c r="AU83" s="137"/>
      <c r="AV83" s="137"/>
      <c r="AW83" s="137"/>
      <c r="AX83" s="137"/>
      <c r="AY83" s="137"/>
    </row>
    <row r="84" spans="1:51" ht="15.75" thickBot="1" x14ac:dyDescent="0.3">
      <c r="A84" s="448"/>
      <c r="B84" s="449"/>
      <c r="C84" s="449"/>
      <c r="D84" s="449"/>
      <c r="E84" s="449"/>
      <c r="F84" s="449"/>
      <c r="G84" s="449"/>
      <c r="H84" s="449"/>
      <c r="I84" s="449"/>
      <c r="J84" s="449" t="str">
        <f>IF(J83&gt;0,J81/J83*100,"")</f>
        <v/>
      </c>
      <c r="K84" s="449" t="str">
        <f t="shared" ref="K84:W84" si="13">IF(K83&gt;0,K81/K83*100,"")</f>
        <v/>
      </c>
      <c r="L84" s="449" t="str">
        <f t="shared" si="13"/>
        <v/>
      </c>
      <c r="M84" s="449" t="str">
        <f t="shared" si="13"/>
        <v/>
      </c>
      <c r="N84" s="449" t="str">
        <f t="shared" si="13"/>
        <v/>
      </c>
      <c r="O84" s="449">
        <f t="shared" si="13"/>
        <v>0</v>
      </c>
      <c r="P84" s="449">
        <f t="shared" si="13"/>
        <v>12.521203129314234</v>
      </c>
      <c r="Q84" s="449">
        <f t="shared" si="13"/>
        <v>3.8991523960376853</v>
      </c>
      <c r="R84" s="449">
        <f t="shared" si="13"/>
        <v>40.408967472272323</v>
      </c>
      <c r="S84" s="449" t="str">
        <f t="shared" si="13"/>
        <v/>
      </c>
      <c r="T84" s="449" t="str">
        <f t="shared" si="13"/>
        <v/>
      </c>
      <c r="U84" s="449" t="str">
        <f t="shared" si="13"/>
        <v/>
      </c>
      <c r="V84" s="449" t="str">
        <f>IF(V83&gt;0,V81/V83*100,"")</f>
        <v/>
      </c>
      <c r="W84" s="449" t="str">
        <f t="shared" si="13"/>
        <v/>
      </c>
      <c r="X84" s="450">
        <f>SUMIF(J83:W83,"&gt;0",J81:W81)/SUM(J83:W83)%</f>
        <v>14.192662852343947</v>
      </c>
      <c r="Y84" s="451" t="s">
        <v>467</v>
      </c>
      <c r="Z84" s="252"/>
      <c r="AA84" s="253"/>
      <c r="AB84" s="219"/>
      <c r="AC84" s="220"/>
      <c r="AD84" s="447"/>
      <c r="AE84" s="447"/>
      <c r="AF84" s="447"/>
      <c r="AG84" s="447"/>
      <c r="AH84" s="447"/>
      <c r="AI84" s="447"/>
      <c r="AJ84" s="447"/>
      <c r="AK84" s="447"/>
      <c r="AL84" s="196"/>
      <c r="AM84" s="196"/>
      <c r="AN84" s="196"/>
      <c r="AO84" s="196"/>
      <c r="AP84" s="196"/>
      <c r="AQ84" s="196"/>
      <c r="AR84" s="159"/>
      <c r="AS84" s="137"/>
      <c r="AT84" s="137"/>
      <c r="AU84" s="137"/>
      <c r="AV84" s="137"/>
      <c r="AW84" s="137"/>
      <c r="AX84" s="137"/>
      <c r="AY84" s="137"/>
    </row>
    <row r="85" spans="1:51" ht="15.75" thickBot="1" x14ac:dyDescent="0.3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166"/>
      <c r="Z85" s="166"/>
      <c r="AA85" s="161"/>
      <c r="AB85" s="166"/>
      <c r="AC85" s="245"/>
      <c r="AD85" s="395"/>
      <c r="AE85" s="395"/>
      <c r="AF85" s="395"/>
      <c r="AG85" s="395"/>
      <c r="AH85" s="395"/>
      <c r="AI85" s="395"/>
      <c r="AJ85" s="395"/>
      <c r="AK85" s="395"/>
      <c r="AL85" s="245"/>
      <c r="AM85" s="245"/>
      <c r="AN85" s="245"/>
      <c r="AO85" s="245"/>
      <c r="AP85" s="245"/>
      <c r="AQ85" s="245"/>
      <c r="AR85" s="159"/>
      <c r="AS85" s="137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483" t="s">
        <v>468</v>
      </c>
      <c r="B86" s="808" t="str">
        <f t="shared" ref="B86:W86" si="14">B7</f>
        <v xml:space="preserve">  LPG og petroleum</v>
      </c>
      <c r="C86" s="808" t="str">
        <f t="shared" si="14"/>
        <v xml:space="preserve">  Kul</v>
      </c>
      <c r="D86" s="808" t="str">
        <f t="shared" si="14"/>
        <v xml:space="preserve">  Fuelolie</v>
      </c>
      <c r="E86" s="808" t="str">
        <f t="shared" si="14"/>
        <v xml:space="preserve">  Brændselsolie</v>
      </c>
      <c r="F86" s="808" t="str">
        <f t="shared" si="14"/>
        <v xml:space="preserve">  Dieselolie</v>
      </c>
      <c r="G86" s="808" t="str">
        <f t="shared" si="14"/>
        <v xml:space="preserve">  JP1</v>
      </c>
      <c r="H86" s="808" t="str">
        <f t="shared" si="14"/>
        <v xml:space="preserve">  Benzin</v>
      </c>
      <c r="I86" s="808" t="str">
        <f t="shared" si="14"/>
        <v xml:space="preserve">  Naturgas</v>
      </c>
      <c r="J86" s="808" t="str">
        <f t="shared" si="14"/>
        <v xml:space="preserve">  Vindenergi</v>
      </c>
      <c r="K86" s="808" t="str">
        <f t="shared" si="14"/>
        <v xml:space="preserve">  Vandenergi</v>
      </c>
      <c r="L86" s="808" t="str">
        <f t="shared" si="14"/>
        <v xml:space="preserve">  Solenergi</v>
      </c>
      <c r="M86" s="808" t="str">
        <f t="shared" si="14"/>
        <v xml:space="preserve">  Geotermi</v>
      </c>
      <c r="N86" s="808" t="str">
        <f t="shared" si="14"/>
        <v xml:space="preserve">  Varmekilder til varmepumper</v>
      </c>
      <c r="O86" s="808" t="str">
        <f t="shared" si="14"/>
        <v xml:space="preserve">  Husdyrsgødning</v>
      </c>
      <c r="P86" s="808" t="str">
        <f t="shared" si="14"/>
        <v xml:space="preserve">  Biobrændstof og energiafgrøder</v>
      </c>
      <c r="Q86" s="808" t="str">
        <f t="shared" si="14"/>
        <v xml:space="preserve">  Halm</v>
      </c>
      <c r="R86" s="808" t="str">
        <f t="shared" si="14"/>
        <v xml:space="preserve">  Brænde og træflis</v>
      </c>
      <c r="S86" s="808" t="str">
        <f t="shared" si="14"/>
        <v xml:space="preserve">  Træpiller og træaffald</v>
      </c>
      <c r="T86" s="808" t="str">
        <f t="shared" si="14"/>
        <v xml:space="preserve">  Organisk affald, industri</v>
      </c>
      <c r="U86" s="808" t="str">
        <f t="shared" si="14"/>
        <v xml:space="preserve">  Organisk affald, husholdninger</v>
      </c>
      <c r="V86" s="808" t="str">
        <f t="shared" si="14"/>
        <v xml:space="preserve">  Deponi, slam, renseanlæg</v>
      </c>
      <c r="W86" s="811" t="str">
        <f t="shared" si="14"/>
        <v xml:space="preserve">  Affald, ikke bionedbrydeligt</v>
      </c>
      <c r="X86" s="166"/>
      <c r="Y86" s="166"/>
      <c r="Z86" s="166"/>
      <c r="AA86" s="161"/>
      <c r="AB86" s="166"/>
      <c r="AC86" s="166"/>
      <c r="AD86" s="161"/>
      <c r="AE86" s="161"/>
      <c r="AF86" s="161"/>
      <c r="AG86" s="161"/>
      <c r="AH86" s="161"/>
      <c r="AI86" s="161"/>
      <c r="AJ86" s="161"/>
      <c r="AK86" s="161"/>
      <c r="AL86" s="166"/>
      <c r="AM86" s="166"/>
      <c r="AN86" s="166"/>
      <c r="AO86" s="166"/>
      <c r="AP86" s="166"/>
      <c r="AQ86" s="166"/>
      <c r="AR86" s="52"/>
      <c r="AS86" s="137"/>
      <c r="AT86" s="137"/>
      <c r="AU86" s="137"/>
      <c r="AV86" s="137"/>
      <c r="AW86" s="137"/>
      <c r="AX86" s="137"/>
      <c r="AY86" s="137"/>
    </row>
    <row r="87" spans="1:51" ht="15.75" x14ac:dyDescent="0.25">
      <c r="A87" s="452">
        <v>33</v>
      </c>
      <c r="B87" s="809"/>
      <c r="C87" s="809"/>
      <c r="D87" s="809"/>
      <c r="E87" s="809"/>
      <c r="F87" s="809"/>
      <c r="G87" s="809"/>
      <c r="H87" s="809"/>
      <c r="I87" s="809"/>
      <c r="J87" s="809"/>
      <c r="K87" s="809"/>
      <c r="L87" s="809"/>
      <c r="M87" s="809"/>
      <c r="N87" s="809"/>
      <c r="O87" s="809"/>
      <c r="P87" s="809"/>
      <c r="Q87" s="809"/>
      <c r="R87" s="809"/>
      <c r="S87" s="809"/>
      <c r="T87" s="809"/>
      <c r="U87" s="809"/>
      <c r="V87" s="809"/>
      <c r="W87" s="812"/>
      <c r="X87" s="166"/>
      <c r="Y87" s="166"/>
      <c r="Z87" s="166"/>
      <c r="AA87" s="161"/>
      <c r="AB87" s="166"/>
      <c r="AC87" s="166"/>
      <c r="AD87" s="161"/>
      <c r="AE87" s="161"/>
      <c r="AF87" s="161"/>
      <c r="AG87" s="161"/>
      <c r="AH87" s="161"/>
      <c r="AI87" s="161"/>
      <c r="AJ87" s="161"/>
      <c r="AK87" s="161"/>
      <c r="AL87" s="166"/>
      <c r="AM87" s="166"/>
      <c r="AN87" s="166"/>
      <c r="AO87" s="166"/>
      <c r="AP87" s="166"/>
      <c r="AQ87" s="166"/>
      <c r="AR87" s="52"/>
      <c r="AS87" s="137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484" t="s">
        <v>469</v>
      </c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3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52"/>
      <c r="AS88" s="137"/>
      <c r="AT88" s="137"/>
      <c r="AU88" s="137"/>
      <c r="AV88" s="137"/>
      <c r="AW88" s="137"/>
      <c r="AX88" s="137"/>
      <c r="AY88" s="137"/>
    </row>
    <row r="89" spans="1:51" ht="16.5" thickBot="1" x14ac:dyDescent="0.3">
      <c r="A89" s="453">
        <v>160</v>
      </c>
      <c r="B89" s="222">
        <v>63.1</v>
      </c>
      <c r="C89" s="222">
        <v>94.25</v>
      </c>
      <c r="D89" s="222">
        <v>78</v>
      </c>
      <c r="E89" s="222">
        <v>74</v>
      </c>
      <c r="F89" s="222">
        <v>74</v>
      </c>
      <c r="G89" s="222">
        <v>72</v>
      </c>
      <c r="H89" s="222">
        <v>73</v>
      </c>
      <c r="I89" s="222">
        <v>57.6</v>
      </c>
      <c r="J89" s="222"/>
      <c r="K89" s="222"/>
      <c r="L89" s="222"/>
      <c r="M89" s="222"/>
      <c r="N89" s="225"/>
      <c r="O89" s="222"/>
      <c r="P89" s="222"/>
      <c r="Q89" s="222"/>
      <c r="R89" s="222"/>
      <c r="S89" s="222"/>
      <c r="T89" s="222"/>
      <c r="U89" s="222"/>
      <c r="V89" s="225"/>
      <c r="W89" s="225">
        <v>82.22</v>
      </c>
      <c r="X89" s="456" t="s">
        <v>522</v>
      </c>
      <c r="Y89" s="457"/>
      <c r="Z89" s="458"/>
      <c r="AA89" s="458"/>
      <c r="AB89" s="458"/>
      <c r="AC89" s="458"/>
      <c r="AD89" s="458"/>
      <c r="AE89" s="458"/>
      <c r="AF89" s="458"/>
      <c r="AG89" s="458"/>
      <c r="AH89" s="458"/>
      <c r="AI89" s="458"/>
      <c r="AJ89" s="458"/>
      <c r="AK89" s="458"/>
      <c r="AL89" s="458"/>
      <c r="AM89" s="458"/>
      <c r="AN89" s="458"/>
      <c r="AO89" s="458"/>
      <c r="AP89" s="458"/>
      <c r="AQ89" s="458"/>
      <c r="AR89" s="459"/>
      <c r="AS89" s="140"/>
      <c r="AT89" s="140"/>
      <c r="AU89" s="140"/>
      <c r="AV89" s="140"/>
      <c r="AW89" s="140"/>
      <c r="AX89" s="140"/>
      <c r="AY89" s="140"/>
    </row>
    <row r="90" spans="1:51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137"/>
      <c r="AT90" s="137"/>
      <c r="AU90" s="137"/>
      <c r="AV90" s="137"/>
      <c r="AW90" s="137"/>
      <c r="AX90" s="137"/>
      <c r="AY90" s="137"/>
    </row>
    <row r="91" spans="1:51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68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137"/>
      <c r="AT91" s="137"/>
      <c r="AU91" s="137"/>
      <c r="AV91" s="137"/>
      <c r="AW91" s="137"/>
      <c r="AX91" s="137"/>
      <c r="AY91" s="137"/>
    </row>
    <row r="92" spans="1:51" x14ac:dyDescent="0.25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245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52"/>
      <c r="AS92" s="137"/>
      <c r="AT92" s="137"/>
      <c r="AU92" s="137"/>
      <c r="AV92" s="137"/>
      <c r="AW92" s="137"/>
      <c r="AX92" s="137"/>
      <c r="AY92" s="137"/>
    </row>
    <row r="93" spans="1:51" ht="20.25" x14ac:dyDescent="0.3">
      <c r="A93" s="256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255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37"/>
      <c r="AS93" s="137"/>
      <c r="AT93" s="137"/>
      <c r="AU93" s="137"/>
      <c r="AV93" s="137"/>
      <c r="AW93" s="137"/>
      <c r="AX93" s="137"/>
      <c r="AY93" s="137"/>
    </row>
    <row r="94" spans="1:5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5"/>
      <c r="Y94" s="135"/>
      <c r="Z94" s="135"/>
      <c r="AA94" s="135"/>
      <c r="AB94" s="135"/>
      <c r="AC94" s="135"/>
      <c r="AD94" s="135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</row>
    <row r="95" spans="1:5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5"/>
      <c r="Y95" s="142"/>
      <c r="Z95" s="135"/>
      <c r="AA95" s="135"/>
      <c r="AB95" s="135"/>
      <c r="AC95" s="135"/>
      <c r="AD95" s="135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</row>
    <row r="117" spans="2:2" x14ac:dyDescent="0.25">
      <c r="B117" s="158" t="e">
        <f>' Plan Energi 2013'!AD</f>
        <v>#NAME?</v>
      </c>
    </row>
  </sheetData>
  <mergeCells count="30">
    <mergeCell ref="D1:E1"/>
    <mergeCell ref="Y1:Y2"/>
    <mergeCell ref="Y3:Y4"/>
    <mergeCell ref="A6:X6"/>
    <mergeCell ref="Z6:AC6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8"/>
  <dimension ref="A1:AY117"/>
  <sheetViews>
    <sheetView topLeftCell="A37" zoomScale="78" zoomScaleNormal="78" workbookViewId="0">
      <selection activeCell="O64" sqref="O64"/>
    </sheetView>
  </sheetViews>
  <sheetFormatPr defaultRowHeight="15" x14ac:dyDescent="0.25"/>
  <cols>
    <col min="1" max="24" width="9.140625" style="158"/>
    <col min="25" max="25" width="49.5703125" style="158" customWidth="1"/>
    <col min="26" max="29" width="9.140625" style="158"/>
    <col min="30" max="30" width="12.42578125" style="158" customWidth="1"/>
    <col min="31" max="16384" width="9.140625" style="158"/>
  </cols>
  <sheetData>
    <row r="1" spans="1:44" ht="23.25" x14ac:dyDescent="0.25">
      <c r="A1" s="393" t="s">
        <v>433</v>
      </c>
      <c r="B1" s="394"/>
      <c r="C1" s="394"/>
      <c r="D1" s="820">
        <v>50104</v>
      </c>
      <c r="E1" s="821"/>
      <c r="F1" s="395"/>
      <c r="G1" s="395"/>
      <c r="H1" s="395"/>
      <c r="I1" s="395"/>
      <c r="J1" s="310"/>
      <c r="K1" s="39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396"/>
      <c r="W1" s="396"/>
      <c r="X1" s="396"/>
      <c r="Y1" s="817" t="s">
        <v>434</v>
      </c>
      <c r="Z1" s="396"/>
      <c r="AA1" s="396"/>
      <c r="AB1" s="396"/>
      <c r="AC1" s="396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52"/>
    </row>
    <row r="2" spans="1:44" ht="23.25" x14ac:dyDescent="0.25">
      <c r="A2" s="397" t="s">
        <v>435</v>
      </c>
      <c r="B2" s="395"/>
      <c r="C2" s="395"/>
      <c r="D2" s="162">
        <v>92.08</v>
      </c>
      <c r="E2" s="399" t="s">
        <v>436</v>
      </c>
      <c r="F2" s="400"/>
      <c r="G2" s="395"/>
      <c r="H2" s="395"/>
      <c r="I2" s="395"/>
      <c r="J2" s="395"/>
      <c r="K2" s="39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396"/>
      <c r="W2" s="396"/>
      <c r="X2" s="396"/>
      <c r="Y2" s="817"/>
      <c r="Z2" s="396"/>
      <c r="AA2" s="396"/>
      <c r="AB2" s="396"/>
      <c r="AC2" s="396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52"/>
    </row>
    <row r="3" spans="1:44" ht="24" customHeight="1" thickBot="1" x14ac:dyDescent="0.3">
      <c r="A3" s="401" t="s">
        <v>437</v>
      </c>
      <c r="B3" s="402"/>
      <c r="C3" s="403"/>
      <c r="D3" s="402" t="s">
        <v>438</v>
      </c>
      <c r="E3" s="404"/>
      <c r="F3" s="395"/>
      <c r="G3" s="395"/>
      <c r="H3" s="395"/>
      <c r="I3" s="395"/>
      <c r="J3" s="395"/>
      <c r="K3" s="39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396"/>
      <c r="W3" s="396"/>
      <c r="X3" s="396"/>
      <c r="Y3" s="807" t="s">
        <v>785</v>
      </c>
      <c r="Z3" s="396"/>
      <c r="AA3" s="396"/>
      <c r="AB3" s="396"/>
      <c r="AC3" s="396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52"/>
    </row>
    <row r="4" spans="1:44" ht="23.25" customHeight="1" x14ac:dyDescent="0.25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396"/>
      <c r="W4" s="396"/>
      <c r="X4" s="396"/>
      <c r="Y4" s="807"/>
      <c r="Z4" s="396"/>
      <c r="AA4" s="396"/>
      <c r="AB4" s="396"/>
      <c r="AC4" s="396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52"/>
    </row>
    <row r="5" spans="1:44" x14ac:dyDescent="0.25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159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52"/>
    </row>
    <row r="6" spans="1:44" ht="15.75" x14ac:dyDescent="0.25">
      <c r="A6" s="814" t="s">
        <v>439</v>
      </c>
      <c r="B6" s="814"/>
      <c r="C6" s="814"/>
      <c r="D6" s="814"/>
      <c r="E6" s="814"/>
      <c r="F6" s="814"/>
      <c r="G6" s="814"/>
      <c r="H6" s="814"/>
      <c r="I6" s="814"/>
      <c r="J6" s="814"/>
      <c r="K6" s="814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405" t="s">
        <v>440</v>
      </c>
      <c r="Z6" s="814" t="s">
        <v>35</v>
      </c>
      <c r="AA6" s="814"/>
      <c r="AB6" s="814"/>
      <c r="AC6" s="814"/>
      <c r="AD6" s="814" t="s">
        <v>441</v>
      </c>
      <c r="AE6" s="814"/>
      <c r="AF6" s="814" t="s">
        <v>442</v>
      </c>
      <c r="AG6" s="814"/>
      <c r="AH6" s="406"/>
      <c r="AI6" s="814" t="s">
        <v>443</v>
      </c>
      <c r="AJ6" s="814"/>
      <c r="AK6" s="814"/>
      <c r="AL6" s="814"/>
      <c r="AM6" s="814"/>
      <c r="AN6" s="814"/>
      <c r="AO6" s="814"/>
      <c r="AP6" s="814"/>
      <c r="AQ6" s="814"/>
      <c r="AR6" s="52"/>
    </row>
    <row r="7" spans="1:44" ht="171.75" customHeight="1" thickBot="1" x14ac:dyDescent="0.65">
      <c r="A7" s="407" t="s">
        <v>378</v>
      </c>
      <c r="B7" s="408" t="s">
        <v>379</v>
      </c>
      <c r="C7" s="408" t="s">
        <v>380</v>
      </c>
      <c r="D7" s="408" t="s">
        <v>381</v>
      </c>
      <c r="E7" s="409" t="s">
        <v>383</v>
      </c>
      <c r="F7" s="408" t="s">
        <v>384</v>
      </c>
      <c r="G7" s="408" t="s">
        <v>385</v>
      </c>
      <c r="H7" s="409" t="s">
        <v>387</v>
      </c>
      <c r="I7" s="409" t="s">
        <v>549</v>
      </c>
      <c r="J7" s="409" t="s">
        <v>390</v>
      </c>
      <c r="K7" s="409" t="s">
        <v>392</v>
      </c>
      <c r="L7" s="409" t="s">
        <v>393</v>
      </c>
      <c r="M7" s="409" t="s">
        <v>394</v>
      </c>
      <c r="N7" s="409" t="s">
        <v>396</v>
      </c>
      <c r="O7" s="409" t="s">
        <v>397</v>
      </c>
      <c r="P7" s="409" t="s">
        <v>398</v>
      </c>
      <c r="Q7" s="409" t="s">
        <v>400</v>
      </c>
      <c r="R7" s="409" t="s">
        <v>401</v>
      </c>
      <c r="S7" s="409" t="s">
        <v>402</v>
      </c>
      <c r="T7" s="409" t="s">
        <v>403</v>
      </c>
      <c r="U7" s="409" t="s">
        <v>404</v>
      </c>
      <c r="V7" s="409" t="s">
        <v>405</v>
      </c>
      <c r="W7" s="409" t="s">
        <v>406</v>
      </c>
      <c r="X7" s="410" t="s">
        <v>444</v>
      </c>
      <c r="Y7" s="233"/>
      <c r="Z7" s="411" t="s">
        <v>445</v>
      </c>
      <c r="AA7" s="409" t="s">
        <v>446</v>
      </c>
      <c r="AB7" s="409" t="s">
        <v>447</v>
      </c>
      <c r="AC7" s="410" t="s">
        <v>448</v>
      </c>
      <c r="AD7" s="412" t="s">
        <v>449</v>
      </c>
      <c r="AE7" s="410" t="s">
        <v>450</v>
      </c>
      <c r="AF7" s="412" t="s">
        <v>449</v>
      </c>
      <c r="AG7" s="410" t="s">
        <v>450</v>
      </c>
      <c r="AH7" s="413" t="s">
        <v>451</v>
      </c>
      <c r="AI7" s="414" t="s">
        <v>452</v>
      </c>
      <c r="AJ7" s="409" t="s">
        <v>453</v>
      </c>
      <c r="AK7" s="409" t="s">
        <v>454</v>
      </c>
      <c r="AL7" s="409" t="s">
        <v>455</v>
      </c>
      <c r="AM7" s="409" t="s">
        <v>456</v>
      </c>
      <c r="AN7" s="409" t="s">
        <v>457</v>
      </c>
      <c r="AO7" s="415" t="s">
        <v>458</v>
      </c>
      <c r="AP7" s="415" t="s">
        <v>459</v>
      </c>
      <c r="AQ7" s="410" t="s">
        <v>460</v>
      </c>
      <c r="AR7" s="66"/>
    </row>
    <row r="8" spans="1:44" x14ac:dyDescent="0.25">
      <c r="A8" s="190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5"/>
      <c r="P8" s="175"/>
      <c r="Q8" s="175"/>
      <c r="R8" s="175"/>
      <c r="S8" s="175"/>
      <c r="T8" s="175"/>
      <c r="U8" s="175"/>
      <c r="V8" s="175"/>
      <c r="W8" s="175"/>
      <c r="X8" s="176">
        <f t="shared" ref="X8:X71" si="0">SUM(A8:W8)</f>
        <v>0</v>
      </c>
      <c r="Y8" s="234" t="s">
        <v>307</v>
      </c>
      <c r="Z8" s="169"/>
      <c r="AA8" s="170">
        <v>44</v>
      </c>
      <c r="AB8" s="170"/>
      <c r="AC8" s="188"/>
      <c r="AD8" s="187">
        <f t="shared" ref="AD8:AD14" si="1">-AE8/$D$2%</f>
        <v>-48.050493236415903</v>
      </c>
      <c r="AE8" s="188">
        <f>AH8/AA8%</f>
        <v>44.244894172091762</v>
      </c>
      <c r="AF8" s="187"/>
      <c r="AG8" s="188"/>
      <c r="AH8" s="417">
        <f t="shared" ref="AH8:AH14" si="2">SUM(AI8:AQ8)</f>
        <v>19.467753435720375</v>
      </c>
      <c r="AI8" s="69">
        <v>19.467753435720375</v>
      </c>
      <c r="AJ8" s="175"/>
      <c r="AK8" s="175"/>
      <c r="AL8" s="175"/>
      <c r="AM8" s="175"/>
      <c r="AN8" s="175"/>
      <c r="AO8" s="175"/>
      <c r="AP8" s="175"/>
      <c r="AQ8" s="176"/>
      <c r="AR8" s="52"/>
    </row>
    <row r="9" spans="1:44" x14ac:dyDescent="0.25">
      <c r="A9" s="190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5"/>
      <c r="P9" s="175"/>
      <c r="Q9" s="175"/>
      <c r="R9" s="175"/>
      <c r="S9" s="175"/>
      <c r="T9" s="175"/>
      <c r="U9" s="175"/>
      <c r="V9" s="175"/>
      <c r="W9" s="175"/>
      <c r="X9" s="176">
        <f t="shared" si="0"/>
        <v>0</v>
      </c>
      <c r="Y9" s="234" t="s">
        <v>314</v>
      </c>
      <c r="Z9" s="169"/>
      <c r="AA9" s="170"/>
      <c r="AB9" s="170">
        <v>90</v>
      </c>
      <c r="AC9" s="188"/>
      <c r="AD9" s="187">
        <f t="shared" si="1"/>
        <v>-5.8829934281939504</v>
      </c>
      <c r="AE9" s="188">
        <f>AH9/AB9%</f>
        <v>5.4170603486809892</v>
      </c>
      <c r="AF9" s="187"/>
      <c r="AG9" s="188"/>
      <c r="AH9" s="417">
        <f t="shared" si="2"/>
        <v>4.8753543138128901</v>
      </c>
      <c r="AI9" s="174">
        <v>4.8753543138128901</v>
      </c>
      <c r="AJ9" s="175"/>
      <c r="AK9" s="175"/>
      <c r="AL9" s="175"/>
      <c r="AM9" s="175"/>
      <c r="AN9" s="175"/>
      <c r="AO9" s="175"/>
      <c r="AP9" s="175"/>
      <c r="AQ9" s="176"/>
      <c r="AR9" s="52"/>
    </row>
    <row r="10" spans="1:44" x14ac:dyDescent="0.25">
      <c r="A10" s="190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5"/>
      <c r="P10" s="175"/>
      <c r="Q10" s="175"/>
      <c r="R10" s="175"/>
      <c r="S10" s="175"/>
      <c r="T10" s="175"/>
      <c r="U10" s="175"/>
      <c r="V10" s="175"/>
      <c r="W10" s="175"/>
      <c r="X10" s="176">
        <f t="shared" si="0"/>
        <v>0</v>
      </c>
      <c r="Y10" s="234" t="s">
        <v>316</v>
      </c>
      <c r="Z10" s="169"/>
      <c r="AA10" s="170"/>
      <c r="AB10" s="170">
        <v>100</v>
      </c>
      <c r="AC10" s="188"/>
      <c r="AD10" s="187">
        <f t="shared" si="1"/>
        <v>-24.960700688194322</v>
      </c>
      <c r="AE10" s="188">
        <f>AH10/AB10%</f>
        <v>22.983813193689329</v>
      </c>
      <c r="AF10" s="187"/>
      <c r="AG10" s="188"/>
      <c r="AH10" s="417">
        <f t="shared" si="2"/>
        <v>22.983813193689329</v>
      </c>
      <c r="AI10" s="174">
        <v>22.983813193689329</v>
      </c>
      <c r="AJ10" s="175"/>
      <c r="AK10" s="175"/>
      <c r="AL10" s="175"/>
      <c r="AM10" s="175"/>
      <c r="AN10" s="175"/>
      <c r="AO10" s="175"/>
      <c r="AP10" s="175"/>
      <c r="AQ10" s="176"/>
      <c r="AR10" s="52"/>
    </row>
    <row r="11" spans="1:44" x14ac:dyDescent="0.25">
      <c r="A11" s="190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5"/>
      <c r="P11" s="175"/>
      <c r="Q11" s="175"/>
      <c r="R11" s="175"/>
      <c r="S11" s="175"/>
      <c r="T11" s="175"/>
      <c r="U11" s="175"/>
      <c r="V11" s="175"/>
      <c r="W11" s="175"/>
      <c r="X11" s="176">
        <f t="shared" si="0"/>
        <v>0</v>
      </c>
      <c r="Y11" s="234" t="s">
        <v>305</v>
      </c>
      <c r="Z11" s="169"/>
      <c r="AA11" s="170">
        <v>50</v>
      </c>
      <c r="AB11" s="170"/>
      <c r="AC11" s="188"/>
      <c r="AD11" s="187">
        <f t="shared" si="1"/>
        <v>-189.25266239119003</v>
      </c>
      <c r="AE11" s="188">
        <f>AH11/AA11%</f>
        <v>174.26385152980777</v>
      </c>
      <c r="AF11" s="187"/>
      <c r="AG11" s="188"/>
      <c r="AH11" s="417">
        <f t="shared" si="2"/>
        <v>87.131925764903883</v>
      </c>
      <c r="AI11" s="174">
        <v>22.122447086045884</v>
      </c>
      <c r="AJ11" s="175">
        <v>27.002259950760003</v>
      </c>
      <c r="AK11" s="175">
        <v>14.465294061750001</v>
      </c>
      <c r="AL11" s="175">
        <v>12.622234066649996</v>
      </c>
      <c r="AM11" s="175">
        <v>0.30867900065999998</v>
      </c>
      <c r="AN11" s="175">
        <v>8.0598864862079989</v>
      </c>
      <c r="AO11" s="175">
        <v>0.10169957241000001</v>
      </c>
      <c r="AP11" s="175">
        <v>2.4494255404200009</v>
      </c>
      <c r="AQ11" s="176"/>
      <c r="AR11" s="52"/>
    </row>
    <row r="12" spans="1:44" x14ac:dyDescent="0.25">
      <c r="A12" s="190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5"/>
      <c r="P12" s="175"/>
      <c r="Q12" s="175"/>
      <c r="R12" s="175"/>
      <c r="S12" s="175"/>
      <c r="T12" s="175"/>
      <c r="U12" s="175"/>
      <c r="V12" s="175"/>
      <c r="W12" s="175"/>
      <c r="X12" s="176">
        <f t="shared" si="0"/>
        <v>0</v>
      </c>
      <c r="Y12" s="234" t="s">
        <v>309</v>
      </c>
      <c r="Z12" s="169"/>
      <c r="AA12" s="170">
        <v>150</v>
      </c>
      <c r="AB12" s="170"/>
      <c r="AC12" s="188"/>
      <c r="AD12" s="187">
        <f t="shared" si="1"/>
        <v>-147.96938303700969</v>
      </c>
      <c r="AE12" s="188">
        <f>AH12/AA12%</f>
        <v>136.25020790047853</v>
      </c>
      <c r="AF12" s="187"/>
      <c r="AG12" s="188"/>
      <c r="AH12" s="417">
        <f t="shared" si="2"/>
        <v>204.37531185071779</v>
      </c>
      <c r="AI12" s="174">
        <v>78.356280324123816</v>
      </c>
      <c r="AJ12" s="175">
        <v>0</v>
      </c>
      <c r="AK12" s="175">
        <v>48.603388047480003</v>
      </c>
      <c r="AL12" s="175">
        <v>42.410706463943988</v>
      </c>
      <c r="AM12" s="175">
        <v>1.2347160026400001</v>
      </c>
      <c r="AN12" s="175">
        <v>32.239545944831995</v>
      </c>
      <c r="AO12" s="175">
        <v>6.1019743446000009E-2</v>
      </c>
      <c r="AP12" s="175">
        <v>1.4696553242520005</v>
      </c>
      <c r="AQ12" s="176"/>
      <c r="AR12" s="52"/>
    </row>
    <row r="13" spans="1:44" x14ac:dyDescent="0.25">
      <c r="A13" s="190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5"/>
      <c r="P13" s="175"/>
      <c r="Q13" s="175"/>
      <c r="R13" s="175"/>
      <c r="S13" s="175"/>
      <c r="T13" s="175"/>
      <c r="U13" s="175"/>
      <c r="V13" s="175"/>
      <c r="W13" s="175"/>
      <c r="X13" s="176">
        <f t="shared" si="0"/>
        <v>0</v>
      </c>
      <c r="Y13" s="235" t="s">
        <v>290</v>
      </c>
      <c r="Z13" s="169"/>
      <c r="AA13" s="170">
        <v>85</v>
      </c>
      <c r="AB13" s="170"/>
      <c r="AC13" s="188"/>
      <c r="AD13" s="187">
        <f t="shared" si="1"/>
        <v>-717.17650558574019</v>
      </c>
      <c r="AE13" s="188">
        <f>AH13/AA13%</f>
        <v>660.37612634334948</v>
      </c>
      <c r="AF13" s="187"/>
      <c r="AG13" s="188"/>
      <c r="AH13" s="417">
        <f t="shared" si="2"/>
        <v>561.31970739184703</v>
      </c>
      <c r="AI13" s="174">
        <v>123.01507834492226</v>
      </c>
      <c r="AJ13" s="175">
        <v>124.11038740330801</v>
      </c>
      <c r="AK13" s="175">
        <v>46.231079821352999</v>
      </c>
      <c r="AL13" s="175">
        <v>40.340660077013389</v>
      </c>
      <c r="AM13" s="175">
        <v>7.5214783160819989</v>
      </c>
      <c r="AN13" s="175">
        <v>196.39256738060161</v>
      </c>
      <c r="AO13" s="175">
        <v>0.94512802626360004</v>
      </c>
      <c r="AP13" s="175">
        <v>22.76332802230321</v>
      </c>
      <c r="AQ13" s="176"/>
      <c r="AR13" s="52"/>
    </row>
    <row r="14" spans="1:44" x14ac:dyDescent="0.25">
      <c r="A14" s="190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>
        <f>AH14-AE14</f>
        <v>0.93399999999999994</v>
      </c>
      <c r="O14" s="175"/>
      <c r="P14" s="175"/>
      <c r="Q14" s="175"/>
      <c r="R14" s="175"/>
      <c r="S14" s="175"/>
      <c r="T14" s="175"/>
      <c r="U14" s="175"/>
      <c r="V14" s="175"/>
      <c r="W14" s="175"/>
      <c r="X14" s="176">
        <f t="shared" si="0"/>
        <v>0.93399999999999994</v>
      </c>
      <c r="Y14" s="235" t="s">
        <v>344</v>
      </c>
      <c r="Z14" s="169"/>
      <c r="AA14" s="170"/>
      <c r="AB14" s="170">
        <v>300</v>
      </c>
      <c r="AC14" s="188"/>
      <c r="AD14" s="187">
        <f t="shared" si="1"/>
        <v>-0.50716768027801917</v>
      </c>
      <c r="AE14" s="176">
        <v>0.46700000000000003</v>
      </c>
      <c r="AF14" s="187"/>
      <c r="AG14" s="188"/>
      <c r="AH14" s="417">
        <f t="shared" si="2"/>
        <v>1.401</v>
      </c>
      <c r="AI14" s="178">
        <v>1.401</v>
      </c>
      <c r="AJ14" s="177"/>
      <c r="AK14" s="177"/>
      <c r="AL14" s="177"/>
      <c r="AM14" s="177"/>
      <c r="AN14" s="177"/>
      <c r="AO14" s="177"/>
      <c r="AP14" s="177"/>
      <c r="AQ14" s="188"/>
      <c r="AR14" s="52"/>
    </row>
    <row r="15" spans="1:44" x14ac:dyDescent="0.25">
      <c r="A15" s="190">
        <f>Z15%*AD15</f>
        <v>418.35262204702235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5"/>
      <c r="P15" s="175"/>
      <c r="Q15" s="175"/>
      <c r="R15" s="175"/>
      <c r="S15" s="175"/>
      <c r="T15" s="175"/>
      <c r="U15" s="175"/>
      <c r="V15" s="175"/>
      <c r="W15" s="175"/>
      <c r="X15" s="176">
        <f t="shared" si="0"/>
        <v>418.35262204702235</v>
      </c>
      <c r="Y15" s="234" t="s">
        <v>461</v>
      </c>
      <c r="Z15" s="169">
        <v>100</v>
      </c>
      <c r="AA15" s="170"/>
      <c r="AB15" s="170"/>
      <c r="AC15" s="188"/>
      <c r="AD15" s="187">
        <f>-SUM(AD16:AD80,AD8:AD14)</f>
        <v>418.35262204702235</v>
      </c>
      <c r="AE15" s="188"/>
      <c r="AF15" s="187"/>
      <c r="AG15" s="188"/>
      <c r="AH15" s="417">
        <f t="shared" ref="AH15:AH52" si="3">SUM(AI15:AQ15)</f>
        <v>0</v>
      </c>
      <c r="AI15" s="187"/>
      <c r="AJ15" s="177"/>
      <c r="AK15" s="177"/>
      <c r="AL15" s="177"/>
      <c r="AM15" s="177"/>
      <c r="AN15" s="177"/>
      <c r="AO15" s="177"/>
      <c r="AP15" s="177"/>
      <c r="AQ15" s="188"/>
      <c r="AR15" s="52"/>
    </row>
    <row r="16" spans="1:44" x14ac:dyDescent="0.25">
      <c r="A16" s="468"/>
      <c r="B16" s="181">
        <v>21.3</v>
      </c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4"/>
      <c r="P16" s="184"/>
      <c r="Q16" s="184"/>
      <c r="R16" s="184"/>
      <c r="S16" s="184"/>
      <c r="T16" s="184"/>
      <c r="U16" s="184"/>
      <c r="V16" s="184"/>
      <c r="W16" s="184"/>
      <c r="X16" s="185">
        <f t="shared" si="0"/>
        <v>21.3</v>
      </c>
      <c r="Y16" s="237" t="s">
        <v>345</v>
      </c>
      <c r="Z16" s="179"/>
      <c r="AA16" s="180"/>
      <c r="AB16" s="181">
        <v>38</v>
      </c>
      <c r="AC16" s="420"/>
      <c r="AD16" s="419"/>
      <c r="AE16" s="420"/>
      <c r="AF16" s="419"/>
      <c r="AG16" s="420"/>
      <c r="AH16" s="417">
        <f t="shared" si="3"/>
        <v>8.0939999999999994</v>
      </c>
      <c r="AI16" s="183">
        <f>X16*AB16/100*0.2</f>
        <v>1.6188</v>
      </c>
      <c r="AJ16" s="184"/>
      <c r="AK16" s="184"/>
      <c r="AL16" s="184"/>
      <c r="AM16" s="184"/>
      <c r="AN16" s="184">
        <f>X16*AB16/100*0.6</f>
        <v>4.8563999999999998</v>
      </c>
      <c r="AO16" s="184"/>
      <c r="AP16" s="184"/>
      <c r="AQ16" s="185">
        <f>X16*AB16/100*0.2</f>
        <v>1.6188</v>
      </c>
      <c r="AR16" s="52"/>
    </row>
    <row r="17" spans="1:44" x14ac:dyDescent="0.25">
      <c r="A17" s="190"/>
      <c r="B17" s="177"/>
      <c r="C17" s="177"/>
      <c r="D17" s="177"/>
      <c r="E17" s="177">
        <v>100</v>
      </c>
      <c r="F17" s="177"/>
      <c r="G17" s="177"/>
      <c r="H17" s="177"/>
      <c r="I17" s="177"/>
      <c r="J17" s="177"/>
      <c r="K17" s="177"/>
      <c r="L17" s="177"/>
      <c r="M17" s="177"/>
      <c r="N17" s="177"/>
      <c r="O17" s="175"/>
      <c r="P17" s="175"/>
      <c r="Q17" s="175"/>
      <c r="R17" s="175"/>
      <c r="S17" s="175"/>
      <c r="T17" s="175"/>
      <c r="U17" s="175"/>
      <c r="V17" s="175"/>
      <c r="W17" s="175"/>
      <c r="X17" s="176">
        <f t="shared" si="0"/>
        <v>100</v>
      </c>
      <c r="Y17" s="235" t="s">
        <v>346</v>
      </c>
      <c r="Z17" s="169"/>
      <c r="AA17" s="170"/>
      <c r="AB17" s="177">
        <v>80</v>
      </c>
      <c r="AC17" s="188"/>
      <c r="AD17" s="187"/>
      <c r="AE17" s="188"/>
      <c r="AF17" s="187"/>
      <c r="AG17" s="188"/>
      <c r="AH17" s="417">
        <f t="shared" si="3"/>
        <v>80</v>
      </c>
      <c r="AI17" s="178">
        <f t="shared" ref="AI17:AI22" si="4">X17*AB17/100</f>
        <v>80</v>
      </c>
      <c r="AJ17" s="177"/>
      <c r="AK17" s="177"/>
      <c r="AL17" s="177"/>
      <c r="AM17" s="177"/>
      <c r="AN17" s="177"/>
      <c r="AO17" s="177"/>
      <c r="AP17" s="177"/>
      <c r="AQ17" s="188"/>
      <c r="AR17" s="52"/>
    </row>
    <row r="18" spans="1:44" x14ac:dyDescent="0.25">
      <c r="A18" s="190"/>
      <c r="B18" s="177"/>
      <c r="C18" s="177"/>
      <c r="D18" s="177"/>
      <c r="E18" s="177"/>
      <c r="F18" s="177"/>
      <c r="G18" s="177"/>
      <c r="H18" s="177"/>
      <c r="I18" s="177">
        <v>0.7</v>
      </c>
      <c r="J18" s="177"/>
      <c r="K18" s="177"/>
      <c r="L18" s="177"/>
      <c r="M18" s="177"/>
      <c r="N18" s="177"/>
      <c r="O18" s="175"/>
      <c r="P18" s="175"/>
      <c r="Q18" s="175"/>
      <c r="R18" s="175"/>
      <c r="S18" s="175"/>
      <c r="T18" s="175"/>
      <c r="U18" s="175"/>
      <c r="V18" s="175"/>
      <c r="W18" s="175"/>
      <c r="X18" s="176">
        <f t="shared" si="0"/>
        <v>0.7</v>
      </c>
      <c r="Y18" s="235" t="s">
        <v>347</v>
      </c>
      <c r="Z18" s="169"/>
      <c r="AA18" s="170"/>
      <c r="AB18" s="177">
        <v>85</v>
      </c>
      <c r="AC18" s="188"/>
      <c r="AD18" s="187"/>
      <c r="AE18" s="188"/>
      <c r="AF18" s="187"/>
      <c r="AG18" s="188"/>
      <c r="AH18" s="417">
        <f t="shared" si="3"/>
        <v>0.59499999999999997</v>
      </c>
      <c r="AI18" s="178">
        <f t="shared" si="4"/>
        <v>0.59499999999999997</v>
      </c>
      <c r="AJ18" s="177"/>
      <c r="AK18" s="177"/>
      <c r="AL18" s="177"/>
      <c r="AM18" s="177"/>
      <c r="AN18" s="177"/>
      <c r="AO18" s="177"/>
      <c r="AP18" s="177"/>
      <c r="AQ18" s="188"/>
      <c r="AR18" s="52"/>
    </row>
    <row r="19" spans="1:44" x14ac:dyDescent="0.25">
      <c r="A19" s="190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5"/>
      <c r="P19" s="175"/>
      <c r="Q19" s="175"/>
      <c r="R19" s="175"/>
      <c r="S19" s="254">
        <v>62</v>
      </c>
      <c r="T19" s="175"/>
      <c r="U19" s="175"/>
      <c r="V19" s="175"/>
      <c r="W19" s="175"/>
      <c r="X19" s="176">
        <f t="shared" si="0"/>
        <v>62</v>
      </c>
      <c r="Y19" s="235" t="s">
        <v>348</v>
      </c>
      <c r="Z19" s="169"/>
      <c r="AA19" s="170"/>
      <c r="AB19" s="177">
        <v>75</v>
      </c>
      <c r="AC19" s="188"/>
      <c r="AD19" s="187"/>
      <c r="AE19" s="188"/>
      <c r="AF19" s="187"/>
      <c r="AG19" s="188"/>
      <c r="AH19" s="417">
        <f t="shared" si="3"/>
        <v>46.5</v>
      </c>
      <c r="AI19" s="178">
        <f t="shared" si="4"/>
        <v>46.5</v>
      </c>
      <c r="AJ19" s="177"/>
      <c r="AK19" s="177"/>
      <c r="AL19" s="177"/>
      <c r="AM19" s="177"/>
      <c r="AN19" s="177"/>
      <c r="AO19" s="177"/>
      <c r="AP19" s="177"/>
      <c r="AQ19" s="188"/>
      <c r="AR19" s="52"/>
    </row>
    <row r="20" spans="1:44" x14ac:dyDescent="0.25">
      <c r="A20" s="190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5"/>
      <c r="P20" s="175"/>
      <c r="Q20" s="175"/>
      <c r="R20" s="175">
        <v>158</v>
      </c>
      <c r="S20" s="175"/>
      <c r="T20" s="175"/>
      <c r="U20" s="175"/>
      <c r="V20" s="175"/>
      <c r="W20" s="175"/>
      <c r="X20" s="176">
        <f t="shared" si="0"/>
        <v>158</v>
      </c>
      <c r="Y20" s="235" t="s">
        <v>349</v>
      </c>
      <c r="Z20" s="169"/>
      <c r="AA20" s="170"/>
      <c r="AB20" s="177">
        <v>65</v>
      </c>
      <c r="AC20" s="188"/>
      <c r="AD20" s="187"/>
      <c r="AE20" s="188"/>
      <c r="AF20" s="187"/>
      <c r="AG20" s="188"/>
      <c r="AH20" s="417">
        <f t="shared" si="3"/>
        <v>102.7</v>
      </c>
      <c r="AI20" s="178">
        <f t="shared" si="4"/>
        <v>102.7</v>
      </c>
      <c r="AJ20" s="177"/>
      <c r="AK20" s="177"/>
      <c r="AL20" s="177"/>
      <c r="AM20" s="177"/>
      <c r="AN20" s="177"/>
      <c r="AO20" s="177"/>
      <c r="AP20" s="177"/>
      <c r="AQ20" s="188"/>
      <c r="AR20" s="52"/>
    </row>
    <row r="21" spans="1:44" x14ac:dyDescent="0.25">
      <c r="A21" s="190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5"/>
      <c r="P21" s="175"/>
      <c r="Q21" s="175">
        <v>27</v>
      </c>
      <c r="R21" s="175"/>
      <c r="S21" s="175"/>
      <c r="T21" s="175"/>
      <c r="U21" s="175"/>
      <c r="V21" s="175"/>
      <c r="W21" s="175"/>
      <c r="X21" s="176">
        <f t="shared" si="0"/>
        <v>27</v>
      </c>
      <c r="Y21" s="235" t="s">
        <v>350</v>
      </c>
      <c r="Z21" s="169"/>
      <c r="AA21" s="170"/>
      <c r="AB21" s="177">
        <v>65</v>
      </c>
      <c r="AC21" s="188"/>
      <c r="AD21" s="187"/>
      <c r="AE21" s="188"/>
      <c r="AF21" s="187"/>
      <c r="AG21" s="188"/>
      <c r="AH21" s="417">
        <f t="shared" si="3"/>
        <v>17.55</v>
      </c>
      <c r="AI21" s="178">
        <f t="shared" si="4"/>
        <v>17.55</v>
      </c>
      <c r="AJ21" s="177"/>
      <c r="AK21" s="177"/>
      <c r="AL21" s="177"/>
      <c r="AM21" s="177"/>
      <c r="AN21" s="177"/>
      <c r="AO21" s="177"/>
      <c r="AP21" s="177"/>
      <c r="AQ21" s="188"/>
      <c r="AR21" s="52"/>
    </row>
    <row r="22" spans="1:44" x14ac:dyDescent="0.25">
      <c r="A22" s="190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>
        <v>2.8</v>
      </c>
      <c r="M22" s="177"/>
      <c r="N22" s="177"/>
      <c r="O22" s="175"/>
      <c r="P22" s="175"/>
      <c r="Q22" s="175"/>
      <c r="R22" s="175"/>
      <c r="S22" s="175"/>
      <c r="T22" s="175"/>
      <c r="U22" s="175"/>
      <c r="V22" s="175"/>
      <c r="W22" s="175"/>
      <c r="X22" s="176">
        <f t="shared" si="0"/>
        <v>2.8</v>
      </c>
      <c r="Y22" s="234" t="s">
        <v>331</v>
      </c>
      <c r="Z22" s="169"/>
      <c r="AA22" s="170"/>
      <c r="AB22" s="170">
        <v>100</v>
      </c>
      <c r="AC22" s="188"/>
      <c r="AD22" s="187"/>
      <c r="AE22" s="188"/>
      <c r="AF22" s="187"/>
      <c r="AG22" s="188"/>
      <c r="AH22" s="417">
        <f t="shared" si="3"/>
        <v>2.8</v>
      </c>
      <c r="AI22" s="178">
        <f t="shared" si="4"/>
        <v>2.8</v>
      </c>
      <c r="AJ22" s="177"/>
      <c r="AK22" s="177"/>
      <c r="AL22" s="177"/>
      <c r="AM22" s="177"/>
      <c r="AN22" s="177"/>
      <c r="AO22" s="177"/>
      <c r="AP22" s="177"/>
      <c r="AQ22" s="188"/>
      <c r="AR22" s="52"/>
    </row>
    <row r="23" spans="1:44" x14ac:dyDescent="0.25">
      <c r="A23" s="190"/>
      <c r="B23" s="177"/>
      <c r="C23" s="177"/>
      <c r="D23" s="177"/>
      <c r="E23" s="177">
        <v>22</v>
      </c>
      <c r="F23" s="177"/>
      <c r="G23" s="177"/>
      <c r="H23" s="177"/>
      <c r="I23" s="177"/>
      <c r="J23" s="177"/>
      <c r="K23" s="177"/>
      <c r="L23" s="177"/>
      <c r="M23" s="177"/>
      <c r="N23" s="177"/>
      <c r="O23" s="175"/>
      <c r="P23" s="175"/>
      <c r="Q23" s="175"/>
      <c r="R23" s="175"/>
      <c r="S23" s="175"/>
      <c r="T23" s="175"/>
      <c r="U23" s="175"/>
      <c r="V23" s="175"/>
      <c r="W23" s="175"/>
      <c r="X23" s="176">
        <f t="shared" si="0"/>
        <v>22</v>
      </c>
      <c r="Y23" s="235" t="s">
        <v>292</v>
      </c>
      <c r="Z23" s="169"/>
      <c r="AA23" s="170">
        <v>90</v>
      </c>
      <c r="AB23" s="170"/>
      <c r="AC23" s="188"/>
      <c r="AD23" s="187"/>
      <c r="AE23" s="188"/>
      <c r="AF23" s="187"/>
      <c r="AG23" s="188"/>
      <c r="AH23" s="417">
        <f t="shared" si="3"/>
        <v>19.8</v>
      </c>
      <c r="AI23" s="178"/>
      <c r="AJ23" s="177"/>
      <c r="AK23" s="177"/>
      <c r="AL23" s="177"/>
      <c r="AM23" s="177"/>
      <c r="AN23" s="177">
        <f>X23*AA23/100</f>
        <v>19.8</v>
      </c>
      <c r="AO23" s="177"/>
      <c r="AP23" s="177"/>
      <c r="AQ23" s="188"/>
      <c r="AR23" s="52"/>
    </row>
    <row r="24" spans="1:44" x14ac:dyDescent="0.25">
      <c r="A24" s="190"/>
      <c r="B24" s="177"/>
      <c r="C24" s="177"/>
      <c r="D24" s="177"/>
      <c r="E24" s="177"/>
      <c r="F24" s="177"/>
      <c r="G24" s="177"/>
      <c r="H24" s="177"/>
      <c r="I24" s="177">
        <v>292.23899999999998</v>
      </c>
      <c r="J24" s="177"/>
      <c r="K24" s="177"/>
      <c r="L24" s="177"/>
      <c r="M24" s="177"/>
      <c r="N24" s="177"/>
      <c r="O24" s="175"/>
      <c r="P24" s="175"/>
      <c r="Q24" s="175"/>
      <c r="R24" s="175"/>
      <c r="S24" s="175"/>
      <c r="T24" s="175"/>
      <c r="U24" s="175"/>
      <c r="V24" s="175"/>
      <c r="W24" s="175"/>
      <c r="X24" s="176">
        <f t="shared" si="0"/>
        <v>292.23899999999998</v>
      </c>
      <c r="Y24" s="235" t="s">
        <v>294</v>
      </c>
      <c r="Z24" s="169"/>
      <c r="AA24" s="170">
        <v>90</v>
      </c>
      <c r="AB24" s="170"/>
      <c r="AC24" s="188"/>
      <c r="AD24" s="187"/>
      <c r="AE24" s="188"/>
      <c r="AF24" s="187"/>
      <c r="AG24" s="188"/>
      <c r="AH24" s="417">
        <f t="shared" si="3"/>
        <v>263.01509999999996</v>
      </c>
      <c r="AI24" s="178"/>
      <c r="AJ24" s="177"/>
      <c r="AK24" s="177"/>
      <c r="AL24" s="177"/>
      <c r="AM24" s="177"/>
      <c r="AN24" s="177">
        <f>X24*AA24/100</f>
        <v>263.01509999999996</v>
      </c>
      <c r="AO24" s="177"/>
      <c r="AP24" s="177"/>
      <c r="AQ24" s="188"/>
      <c r="AR24" s="52"/>
    </row>
    <row r="25" spans="1:44" x14ac:dyDescent="0.25">
      <c r="A25" s="190"/>
      <c r="B25" s="177"/>
      <c r="C25" s="177"/>
      <c r="D25" s="177"/>
      <c r="E25" s="177"/>
      <c r="F25" s="177"/>
      <c r="G25" s="177"/>
      <c r="H25" s="479"/>
      <c r="I25" s="177"/>
      <c r="J25" s="177"/>
      <c r="K25" s="177"/>
      <c r="L25" s="177"/>
      <c r="M25" s="177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6"/>
      <c r="Y25" s="235" t="s">
        <v>296</v>
      </c>
      <c r="Z25" s="169"/>
      <c r="AA25" s="170">
        <v>90</v>
      </c>
      <c r="AB25" s="170"/>
      <c r="AC25" s="188"/>
      <c r="AD25" s="187"/>
      <c r="AE25" s="188"/>
      <c r="AF25" s="187"/>
      <c r="AG25" s="188"/>
      <c r="AH25" s="417">
        <f t="shared" si="3"/>
        <v>0</v>
      </c>
      <c r="AI25" s="178"/>
      <c r="AJ25" s="177"/>
      <c r="AK25" s="177"/>
      <c r="AL25" s="177"/>
      <c r="AM25" s="177"/>
      <c r="AN25" s="177">
        <f>X25*AA25/100</f>
        <v>0</v>
      </c>
      <c r="AO25" s="177"/>
      <c r="AP25" s="177"/>
      <c r="AQ25" s="188"/>
      <c r="AR25" s="68"/>
    </row>
    <row r="26" spans="1:44" x14ac:dyDescent="0.25">
      <c r="A26" s="190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>
        <v>0.1</v>
      </c>
      <c r="M26" s="177"/>
      <c r="N26" s="177"/>
      <c r="O26" s="175"/>
      <c r="P26" s="175"/>
      <c r="Q26" s="175"/>
      <c r="R26" s="175"/>
      <c r="S26" s="175"/>
      <c r="T26" s="175"/>
      <c r="U26" s="175"/>
      <c r="V26" s="175"/>
      <c r="W26" s="175"/>
      <c r="X26" s="176">
        <f t="shared" si="0"/>
        <v>0.1</v>
      </c>
      <c r="Y26" s="234" t="s">
        <v>131</v>
      </c>
      <c r="Z26" s="170">
        <v>100</v>
      </c>
      <c r="AA26" s="170"/>
      <c r="AB26" s="170"/>
      <c r="AC26" s="188"/>
      <c r="AD26" s="187">
        <f>X26*Z26/100</f>
        <v>0.1</v>
      </c>
      <c r="AE26" s="188"/>
      <c r="AF26" s="187"/>
      <c r="AG26" s="188"/>
      <c r="AH26" s="417">
        <f t="shared" si="3"/>
        <v>0</v>
      </c>
      <c r="AI26" s="178"/>
      <c r="AJ26" s="177"/>
      <c r="AK26" s="177"/>
      <c r="AL26" s="177"/>
      <c r="AM26" s="177"/>
      <c r="AN26" s="177"/>
      <c r="AO26" s="177"/>
      <c r="AP26" s="177"/>
      <c r="AQ26" s="188"/>
      <c r="AR26" s="52"/>
    </row>
    <row r="27" spans="1:44" x14ac:dyDescent="0.25">
      <c r="A27" s="190"/>
      <c r="B27" s="177"/>
      <c r="C27" s="177"/>
      <c r="D27" s="177"/>
      <c r="E27" s="177"/>
      <c r="F27" s="177"/>
      <c r="G27" s="177"/>
      <c r="H27" s="177"/>
      <c r="I27" s="177"/>
      <c r="J27" s="177">
        <v>35</v>
      </c>
      <c r="K27" s="177"/>
      <c r="L27" s="177"/>
      <c r="M27" s="177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6">
        <f t="shared" si="0"/>
        <v>35</v>
      </c>
      <c r="Y27" s="235" t="s">
        <v>135</v>
      </c>
      <c r="Z27" s="170">
        <v>100</v>
      </c>
      <c r="AA27" s="170"/>
      <c r="AB27" s="170"/>
      <c r="AC27" s="188"/>
      <c r="AD27" s="187">
        <f>Z27*X27/100</f>
        <v>35</v>
      </c>
      <c r="AE27" s="188"/>
      <c r="AF27" s="187"/>
      <c r="AG27" s="188"/>
      <c r="AH27" s="417">
        <f t="shared" si="3"/>
        <v>0</v>
      </c>
      <c r="AI27" s="178"/>
      <c r="AJ27" s="177"/>
      <c r="AK27" s="177"/>
      <c r="AL27" s="177"/>
      <c r="AM27" s="177"/>
      <c r="AN27" s="177"/>
      <c r="AO27" s="177"/>
      <c r="AP27" s="177"/>
      <c r="AQ27" s="188"/>
      <c r="AR27" s="52"/>
    </row>
    <row r="28" spans="1:44" x14ac:dyDescent="0.25">
      <c r="A28" s="190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6">
        <f t="shared" si="0"/>
        <v>0</v>
      </c>
      <c r="Y28" s="235" t="s">
        <v>137</v>
      </c>
      <c r="Z28" s="187">
        <v>100</v>
      </c>
      <c r="AA28" s="177"/>
      <c r="AB28" s="177"/>
      <c r="AC28" s="188"/>
      <c r="AD28" s="187">
        <f>Z28*X28/100</f>
        <v>0</v>
      </c>
      <c r="AE28" s="188"/>
      <c r="AF28" s="187"/>
      <c r="AG28" s="188"/>
      <c r="AH28" s="417">
        <f t="shared" si="3"/>
        <v>0</v>
      </c>
      <c r="AI28" s="178"/>
      <c r="AJ28" s="177"/>
      <c r="AK28" s="177"/>
      <c r="AL28" s="177"/>
      <c r="AM28" s="177"/>
      <c r="AN28" s="177"/>
      <c r="AO28" s="177"/>
      <c r="AP28" s="177"/>
      <c r="AQ28" s="188"/>
      <c r="AR28" s="52"/>
    </row>
    <row r="29" spans="1:44" x14ac:dyDescent="0.25">
      <c r="A29" s="190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6">
        <f t="shared" si="0"/>
        <v>0</v>
      </c>
      <c r="Y29" s="234" t="s">
        <v>139</v>
      </c>
      <c r="Z29" s="177">
        <v>100</v>
      </c>
      <c r="AA29" s="177"/>
      <c r="AB29" s="177"/>
      <c r="AC29" s="188"/>
      <c r="AD29" s="187">
        <f>Z29*X29/100</f>
        <v>0</v>
      </c>
      <c r="AE29" s="188"/>
      <c r="AF29" s="187"/>
      <c r="AG29" s="188"/>
      <c r="AH29" s="417">
        <f t="shared" si="3"/>
        <v>0</v>
      </c>
      <c r="AI29" s="178"/>
      <c r="AJ29" s="177"/>
      <c r="AK29" s="177"/>
      <c r="AL29" s="177"/>
      <c r="AM29" s="177"/>
      <c r="AN29" s="177"/>
      <c r="AO29" s="177"/>
      <c r="AP29" s="177"/>
      <c r="AQ29" s="188"/>
      <c r="AR29" s="52"/>
    </row>
    <row r="30" spans="1:44" x14ac:dyDescent="0.25">
      <c r="A30" s="190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6">
        <f t="shared" si="0"/>
        <v>0</v>
      </c>
      <c r="Y30" s="234" t="s">
        <v>141</v>
      </c>
      <c r="Z30" s="177">
        <v>100</v>
      </c>
      <c r="AA30" s="177"/>
      <c r="AB30" s="177"/>
      <c r="AC30" s="188"/>
      <c r="AD30" s="187">
        <f>Z30*X30/100</f>
        <v>0</v>
      </c>
      <c r="AE30" s="188"/>
      <c r="AF30" s="187"/>
      <c r="AG30" s="188"/>
      <c r="AH30" s="417">
        <f t="shared" si="3"/>
        <v>0</v>
      </c>
      <c r="AI30" s="178"/>
      <c r="AJ30" s="177"/>
      <c r="AK30" s="177"/>
      <c r="AL30" s="177"/>
      <c r="AM30" s="177"/>
      <c r="AN30" s="177"/>
      <c r="AO30" s="177"/>
      <c r="AP30" s="177"/>
      <c r="AQ30" s="188"/>
      <c r="AR30" s="52"/>
    </row>
    <row r="31" spans="1:44" x14ac:dyDescent="0.25">
      <c r="A31" s="174"/>
      <c r="B31" s="177"/>
      <c r="C31" s="177"/>
      <c r="D31" s="177"/>
      <c r="E31" s="177"/>
      <c r="F31" s="177"/>
      <c r="G31" s="177"/>
      <c r="H31" s="177"/>
      <c r="I31" s="177">
        <f>-(O31+T31)*AA31%</f>
        <v>0</v>
      </c>
      <c r="J31" s="238"/>
      <c r="K31" s="175"/>
      <c r="L31" s="175"/>
      <c r="M31" s="175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6">
        <f t="shared" si="0"/>
        <v>0</v>
      </c>
      <c r="Y31" s="239" t="s">
        <v>462</v>
      </c>
      <c r="Z31" s="174"/>
      <c r="AA31" s="175"/>
      <c r="AB31" s="175"/>
      <c r="AC31" s="176"/>
      <c r="AD31" s="190"/>
      <c r="AE31" s="176"/>
      <c r="AF31" s="190"/>
      <c r="AG31" s="176"/>
      <c r="AH31" s="421"/>
      <c r="AI31" s="174"/>
      <c r="AJ31" s="175"/>
      <c r="AK31" s="175"/>
      <c r="AL31" s="175"/>
      <c r="AM31" s="175"/>
      <c r="AN31" s="175"/>
      <c r="AO31" s="175"/>
      <c r="AP31" s="175"/>
      <c r="AQ31" s="176"/>
      <c r="AR31" s="159"/>
    </row>
    <row r="32" spans="1:44" x14ac:dyDescent="0.2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6">
        <f t="shared" si="0"/>
        <v>0</v>
      </c>
      <c r="Y32" s="239" t="s">
        <v>463</v>
      </c>
      <c r="Z32" s="190"/>
      <c r="AA32" s="175"/>
      <c r="AB32" s="175"/>
      <c r="AC32" s="176"/>
      <c r="AD32" s="187">
        <f>X32*Z32/100</f>
        <v>0</v>
      </c>
      <c r="AE32" s="188"/>
      <c r="AF32" s="187">
        <f>X32*AB32/100</f>
        <v>0</v>
      </c>
      <c r="AG32" s="188"/>
      <c r="AH32" s="417">
        <f>SUM(AI32:AQ32)</f>
        <v>0</v>
      </c>
      <c r="AI32" s="178"/>
      <c r="AJ32" s="175"/>
      <c r="AK32" s="175"/>
      <c r="AL32" s="175"/>
      <c r="AM32" s="175"/>
      <c r="AN32" s="175"/>
      <c r="AO32" s="175"/>
      <c r="AP32" s="175"/>
      <c r="AQ32" s="188"/>
      <c r="AR32" s="52"/>
    </row>
    <row r="33" spans="1:44" x14ac:dyDescent="0.2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241"/>
      <c r="O33" s="175"/>
      <c r="P33" s="175"/>
      <c r="Q33" s="175"/>
      <c r="R33" s="175"/>
      <c r="S33" s="175"/>
      <c r="T33" s="175"/>
      <c r="U33" s="175"/>
      <c r="V33" s="175"/>
      <c r="W33" s="175"/>
      <c r="X33" s="176">
        <f t="shared" si="0"/>
        <v>0</v>
      </c>
      <c r="Y33" s="234" t="s">
        <v>145</v>
      </c>
      <c r="Z33" s="190">
        <v>34.4</v>
      </c>
      <c r="AA33" s="175"/>
      <c r="AB33" s="175">
        <v>51.6</v>
      </c>
      <c r="AC33" s="188"/>
      <c r="AD33" s="187">
        <f>X33*Z33/100</f>
        <v>0</v>
      </c>
      <c r="AE33" s="188"/>
      <c r="AF33" s="187">
        <f>X33*AB33/100</f>
        <v>0</v>
      </c>
      <c r="AG33" s="188"/>
      <c r="AH33" s="417">
        <f t="shared" si="3"/>
        <v>0</v>
      </c>
      <c r="AI33" s="178"/>
      <c r="AJ33" s="177"/>
      <c r="AK33" s="177"/>
      <c r="AL33" s="177"/>
      <c r="AM33" s="177"/>
      <c r="AN33" s="177"/>
      <c r="AO33" s="177"/>
      <c r="AP33" s="177"/>
      <c r="AQ33" s="171"/>
      <c r="AR33" s="52"/>
    </row>
    <row r="34" spans="1:44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241"/>
      <c r="O34" s="175"/>
      <c r="P34" s="175"/>
      <c r="Q34" s="175"/>
      <c r="R34" s="175"/>
      <c r="S34" s="175"/>
      <c r="T34" s="175"/>
      <c r="U34" s="175"/>
      <c r="V34" s="175"/>
      <c r="W34" s="175"/>
      <c r="X34" s="176">
        <f t="shared" si="0"/>
        <v>0</v>
      </c>
      <c r="Y34" s="234" t="s">
        <v>147</v>
      </c>
      <c r="Z34" s="190"/>
      <c r="AA34" s="175"/>
      <c r="AB34" s="175"/>
      <c r="AC34" s="188"/>
      <c r="AD34" s="187">
        <f>X34*Z34/100</f>
        <v>0</v>
      </c>
      <c r="AE34" s="188"/>
      <c r="AF34" s="187">
        <f>X34*AB34</f>
        <v>0</v>
      </c>
      <c r="AG34" s="188"/>
      <c r="AH34" s="417">
        <f t="shared" si="3"/>
        <v>0</v>
      </c>
      <c r="AI34" s="178"/>
      <c r="AJ34" s="177"/>
      <c r="AK34" s="177"/>
      <c r="AL34" s="177"/>
      <c r="AM34" s="177"/>
      <c r="AN34" s="177"/>
      <c r="AO34" s="177"/>
      <c r="AP34" s="177"/>
      <c r="AQ34" s="171"/>
      <c r="AR34" s="52"/>
    </row>
    <row r="35" spans="1:44" x14ac:dyDescent="0.25">
      <c r="A35" s="175"/>
      <c r="B35" s="175"/>
      <c r="C35" s="175"/>
      <c r="D35" s="175"/>
      <c r="E35" s="193"/>
      <c r="F35" s="175"/>
      <c r="G35" s="175"/>
      <c r="H35" s="175"/>
      <c r="I35" s="175"/>
      <c r="J35" s="175"/>
      <c r="K35" s="175"/>
      <c r="L35" s="175"/>
      <c r="M35" s="175"/>
      <c r="N35" s="241"/>
      <c r="O35" s="175"/>
      <c r="P35" s="175"/>
      <c r="Q35" s="175"/>
      <c r="R35" s="175"/>
      <c r="S35" s="175"/>
      <c r="T35" s="175"/>
      <c r="U35" s="175"/>
      <c r="V35" s="175"/>
      <c r="W35" s="175"/>
      <c r="X35" s="176">
        <f t="shared" si="0"/>
        <v>0</v>
      </c>
      <c r="Y35" s="234" t="s">
        <v>149</v>
      </c>
      <c r="Z35" s="190"/>
      <c r="AA35" s="175"/>
      <c r="AB35" s="175"/>
      <c r="AC35" s="188"/>
      <c r="AD35" s="187">
        <f>X35*Z35/100</f>
        <v>0</v>
      </c>
      <c r="AE35" s="188"/>
      <c r="AF35" s="187">
        <f>X35*AB35</f>
        <v>0</v>
      </c>
      <c r="AG35" s="188"/>
      <c r="AH35" s="417">
        <f t="shared" si="3"/>
        <v>0</v>
      </c>
      <c r="AI35" s="178"/>
      <c r="AJ35" s="177"/>
      <c r="AK35" s="177"/>
      <c r="AL35" s="177"/>
      <c r="AM35" s="177"/>
      <c r="AN35" s="177"/>
      <c r="AO35" s="177"/>
      <c r="AP35" s="177"/>
      <c r="AQ35" s="171"/>
      <c r="AR35" s="52"/>
    </row>
    <row r="36" spans="1:44" x14ac:dyDescent="0.2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241"/>
      <c r="O36" s="175"/>
      <c r="P36" s="175"/>
      <c r="Q36" s="175"/>
      <c r="R36" s="175"/>
      <c r="S36" s="175"/>
      <c r="T36" s="175"/>
      <c r="U36" s="175"/>
      <c r="V36" s="175"/>
      <c r="W36" s="175"/>
      <c r="X36" s="176">
        <f t="shared" si="0"/>
        <v>0</v>
      </c>
      <c r="Y36" s="234" t="s">
        <v>151</v>
      </c>
      <c r="Z36" s="190"/>
      <c r="AA36" s="175"/>
      <c r="AB36" s="175"/>
      <c r="AC36" s="188"/>
      <c r="AD36" s="187"/>
      <c r="AE36" s="188"/>
      <c r="AF36" s="187">
        <f>X36*AB36/100</f>
        <v>0</v>
      </c>
      <c r="AG36" s="188"/>
      <c r="AH36" s="417">
        <f t="shared" si="3"/>
        <v>0</v>
      </c>
      <c r="AI36" s="178"/>
      <c r="AJ36" s="177"/>
      <c r="AK36" s="177"/>
      <c r="AL36" s="177"/>
      <c r="AM36" s="177"/>
      <c r="AN36" s="177"/>
      <c r="AO36" s="177"/>
      <c r="AP36" s="177"/>
      <c r="AQ36" s="171"/>
      <c r="AR36" s="52"/>
    </row>
    <row r="37" spans="1:44" x14ac:dyDescent="0.25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7">
        <f>AF37-AE37</f>
        <v>0</v>
      </c>
      <c r="O37" s="175"/>
      <c r="P37" s="175"/>
      <c r="Q37" s="175"/>
      <c r="R37" s="175"/>
      <c r="S37" s="175"/>
      <c r="T37" s="175"/>
      <c r="U37" s="175"/>
      <c r="V37" s="175"/>
      <c r="W37" s="175"/>
      <c r="X37" s="176">
        <f t="shared" si="0"/>
        <v>0</v>
      </c>
      <c r="Y37" s="239" t="s">
        <v>153</v>
      </c>
      <c r="Z37" s="187"/>
      <c r="AA37" s="177"/>
      <c r="AB37" s="177"/>
      <c r="AC37" s="188"/>
      <c r="AD37" s="190">
        <f>-AE37/$D$2%</f>
        <v>0</v>
      </c>
      <c r="AE37" s="194"/>
      <c r="AF37" s="195">
        <f>AE37*AB37%</f>
        <v>0</v>
      </c>
      <c r="AG37" s="176"/>
      <c r="AH37" s="421"/>
      <c r="AI37" s="174"/>
      <c r="AJ37" s="174"/>
      <c r="AK37" s="175"/>
      <c r="AL37" s="175"/>
      <c r="AM37" s="175"/>
      <c r="AN37" s="175"/>
      <c r="AO37" s="175"/>
      <c r="AP37" s="175"/>
      <c r="AQ37" s="173"/>
      <c r="AR37" s="159"/>
    </row>
    <row r="38" spans="1:44" x14ac:dyDescent="0.25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6">
        <f t="shared" si="0"/>
        <v>0</v>
      </c>
      <c r="Y38" s="239" t="s">
        <v>155</v>
      </c>
      <c r="Z38" s="187"/>
      <c r="AA38" s="177"/>
      <c r="AB38" s="177"/>
      <c r="AC38" s="188"/>
      <c r="AD38" s="190">
        <f>-AE38/$D$2%</f>
        <v>0</v>
      </c>
      <c r="AE38" s="188"/>
      <c r="AF38" s="187">
        <f>AE38*AB38%</f>
        <v>0</v>
      </c>
      <c r="AG38" s="176"/>
      <c r="AH38" s="421"/>
      <c r="AI38" s="174"/>
      <c r="AJ38" s="174"/>
      <c r="AK38" s="175"/>
      <c r="AL38" s="175"/>
      <c r="AM38" s="175"/>
      <c r="AN38" s="175"/>
      <c r="AO38" s="175"/>
      <c r="AP38" s="175"/>
      <c r="AQ38" s="173"/>
      <c r="AR38" s="52"/>
    </row>
    <row r="39" spans="1:44" x14ac:dyDescent="0.25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241"/>
      <c r="O39" s="175"/>
      <c r="P39" s="175"/>
      <c r="Q39" s="175"/>
      <c r="R39" s="175"/>
      <c r="S39" s="175"/>
      <c r="T39" s="175"/>
      <c r="U39" s="175"/>
      <c r="V39" s="175"/>
      <c r="W39" s="175"/>
      <c r="X39" s="176">
        <f t="shared" si="0"/>
        <v>0</v>
      </c>
      <c r="Y39" s="235" t="s">
        <v>157</v>
      </c>
      <c r="Z39" s="190"/>
      <c r="AA39" s="175"/>
      <c r="AB39" s="175"/>
      <c r="AC39" s="176">
        <v>77.2</v>
      </c>
      <c r="AD39" s="187"/>
      <c r="AE39" s="188"/>
      <c r="AF39" s="187">
        <f>-SUM(AF33:AF36)</f>
        <v>0</v>
      </c>
      <c r="AG39" s="188">
        <f>-AF39*AC39/100</f>
        <v>0</v>
      </c>
      <c r="AH39" s="417">
        <f t="shared" si="3"/>
        <v>0</v>
      </c>
      <c r="AI39" s="178">
        <f>AG39*63.8%</f>
        <v>0</v>
      </c>
      <c r="AJ39" s="178">
        <f>AG39*9.6%</f>
        <v>0</v>
      </c>
      <c r="AK39" s="177">
        <f>AG39*12.9%</f>
        <v>0</v>
      </c>
      <c r="AL39" s="177">
        <f>AG39*7%</f>
        <v>0</v>
      </c>
      <c r="AM39" s="177">
        <f>AG39*0%</f>
        <v>0</v>
      </c>
      <c r="AN39" s="177">
        <f>AG39*4.8%</f>
        <v>0</v>
      </c>
      <c r="AO39" s="177">
        <f>AG39*1.9%</f>
        <v>0</v>
      </c>
      <c r="AP39" s="177"/>
      <c r="AQ39" s="171"/>
      <c r="AR39" s="216"/>
    </row>
    <row r="40" spans="1:44" x14ac:dyDescent="0.25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241"/>
      <c r="O40" s="175"/>
      <c r="P40" s="175"/>
      <c r="Q40" s="175"/>
      <c r="R40" s="175"/>
      <c r="S40" s="175"/>
      <c r="T40" s="175"/>
      <c r="U40" s="175"/>
      <c r="V40" s="175"/>
      <c r="W40" s="175"/>
      <c r="X40" s="176">
        <f t="shared" si="0"/>
        <v>0</v>
      </c>
      <c r="Y40" s="234" t="s">
        <v>163</v>
      </c>
      <c r="Z40" s="190"/>
      <c r="AA40" s="175"/>
      <c r="AB40" s="175"/>
      <c r="AC40" s="176"/>
      <c r="AD40" s="187">
        <f>X40*Z40/100</f>
        <v>0</v>
      </c>
      <c r="AE40" s="188"/>
      <c r="AF40" s="187">
        <f>X40*AB40/100</f>
        <v>0</v>
      </c>
      <c r="AG40" s="188"/>
      <c r="AH40" s="417">
        <f t="shared" si="3"/>
        <v>0</v>
      </c>
      <c r="AI40" s="174"/>
      <c r="AJ40" s="175"/>
      <c r="AK40" s="175"/>
      <c r="AL40" s="175"/>
      <c r="AM40" s="175"/>
      <c r="AN40" s="175"/>
      <c r="AO40" s="175"/>
      <c r="AP40" s="177"/>
      <c r="AQ40" s="171"/>
      <c r="AR40" s="52"/>
    </row>
    <row r="41" spans="1:44" x14ac:dyDescent="0.25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241"/>
      <c r="O41" s="175"/>
      <c r="P41" s="175"/>
      <c r="Q41" s="175"/>
      <c r="R41" s="175"/>
      <c r="S41" s="175"/>
      <c r="T41" s="175"/>
      <c r="U41" s="175"/>
      <c r="V41" s="175"/>
      <c r="W41" s="175"/>
      <c r="X41" s="176">
        <f t="shared" si="0"/>
        <v>0</v>
      </c>
      <c r="Y41" s="234" t="s">
        <v>165</v>
      </c>
      <c r="Z41" s="190"/>
      <c r="AA41" s="175"/>
      <c r="AB41" s="175"/>
      <c r="AC41" s="176"/>
      <c r="AD41" s="187">
        <f>X41*Z41/100</f>
        <v>0</v>
      </c>
      <c r="AE41" s="188"/>
      <c r="AF41" s="187">
        <f>X41*AB41/100</f>
        <v>0</v>
      </c>
      <c r="AG41" s="188"/>
      <c r="AH41" s="417">
        <f t="shared" si="3"/>
        <v>0</v>
      </c>
      <c r="AI41" s="174"/>
      <c r="AJ41" s="175"/>
      <c r="AK41" s="175"/>
      <c r="AL41" s="175"/>
      <c r="AM41" s="175"/>
      <c r="AN41" s="175"/>
      <c r="AO41" s="175"/>
      <c r="AP41" s="177"/>
      <c r="AQ41" s="171"/>
      <c r="AR41" s="52"/>
    </row>
    <row r="42" spans="1:44" x14ac:dyDescent="0.25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241"/>
      <c r="O42" s="175"/>
      <c r="P42" s="175"/>
      <c r="Q42" s="175"/>
      <c r="R42" s="175"/>
      <c r="S42" s="175"/>
      <c r="T42" s="175"/>
      <c r="U42" s="175"/>
      <c r="V42" s="175"/>
      <c r="W42" s="175"/>
      <c r="X42" s="176">
        <f t="shared" si="0"/>
        <v>0</v>
      </c>
      <c r="Y42" s="234" t="s">
        <v>167</v>
      </c>
      <c r="Z42" s="190"/>
      <c r="AA42" s="175"/>
      <c r="AB42" s="175"/>
      <c r="AC42" s="176"/>
      <c r="AD42" s="187">
        <f>X42*Z42/100</f>
        <v>0</v>
      </c>
      <c r="AE42" s="188"/>
      <c r="AF42" s="187">
        <f>X42*AB42/100</f>
        <v>0</v>
      </c>
      <c r="AG42" s="188"/>
      <c r="AH42" s="417">
        <f t="shared" si="3"/>
        <v>0</v>
      </c>
      <c r="AI42" s="174"/>
      <c r="AJ42" s="175"/>
      <c r="AK42" s="175"/>
      <c r="AL42" s="175"/>
      <c r="AM42" s="175"/>
      <c r="AN42" s="175"/>
      <c r="AO42" s="175"/>
      <c r="AP42" s="177"/>
      <c r="AQ42" s="171"/>
      <c r="AR42" s="52"/>
    </row>
    <row r="43" spans="1:44" x14ac:dyDescent="0.25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241"/>
      <c r="O43" s="175"/>
      <c r="P43" s="175"/>
      <c r="Q43" s="175"/>
      <c r="R43" s="175"/>
      <c r="S43" s="175"/>
      <c r="T43" s="175"/>
      <c r="U43" s="175"/>
      <c r="V43" s="175"/>
      <c r="W43" s="175"/>
      <c r="X43" s="176">
        <f t="shared" si="0"/>
        <v>0</v>
      </c>
      <c r="Y43" s="235" t="s">
        <v>169</v>
      </c>
      <c r="Z43" s="190"/>
      <c r="AA43" s="175"/>
      <c r="AB43" s="175"/>
      <c r="AC43" s="176">
        <v>77.2</v>
      </c>
      <c r="AD43" s="187"/>
      <c r="AE43" s="188"/>
      <c r="AF43" s="187">
        <f>-SUM(AF40:AF42)</f>
        <v>0</v>
      </c>
      <c r="AG43" s="188">
        <f>-AF43*AC43/100</f>
        <v>0</v>
      </c>
      <c r="AH43" s="417">
        <f t="shared" si="3"/>
        <v>0</v>
      </c>
      <c r="AI43" s="178">
        <f>AG43*63.8%</f>
        <v>0</v>
      </c>
      <c r="AJ43" s="178">
        <f>AG43*9.6%</f>
        <v>0</v>
      </c>
      <c r="AK43" s="177">
        <f>AG43*12.9%</f>
        <v>0</v>
      </c>
      <c r="AL43" s="177">
        <f>AG43*7%</f>
        <v>0</v>
      </c>
      <c r="AM43" s="177">
        <f>AG43*0%</f>
        <v>0</v>
      </c>
      <c r="AN43" s="177">
        <f>AG43*4.8%</f>
        <v>0</v>
      </c>
      <c r="AO43" s="177">
        <f>AG43*1.9%</f>
        <v>0</v>
      </c>
      <c r="AP43" s="177"/>
      <c r="AQ43" s="171"/>
      <c r="AR43" s="52"/>
    </row>
    <row r="44" spans="1:44" x14ac:dyDescent="0.25">
      <c r="A44" s="175"/>
      <c r="B44" s="175"/>
      <c r="C44" s="422"/>
      <c r="D44" s="175"/>
      <c r="E44" s="422"/>
      <c r="F44" s="175"/>
      <c r="G44" s="175"/>
      <c r="H44" s="175"/>
      <c r="I44" s="138"/>
      <c r="J44" s="175"/>
      <c r="K44" s="175"/>
      <c r="L44" s="175"/>
      <c r="M44" s="175"/>
      <c r="N44" s="241"/>
      <c r="O44" s="175"/>
      <c r="P44" s="175"/>
      <c r="Q44" s="175"/>
      <c r="R44" s="175"/>
      <c r="S44" s="175"/>
      <c r="T44" s="175"/>
      <c r="U44" s="175"/>
      <c r="V44" s="175"/>
      <c r="W44" s="175"/>
      <c r="X44" s="176">
        <f t="shared" si="0"/>
        <v>0</v>
      </c>
      <c r="Y44" s="234" t="s">
        <v>173</v>
      </c>
      <c r="Z44" s="190"/>
      <c r="AA44" s="175"/>
      <c r="AB44" s="175"/>
      <c r="AC44" s="176"/>
      <c r="AD44" s="187">
        <f>X44*Z44/100</f>
        <v>0</v>
      </c>
      <c r="AE44" s="188"/>
      <c r="AF44" s="187">
        <f t="shared" ref="AF44:AF51" si="5">X44*AB44/100</f>
        <v>0</v>
      </c>
      <c r="AG44" s="188"/>
      <c r="AH44" s="417">
        <f t="shared" si="3"/>
        <v>0</v>
      </c>
      <c r="AI44" s="178"/>
      <c r="AJ44" s="177"/>
      <c r="AK44" s="177"/>
      <c r="AL44" s="177"/>
      <c r="AM44" s="177"/>
      <c r="AN44" s="177"/>
      <c r="AO44" s="177"/>
      <c r="AP44" s="177"/>
      <c r="AQ44" s="171"/>
      <c r="AR44" s="52"/>
    </row>
    <row r="45" spans="1:44" x14ac:dyDescent="0.25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241"/>
      <c r="O45" s="175"/>
      <c r="P45" s="175"/>
      <c r="Q45" s="175"/>
      <c r="R45" s="175"/>
      <c r="S45" s="175"/>
      <c r="T45" s="175"/>
      <c r="U45" s="175"/>
      <c r="V45" s="175"/>
      <c r="W45" s="175"/>
      <c r="X45" s="176">
        <f t="shared" si="0"/>
        <v>0</v>
      </c>
      <c r="Y45" s="234" t="s">
        <v>175</v>
      </c>
      <c r="Z45" s="190"/>
      <c r="AA45" s="175"/>
      <c r="AB45" s="175"/>
      <c r="AC45" s="176"/>
      <c r="AD45" s="187">
        <f>X45*Z45/100</f>
        <v>0</v>
      </c>
      <c r="AE45" s="188"/>
      <c r="AF45" s="187">
        <f t="shared" si="5"/>
        <v>0</v>
      </c>
      <c r="AG45" s="188"/>
      <c r="AH45" s="417">
        <f t="shared" si="3"/>
        <v>0</v>
      </c>
      <c r="AI45" s="178"/>
      <c r="AJ45" s="177"/>
      <c r="AK45" s="177"/>
      <c r="AL45" s="177"/>
      <c r="AM45" s="177"/>
      <c r="AN45" s="177"/>
      <c r="AO45" s="177"/>
      <c r="AP45" s="177"/>
      <c r="AQ45" s="171"/>
      <c r="AR45" s="52"/>
    </row>
    <row r="46" spans="1:44" x14ac:dyDescent="0.25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241"/>
      <c r="O46" s="175"/>
      <c r="P46" s="175"/>
      <c r="Q46" s="175"/>
      <c r="R46" s="175"/>
      <c r="S46" s="423"/>
      <c r="T46" s="175"/>
      <c r="U46" s="175"/>
      <c r="V46" s="175"/>
      <c r="W46" s="175"/>
      <c r="X46" s="176">
        <f t="shared" si="0"/>
        <v>0</v>
      </c>
      <c r="Y46" s="235" t="s">
        <v>177</v>
      </c>
      <c r="Z46" s="190"/>
      <c r="AA46" s="175"/>
      <c r="AB46" s="175"/>
      <c r="AC46" s="176"/>
      <c r="AD46" s="187">
        <f>X46*Z46/100</f>
        <v>0</v>
      </c>
      <c r="AE46" s="188"/>
      <c r="AF46" s="187">
        <f t="shared" si="5"/>
        <v>0</v>
      </c>
      <c r="AG46" s="188"/>
      <c r="AH46" s="417">
        <f t="shared" si="3"/>
        <v>0</v>
      </c>
      <c r="AI46" s="178"/>
      <c r="AJ46" s="177"/>
      <c r="AK46" s="177"/>
      <c r="AL46" s="177"/>
      <c r="AM46" s="177"/>
      <c r="AN46" s="177"/>
      <c r="AO46" s="177"/>
      <c r="AP46" s="177"/>
      <c r="AQ46" s="171"/>
      <c r="AR46" s="52"/>
    </row>
    <row r="47" spans="1:44" x14ac:dyDescent="0.25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241"/>
      <c r="O47" s="175"/>
      <c r="P47" s="175"/>
      <c r="Q47" s="175"/>
      <c r="R47" s="175"/>
      <c r="S47" s="175"/>
      <c r="T47" s="175"/>
      <c r="U47" s="175"/>
      <c r="V47" s="175"/>
      <c r="W47" s="175"/>
      <c r="X47" s="176">
        <f t="shared" si="0"/>
        <v>0</v>
      </c>
      <c r="Y47" s="235" t="s">
        <v>179</v>
      </c>
      <c r="Z47" s="190"/>
      <c r="AA47" s="175"/>
      <c r="AB47" s="175"/>
      <c r="AC47" s="176"/>
      <c r="AD47" s="187">
        <f>X47*Z47/100</f>
        <v>0</v>
      </c>
      <c r="AE47" s="188"/>
      <c r="AF47" s="187">
        <f t="shared" si="5"/>
        <v>0</v>
      </c>
      <c r="AG47" s="188"/>
      <c r="AH47" s="417">
        <f t="shared" si="3"/>
        <v>0</v>
      </c>
      <c r="AI47" s="178"/>
      <c r="AJ47" s="177"/>
      <c r="AK47" s="177"/>
      <c r="AL47" s="177"/>
      <c r="AM47" s="177"/>
      <c r="AN47" s="177"/>
      <c r="AO47" s="177"/>
      <c r="AP47" s="177"/>
      <c r="AQ47" s="171"/>
      <c r="AR47" s="52"/>
    </row>
    <row r="48" spans="1:44" x14ac:dyDescent="0.2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>
        <f>AH48-AE48</f>
        <v>0</v>
      </c>
      <c r="O48" s="177"/>
      <c r="P48" s="177"/>
      <c r="Q48" s="177"/>
      <c r="R48" s="177"/>
      <c r="S48" s="177"/>
      <c r="T48" s="177"/>
      <c r="U48" s="177"/>
      <c r="V48" s="177"/>
      <c r="W48" s="177"/>
      <c r="X48" s="176">
        <f t="shared" si="0"/>
        <v>0</v>
      </c>
      <c r="Y48" s="235" t="s">
        <v>181</v>
      </c>
      <c r="Z48" s="187"/>
      <c r="AA48" s="177"/>
      <c r="AB48" s="177"/>
      <c r="AC48" s="188"/>
      <c r="AD48" s="190">
        <f>-AG48/$D$2%</f>
        <v>0</v>
      </c>
      <c r="AE48" s="176"/>
      <c r="AF48" s="187">
        <f>X48*AB48/100</f>
        <v>0</v>
      </c>
      <c r="AG48" s="176"/>
      <c r="AH48" s="421"/>
      <c r="AI48" s="174"/>
      <c r="AJ48" s="175"/>
      <c r="AK48" s="175"/>
      <c r="AL48" s="175"/>
      <c r="AM48" s="175"/>
      <c r="AN48" s="175"/>
      <c r="AO48" s="175"/>
      <c r="AP48" s="175"/>
      <c r="AQ48" s="173"/>
      <c r="AR48" s="159"/>
    </row>
    <row r="49" spans="1:44" x14ac:dyDescent="0.2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6">
        <f t="shared" si="0"/>
        <v>0</v>
      </c>
      <c r="Y49" s="235" t="s">
        <v>183</v>
      </c>
      <c r="Z49" s="187"/>
      <c r="AA49" s="177"/>
      <c r="AB49" s="177"/>
      <c r="AC49" s="188"/>
      <c r="AD49" s="190">
        <f>-AG49/$D$2%</f>
        <v>0</v>
      </c>
      <c r="AE49" s="176"/>
      <c r="AF49" s="190">
        <f>X49*AB49/100</f>
        <v>0</v>
      </c>
      <c r="AG49" s="176"/>
      <c r="AH49" s="421"/>
      <c r="AI49" s="174"/>
      <c r="AJ49" s="175"/>
      <c r="AK49" s="175"/>
      <c r="AL49" s="175"/>
      <c r="AM49" s="175"/>
      <c r="AN49" s="175"/>
      <c r="AO49" s="175"/>
      <c r="AP49" s="175"/>
      <c r="AQ49" s="173"/>
      <c r="AR49" s="159"/>
    </row>
    <row r="50" spans="1:44" x14ac:dyDescent="0.25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6">
        <f t="shared" si="0"/>
        <v>0</v>
      </c>
      <c r="Y50" s="242" t="s">
        <v>185</v>
      </c>
      <c r="Z50" s="190"/>
      <c r="AA50" s="175"/>
      <c r="AB50" s="175"/>
      <c r="AC50" s="176"/>
      <c r="AD50" s="187"/>
      <c r="AE50" s="188"/>
      <c r="AF50" s="187">
        <f t="shared" si="5"/>
        <v>0</v>
      </c>
      <c r="AG50" s="188"/>
      <c r="AH50" s="417">
        <f t="shared" si="3"/>
        <v>0</v>
      </c>
      <c r="AI50" s="178"/>
      <c r="AJ50" s="177"/>
      <c r="AK50" s="177"/>
      <c r="AL50" s="177"/>
      <c r="AM50" s="177"/>
      <c r="AN50" s="177"/>
      <c r="AO50" s="177"/>
      <c r="AP50" s="177"/>
      <c r="AQ50" s="171"/>
      <c r="AR50" s="52"/>
    </row>
    <row r="51" spans="1:44" x14ac:dyDescent="0.25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6">
        <f t="shared" si="0"/>
        <v>0</v>
      </c>
      <c r="Y51" s="234" t="s">
        <v>187</v>
      </c>
      <c r="Z51" s="190"/>
      <c r="AA51" s="175"/>
      <c r="AB51" s="175"/>
      <c r="AC51" s="176"/>
      <c r="AD51" s="187">
        <f>X51*Z51/100</f>
        <v>0</v>
      </c>
      <c r="AE51" s="188"/>
      <c r="AF51" s="187">
        <f t="shared" si="5"/>
        <v>0</v>
      </c>
      <c r="AG51" s="188"/>
      <c r="AH51" s="417">
        <f t="shared" si="3"/>
        <v>0</v>
      </c>
      <c r="AI51" s="178"/>
      <c r="AJ51" s="177"/>
      <c r="AK51" s="177"/>
      <c r="AL51" s="177"/>
      <c r="AM51" s="177"/>
      <c r="AN51" s="177"/>
      <c r="AO51" s="177"/>
      <c r="AP51" s="177"/>
      <c r="AQ51" s="171"/>
      <c r="AR51" s="52"/>
    </row>
    <row r="52" spans="1:44" x14ac:dyDescent="0.25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6">
        <f t="shared" si="0"/>
        <v>0</v>
      </c>
      <c r="Y52" s="235" t="s">
        <v>189</v>
      </c>
      <c r="Z52" s="190"/>
      <c r="AA52" s="175"/>
      <c r="AB52" s="175"/>
      <c r="AC52" s="176">
        <v>77.2</v>
      </c>
      <c r="AD52" s="187"/>
      <c r="AE52" s="188"/>
      <c r="AF52" s="187">
        <f>-SUM(AF44:AF51)</f>
        <v>0</v>
      </c>
      <c r="AG52" s="188">
        <f>-AF52*AC52/100</f>
        <v>0</v>
      </c>
      <c r="AH52" s="417">
        <f t="shared" si="3"/>
        <v>0</v>
      </c>
      <c r="AI52" s="178">
        <f>AG52*63.8%</f>
        <v>0</v>
      </c>
      <c r="AJ52" s="178">
        <f>AG52*9.6%</f>
        <v>0</v>
      </c>
      <c r="AK52" s="177">
        <f>AG52*12.9%</f>
        <v>0</v>
      </c>
      <c r="AL52" s="177">
        <f>AG52*7%</f>
        <v>0</v>
      </c>
      <c r="AM52" s="177">
        <f>AG52*0%</f>
        <v>0</v>
      </c>
      <c r="AN52" s="177">
        <f>AG52*4.8%</f>
        <v>0</v>
      </c>
      <c r="AO52" s="177">
        <f>AG52*1.9%</f>
        <v>0</v>
      </c>
      <c r="AP52" s="177"/>
      <c r="AQ52" s="171"/>
      <c r="AR52" s="52"/>
    </row>
    <row r="53" spans="1:44" x14ac:dyDescent="0.25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>
        <v>9.1999999999999993</v>
      </c>
      <c r="W53" s="175"/>
      <c r="X53" s="176">
        <f t="shared" si="0"/>
        <v>9.1999999999999993</v>
      </c>
      <c r="Y53" s="234" t="s">
        <v>193</v>
      </c>
      <c r="Z53" s="190">
        <v>30.1</v>
      </c>
      <c r="AA53" s="175">
        <v>43</v>
      </c>
      <c r="AB53" s="175"/>
      <c r="AC53" s="176"/>
      <c r="AD53" s="187">
        <f>X53*Z53/100</f>
        <v>2.7692000000000001</v>
      </c>
      <c r="AE53" s="188"/>
      <c r="AF53" s="187">
        <f>X53*AB53/100</f>
        <v>0</v>
      </c>
      <c r="AG53" s="188"/>
      <c r="AH53" s="417">
        <f t="shared" ref="AH53:AH80" si="6">SUM(AI53:AQ53)</f>
        <v>3.9559999999999995</v>
      </c>
      <c r="AI53" s="178"/>
      <c r="AJ53" s="175">
        <f>X53*AA53/100</f>
        <v>3.9559999999999995</v>
      </c>
      <c r="AK53" s="175"/>
      <c r="AL53" s="175"/>
      <c r="AM53" s="175"/>
      <c r="AN53" s="175"/>
      <c r="AO53" s="175"/>
      <c r="AP53" s="175"/>
      <c r="AQ53" s="171"/>
      <c r="AR53" s="52"/>
    </row>
    <row r="54" spans="1:44" x14ac:dyDescent="0.25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6">
        <f t="shared" si="0"/>
        <v>0</v>
      </c>
      <c r="Y54" s="234" t="s">
        <v>195</v>
      </c>
      <c r="Z54" s="190"/>
      <c r="AA54" s="175"/>
      <c r="AB54" s="175"/>
      <c r="AC54" s="176"/>
      <c r="AD54" s="187">
        <f>X54*Z54/100</f>
        <v>0</v>
      </c>
      <c r="AE54" s="188"/>
      <c r="AF54" s="187">
        <f>X54*AB54/100</f>
        <v>0</v>
      </c>
      <c r="AG54" s="188"/>
      <c r="AH54" s="417">
        <f t="shared" si="6"/>
        <v>0</v>
      </c>
      <c r="AI54" s="178"/>
      <c r="AJ54" s="175"/>
      <c r="AK54" s="175"/>
      <c r="AL54" s="175"/>
      <c r="AM54" s="175"/>
      <c r="AN54" s="175"/>
      <c r="AO54" s="175"/>
      <c r="AP54" s="175"/>
      <c r="AQ54" s="171"/>
      <c r="AR54" s="52"/>
    </row>
    <row r="55" spans="1:44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6">
        <f t="shared" si="0"/>
        <v>0</v>
      </c>
      <c r="Y55" s="235" t="s">
        <v>197</v>
      </c>
      <c r="Z55" s="190"/>
      <c r="AA55" s="175"/>
      <c r="AB55" s="175"/>
      <c r="AC55" s="176">
        <v>77.2</v>
      </c>
      <c r="AD55" s="187"/>
      <c r="AE55" s="188"/>
      <c r="AF55" s="187">
        <f>-SUM(AF53:AF54)</f>
        <v>0</v>
      </c>
      <c r="AG55" s="188">
        <f>-AF55*AC55/100</f>
        <v>0</v>
      </c>
      <c r="AH55" s="417">
        <f t="shared" si="6"/>
        <v>0</v>
      </c>
      <c r="AI55" s="178">
        <f>AG55*63.8%</f>
        <v>0</v>
      </c>
      <c r="AJ55" s="178">
        <f>AG55*9.6%</f>
        <v>0</v>
      </c>
      <c r="AK55" s="177">
        <f>AG55*12.9%</f>
        <v>0</v>
      </c>
      <c r="AL55" s="177">
        <f>AG55*7%</f>
        <v>0</v>
      </c>
      <c r="AM55" s="177">
        <f>AG55*0%</f>
        <v>0</v>
      </c>
      <c r="AN55" s="177">
        <f>AG55*4.8%</f>
        <v>0</v>
      </c>
      <c r="AO55" s="177">
        <f>AG55*1.9%</f>
        <v>0</v>
      </c>
      <c r="AP55" s="177"/>
      <c r="AQ55" s="171"/>
      <c r="AR55" s="52"/>
    </row>
    <row r="56" spans="1:44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6">
        <f t="shared" si="0"/>
        <v>0</v>
      </c>
      <c r="Y56" s="235" t="s">
        <v>201</v>
      </c>
      <c r="Z56" s="190"/>
      <c r="AA56" s="175"/>
      <c r="AB56" s="175"/>
      <c r="AC56" s="176"/>
      <c r="AD56" s="187"/>
      <c r="AE56" s="188"/>
      <c r="AF56" s="187">
        <f>X56*AB56/100</f>
        <v>0</v>
      </c>
      <c r="AG56" s="188"/>
      <c r="AH56" s="417">
        <f t="shared" si="6"/>
        <v>0</v>
      </c>
      <c r="AI56" s="178"/>
      <c r="AJ56" s="177"/>
      <c r="AK56" s="177"/>
      <c r="AL56" s="177"/>
      <c r="AM56" s="177"/>
      <c r="AN56" s="177"/>
      <c r="AO56" s="177"/>
      <c r="AP56" s="177"/>
      <c r="AQ56" s="188"/>
      <c r="AR56" s="52"/>
    </row>
    <row r="57" spans="1:44" x14ac:dyDescent="0.25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>
        <f>AF57-AE57</f>
        <v>0</v>
      </c>
      <c r="O57" s="177"/>
      <c r="P57" s="177"/>
      <c r="Q57" s="177"/>
      <c r="R57" s="177"/>
      <c r="S57" s="177"/>
      <c r="T57" s="177"/>
      <c r="U57" s="177"/>
      <c r="V57" s="177"/>
      <c r="W57" s="177"/>
      <c r="X57" s="176">
        <f t="shared" si="0"/>
        <v>0</v>
      </c>
      <c r="Y57" s="235" t="s">
        <v>203</v>
      </c>
      <c r="Z57" s="187"/>
      <c r="AA57" s="177"/>
      <c r="AB57" s="177"/>
      <c r="AC57" s="188"/>
      <c r="AD57" s="187">
        <f>-AG57/$D$2%</f>
        <v>0</v>
      </c>
      <c r="AE57" s="188"/>
      <c r="AF57" s="187">
        <f>AE57*AB57%</f>
        <v>0</v>
      </c>
      <c r="AG57" s="188"/>
      <c r="AH57" s="417"/>
      <c r="AI57" s="178"/>
      <c r="AJ57" s="177"/>
      <c r="AK57" s="177"/>
      <c r="AL57" s="177"/>
      <c r="AM57" s="177"/>
      <c r="AN57" s="177"/>
      <c r="AO57" s="177"/>
      <c r="AP57" s="177"/>
      <c r="AQ57" s="188"/>
      <c r="AR57" s="52"/>
    </row>
    <row r="58" spans="1:44" x14ac:dyDescent="0.25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244"/>
      <c r="O58" s="177"/>
      <c r="P58" s="177"/>
      <c r="Q58" s="177"/>
      <c r="R58" s="177"/>
      <c r="S58" s="177"/>
      <c r="T58" s="177"/>
      <c r="U58" s="177"/>
      <c r="V58" s="177"/>
      <c r="W58" s="177"/>
      <c r="X58" s="176">
        <f t="shared" si="0"/>
        <v>0</v>
      </c>
      <c r="Y58" s="235" t="s">
        <v>205</v>
      </c>
      <c r="Z58" s="187"/>
      <c r="AA58" s="177"/>
      <c r="AB58" s="177"/>
      <c r="AC58" s="188"/>
      <c r="AD58" s="187"/>
      <c r="AE58" s="188"/>
      <c r="AF58" s="187">
        <f>X58*AB58/100</f>
        <v>0</v>
      </c>
      <c r="AG58" s="188"/>
      <c r="AH58" s="417"/>
      <c r="AI58" s="178"/>
      <c r="AJ58" s="177"/>
      <c r="AK58" s="177"/>
      <c r="AL58" s="177"/>
      <c r="AM58" s="177"/>
      <c r="AN58" s="177"/>
      <c r="AO58" s="177"/>
      <c r="AP58" s="177"/>
      <c r="AQ58" s="188"/>
      <c r="AR58" s="52"/>
    </row>
    <row r="59" spans="1:44" x14ac:dyDescent="0.25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244"/>
      <c r="O59" s="177"/>
      <c r="P59" s="177"/>
      <c r="Q59" s="177"/>
      <c r="R59" s="177"/>
      <c r="S59" s="177"/>
      <c r="T59" s="177"/>
      <c r="U59" s="177"/>
      <c r="V59" s="177"/>
      <c r="W59" s="177"/>
      <c r="X59" s="176">
        <f t="shared" si="0"/>
        <v>0</v>
      </c>
      <c r="Y59" s="235" t="s">
        <v>207</v>
      </c>
      <c r="Z59" s="187"/>
      <c r="AA59" s="177"/>
      <c r="AB59" s="177"/>
      <c r="AC59" s="188"/>
      <c r="AD59" s="187"/>
      <c r="AE59" s="188"/>
      <c r="AF59" s="187">
        <f>X59*AB59/100</f>
        <v>0</v>
      </c>
      <c r="AG59" s="188"/>
      <c r="AH59" s="417"/>
      <c r="AI59" s="178"/>
      <c r="AJ59" s="177"/>
      <c r="AK59" s="177"/>
      <c r="AL59" s="177"/>
      <c r="AM59" s="177"/>
      <c r="AN59" s="177"/>
      <c r="AO59" s="177"/>
      <c r="AP59" s="177"/>
      <c r="AQ59" s="188"/>
      <c r="AR59" s="52"/>
    </row>
    <row r="60" spans="1:44" x14ac:dyDescent="0.25">
      <c r="A60" s="172"/>
      <c r="B60" s="172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241"/>
      <c r="O60" s="175"/>
      <c r="P60" s="175"/>
      <c r="Q60" s="175"/>
      <c r="R60" s="175"/>
      <c r="S60" s="175"/>
      <c r="T60" s="175"/>
      <c r="U60" s="175"/>
      <c r="V60" s="175"/>
      <c r="W60" s="175"/>
      <c r="X60" s="173">
        <f t="shared" si="0"/>
        <v>0</v>
      </c>
      <c r="Y60" s="235" t="s">
        <v>209</v>
      </c>
      <c r="Z60" s="190"/>
      <c r="AA60" s="175"/>
      <c r="AB60" s="175"/>
      <c r="AC60" s="176"/>
      <c r="AD60" s="187"/>
      <c r="AE60" s="188"/>
      <c r="AF60" s="187">
        <f>X60*AB60/100</f>
        <v>0</v>
      </c>
      <c r="AG60" s="188"/>
      <c r="AH60" s="417">
        <f t="shared" si="6"/>
        <v>0</v>
      </c>
      <c r="AI60" s="178"/>
      <c r="AJ60" s="177"/>
      <c r="AK60" s="177"/>
      <c r="AL60" s="177"/>
      <c r="AM60" s="177"/>
      <c r="AN60" s="177"/>
      <c r="AO60" s="177"/>
      <c r="AP60" s="177"/>
      <c r="AQ60" s="188"/>
      <c r="AR60" s="52"/>
    </row>
    <row r="61" spans="1:44" x14ac:dyDescent="0.25">
      <c r="A61" s="187"/>
      <c r="B61" s="177"/>
      <c r="C61" s="177"/>
      <c r="D61" s="177"/>
      <c r="E61" s="69">
        <f>144*0.334</f>
        <v>48.096000000000004</v>
      </c>
      <c r="F61" s="177"/>
      <c r="G61" s="177"/>
      <c r="H61" s="177"/>
      <c r="I61" s="177">
        <v>3000</v>
      </c>
      <c r="J61" s="177"/>
      <c r="K61" s="177"/>
      <c r="L61" s="177"/>
      <c r="M61" s="177"/>
      <c r="N61" s="177"/>
      <c r="O61" s="177"/>
      <c r="P61" s="177"/>
      <c r="Q61" s="177">
        <f>8*0.334</f>
        <v>2.6720000000000002</v>
      </c>
      <c r="R61" s="177">
        <f>79*0.334</f>
        <v>26.386000000000003</v>
      </c>
      <c r="S61" s="177">
        <f>(9+158)*0.334</f>
        <v>55.778000000000006</v>
      </c>
      <c r="T61" s="177"/>
      <c r="U61" s="177">
        <f>1367*0.55*0.334</f>
        <v>251.11790000000002</v>
      </c>
      <c r="V61" s="177">
        <f>9*0.334</f>
        <v>3.0060000000000002</v>
      </c>
      <c r="W61" s="177">
        <f>1367*0.45*0.334</f>
        <v>205.46010000000001</v>
      </c>
      <c r="X61" s="173">
        <f t="shared" si="0"/>
        <v>3592.5159999999996</v>
      </c>
      <c r="Y61" s="234" t="s">
        <v>159</v>
      </c>
      <c r="Z61" s="190">
        <v>22.9</v>
      </c>
      <c r="AA61" s="175"/>
      <c r="AB61" s="175">
        <v>53.5</v>
      </c>
      <c r="AC61" s="176"/>
      <c r="AD61" s="187">
        <f>X61*Z61%</f>
        <v>822.68616399999985</v>
      </c>
      <c r="AE61" s="188"/>
      <c r="AF61" s="187">
        <f>X61*AB61%</f>
        <v>1921.9960599999999</v>
      </c>
      <c r="AG61" s="188"/>
      <c r="AH61" s="417">
        <f t="shared" si="6"/>
        <v>0</v>
      </c>
      <c r="AI61" s="178"/>
      <c r="AJ61" s="177"/>
      <c r="AK61" s="177"/>
      <c r="AL61" s="177"/>
      <c r="AM61" s="177"/>
      <c r="AN61" s="177"/>
      <c r="AO61" s="177"/>
      <c r="AP61" s="177"/>
      <c r="AQ61" s="188"/>
      <c r="AR61" s="52"/>
    </row>
    <row r="62" spans="1:44" x14ac:dyDescent="0.25">
      <c r="A62" s="172"/>
      <c r="B62" s="172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240"/>
      <c r="O62" s="175"/>
      <c r="P62" s="175"/>
      <c r="Q62" s="175"/>
      <c r="R62" s="175"/>
      <c r="S62" s="175"/>
      <c r="T62" s="175"/>
      <c r="U62" s="175"/>
      <c r="V62" s="175"/>
      <c r="W62" s="172"/>
      <c r="X62" s="173">
        <f t="shared" si="0"/>
        <v>0</v>
      </c>
      <c r="Y62" s="235" t="s">
        <v>211</v>
      </c>
      <c r="Z62" s="190"/>
      <c r="AA62" s="175"/>
      <c r="AB62" s="175"/>
      <c r="AC62" s="176">
        <v>77.2</v>
      </c>
      <c r="AD62" s="187"/>
      <c r="AE62" s="188"/>
      <c r="AF62" s="190">
        <f>-SUM(AF56:AF61)</f>
        <v>-1921.9960599999999</v>
      </c>
      <c r="AG62" s="188">
        <f>-AF62*AC62/100</f>
        <v>1483.7809583199999</v>
      </c>
      <c r="AH62" s="417">
        <f t="shared" si="6"/>
        <v>1483.7809583199999</v>
      </c>
      <c r="AI62" s="178">
        <f>AG62*63.9%</f>
        <v>948.13603236647998</v>
      </c>
      <c r="AJ62" s="178">
        <f>AG62*9.3%</f>
        <v>137.99162912375999</v>
      </c>
      <c r="AK62" s="177">
        <f>AG62*13.3%</f>
        <v>197.34286745655999</v>
      </c>
      <c r="AL62" s="177">
        <f>AG62*7.1%</f>
        <v>105.34844804071999</v>
      </c>
      <c r="AM62" s="177">
        <f>AG62*0%</f>
        <v>0</v>
      </c>
      <c r="AN62" s="177">
        <f>AG62*4.9%</f>
        <v>72.705266957679996</v>
      </c>
      <c r="AO62" s="177">
        <f>AG62*1.5%</f>
        <v>22.256714374799998</v>
      </c>
      <c r="AP62" s="177"/>
      <c r="AQ62" s="188"/>
      <c r="AR62" s="52"/>
    </row>
    <row r="63" spans="1:44" x14ac:dyDescent="0.25">
      <c r="A63" s="172"/>
      <c r="B63" s="172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240"/>
      <c r="O63" s="175"/>
      <c r="P63" s="175"/>
      <c r="Q63" s="175"/>
      <c r="R63" s="175"/>
      <c r="S63" s="175"/>
      <c r="T63" s="175"/>
      <c r="U63" s="175"/>
      <c r="V63" s="175"/>
      <c r="W63" s="172"/>
      <c r="X63" s="173">
        <f t="shared" si="0"/>
        <v>0</v>
      </c>
      <c r="Y63" s="234" t="s">
        <v>215</v>
      </c>
      <c r="Z63" s="190"/>
      <c r="AA63" s="175"/>
      <c r="AB63" s="175"/>
      <c r="AC63" s="176"/>
      <c r="AD63" s="187">
        <f t="shared" ref="AD63:AD68" si="7">Z63/100*X63</f>
        <v>0</v>
      </c>
      <c r="AE63" s="188"/>
      <c r="AF63" s="187">
        <f>X63*AB63/100</f>
        <v>0</v>
      </c>
      <c r="AG63" s="188"/>
      <c r="AH63" s="417">
        <f t="shared" si="6"/>
        <v>0</v>
      </c>
      <c r="AI63" s="178"/>
      <c r="AJ63" s="177"/>
      <c r="AK63" s="177"/>
      <c r="AL63" s="177"/>
      <c r="AM63" s="177"/>
      <c r="AN63" s="177"/>
      <c r="AO63" s="177"/>
      <c r="AP63" s="177"/>
      <c r="AQ63" s="188"/>
      <c r="AR63" s="52"/>
    </row>
    <row r="64" spans="1:44" x14ac:dyDescent="0.25">
      <c r="A64" s="172"/>
      <c r="B64" s="172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240"/>
      <c r="O64" s="175"/>
      <c r="P64" s="175"/>
      <c r="Q64" s="175"/>
      <c r="R64" s="175"/>
      <c r="S64" s="175"/>
      <c r="T64" s="175"/>
      <c r="U64" s="175"/>
      <c r="V64" s="175"/>
      <c r="W64" s="172"/>
      <c r="X64" s="173">
        <f t="shared" si="0"/>
        <v>0</v>
      </c>
      <c r="Y64" s="234" t="s">
        <v>217</v>
      </c>
      <c r="Z64" s="190"/>
      <c r="AA64" s="175"/>
      <c r="AB64" s="175"/>
      <c r="AC64" s="176"/>
      <c r="AD64" s="187">
        <f t="shared" si="7"/>
        <v>0</v>
      </c>
      <c r="AE64" s="188"/>
      <c r="AF64" s="187">
        <f>X64*AB64/100</f>
        <v>0</v>
      </c>
      <c r="AG64" s="188"/>
      <c r="AH64" s="417">
        <f t="shared" si="6"/>
        <v>0</v>
      </c>
      <c r="AI64" s="178"/>
      <c r="AJ64" s="177"/>
      <c r="AK64" s="177"/>
      <c r="AL64" s="177"/>
      <c r="AM64" s="177"/>
      <c r="AN64" s="177"/>
      <c r="AO64" s="177"/>
      <c r="AP64" s="177"/>
      <c r="AQ64" s="188"/>
      <c r="AR64" s="52"/>
    </row>
    <row r="65" spans="1:44" x14ac:dyDescent="0.25">
      <c r="A65" s="172"/>
      <c r="B65" s="172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240"/>
      <c r="O65" s="175"/>
      <c r="P65" s="175"/>
      <c r="Q65" s="175"/>
      <c r="R65" s="175"/>
      <c r="S65" s="175"/>
      <c r="T65" s="175"/>
      <c r="U65" s="175"/>
      <c r="V65" s="175"/>
      <c r="W65" s="172"/>
      <c r="X65" s="173">
        <f t="shared" si="0"/>
        <v>0</v>
      </c>
      <c r="Y65" s="234" t="s">
        <v>219</v>
      </c>
      <c r="Z65" s="190"/>
      <c r="AA65" s="175"/>
      <c r="AB65" s="175"/>
      <c r="AC65" s="176"/>
      <c r="AD65" s="187">
        <f t="shared" si="7"/>
        <v>0</v>
      </c>
      <c r="AE65" s="188"/>
      <c r="AF65" s="187">
        <f>X65*AB65/100</f>
        <v>0</v>
      </c>
      <c r="AG65" s="188"/>
      <c r="AH65" s="417">
        <f t="shared" si="6"/>
        <v>0</v>
      </c>
      <c r="AI65" s="178"/>
      <c r="AJ65" s="177"/>
      <c r="AK65" s="177"/>
      <c r="AL65" s="177"/>
      <c r="AM65" s="177"/>
      <c r="AN65" s="177"/>
      <c r="AO65" s="177"/>
      <c r="AP65" s="177"/>
      <c r="AQ65" s="188"/>
      <c r="AR65" s="52"/>
    </row>
    <row r="66" spans="1:44" x14ac:dyDescent="0.25">
      <c r="A66" s="172"/>
      <c r="B66" s="172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0"/>
      <c r="O66" s="175"/>
      <c r="P66" s="175"/>
      <c r="Q66" s="175"/>
      <c r="R66" s="175"/>
      <c r="S66" s="175"/>
      <c r="T66" s="175"/>
      <c r="U66" s="175"/>
      <c r="V66" s="175"/>
      <c r="W66" s="172"/>
      <c r="X66" s="173">
        <f t="shared" si="0"/>
        <v>0</v>
      </c>
      <c r="Y66" s="234" t="s">
        <v>221</v>
      </c>
      <c r="Z66" s="190"/>
      <c r="AA66" s="175"/>
      <c r="AB66" s="175"/>
      <c r="AC66" s="176"/>
      <c r="AD66" s="187">
        <f t="shared" si="7"/>
        <v>0</v>
      </c>
      <c r="AE66" s="188"/>
      <c r="AF66" s="187">
        <f>X66*AB66/100</f>
        <v>0</v>
      </c>
      <c r="AG66" s="188"/>
      <c r="AH66" s="417">
        <f t="shared" si="6"/>
        <v>0</v>
      </c>
      <c r="AI66" s="178"/>
      <c r="AJ66" s="177"/>
      <c r="AK66" s="177"/>
      <c r="AL66" s="177"/>
      <c r="AM66" s="177"/>
      <c r="AN66" s="177"/>
      <c r="AO66" s="177"/>
      <c r="AP66" s="177"/>
      <c r="AQ66" s="188"/>
      <c r="AR66" s="52"/>
    </row>
    <row r="67" spans="1:44" x14ac:dyDescent="0.25">
      <c r="A67" s="172"/>
      <c r="B67" s="172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0"/>
      <c r="O67" s="175"/>
      <c r="P67" s="175"/>
      <c r="Q67" s="175"/>
      <c r="R67" s="175"/>
      <c r="S67" s="175"/>
      <c r="T67" s="175"/>
      <c r="U67" s="175"/>
      <c r="V67" s="175"/>
      <c r="W67" s="172"/>
      <c r="X67" s="173">
        <f t="shared" si="0"/>
        <v>0</v>
      </c>
      <c r="Y67" s="234" t="s">
        <v>223</v>
      </c>
      <c r="Z67" s="190"/>
      <c r="AA67" s="175"/>
      <c r="AB67" s="175"/>
      <c r="AC67" s="176"/>
      <c r="AD67" s="187">
        <f t="shared" si="7"/>
        <v>0</v>
      </c>
      <c r="AE67" s="188"/>
      <c r="AF67" s="187">
        <f>X67*AB67/100</f>
        <v>0</v>
      </c>
      <c r="AG67" s="188"/>
      <c r="AH67" s="417">
        <f t="shared" si="6"/>
        <v>0</v>
      </c>
      <c r="AI67" s="178"/>
      <c r="AJ67" s="177"/>
      <c r="AK67" s="177"/>
      <c r="AL67" s="177"/>
      <c r="AM67" s="177"/>
      <c r="AN67" s="177"/>
      <c r="AO67" s="177"/>
      <c r="AP67" s="177"/>
      <c r="AQ67" s="188"/>
      <c r="AR67" s="52"/>
    </row>
    <row r="68" spans="1:44" x14ac:dyDescent="0.25">
      <c r="A68" s="172"/>
      <c r="B68" s="172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0"/>
      <c r="O68" s="175"/>
      <c r="P68" s="175"/>
      <c r="Q68" s="175"/>
      <c r="R68" s="175"/>
      <c r="S68" s="175"/>
      <c r="T68" s="175"/>
      <c r="U68" s="175"/>
      <c r="V68" s="175"/>
      <c r="W68" s="172"/>
      <c r="X68" s="173">
        <f t="shared" si="0"/>
        <v>0</v>
      </c>
      <c r="Y68" s="234" t="s">
        <v>225</v>
      </c>
      <c r="Z68" s="190"/>
      <c r="AA68" s="175"/>
      <c r="AB68" s="175"/>
      <c r="AC68" s="176"/>
      <c r="AD68" s="187">
        <f t="shared" si="7"/>
        <v>0</v>
      </c>
      <c r="AE68" s="176"/>
      <c r="AF68" s="187">
        <f>(16.55+1048)*0.333</f>
        <v>354.49515000000002</v>
      </c>
      <c r="AG68" s="188"/>
      <c r="AH68" s="417">
        <f t="shared" si="6"/>
        <v>0</v>
      </c>
      <c r="AI68" s="178"/>
      <c r="AJ68" s="177"/>
      <c r="AK68" s="177"/>
      <c r="AL68" s="177"/>
      <c r="AM68" s="177"/>
      <c r="AN68" s="177"/>
      <c r="AO68" s="177"/>
      <c r="AP68" s="177"/>
      <c r="AQ68" s="188"/>
      <c r="AR68" s="52"/>
    </row>
    <row r="69" spans="1:44" x14ac:dyDescent="0.25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0"/>
      <c r="O69" s="172"/>
      <c r="P69" s="172"/>
      <c r="Q69" s="172"/>
      <c r="R69" s="172"/>
      <c r="S69" s="172"/>
      <c r="T69" s="172"/>
      <c r="U69" s="172"/>
      <c r="V69" s="172"/>
      <c r="W69" s="172"/>
      <c r="X69" s="173">
        <f t="shared" si="0"/>
        <v>0</v>
      </c>
      <c r="Y69" s="242" t="s">
        <v>227</v>
      </c>
      <c r="Z69" s="190"/>
      <c r="AA69" s="175"/>
      <c r="AB69" s="175"/>
      <c r="AC69" s="423"/>
      <c r="AD69" s="187">
        <f>-AE69</f>
        <v>-145.10808</v>
      </c>
      <c r="AE69" s="176">
        <f>435.76*0.333</f>
        <v>145.10808</v>
      </c>
      <c r="AF69" s="190"/>
      <c r="AG69" s="188"/>
      <c r="AH69" s="417">
        <f t="shared" si="6"/>
        <v>145.10808</v>
      </c>
      <c r="AI69" s="178"/>
      <c r="AJ69" s="177"/>
      <c r="AK69" s="177"/>
      <c r="AL69" s="177"/>
      <c r="AM69" s="177"/>
      <c r="AN69" s="177">
        <f>AE69</f>
        <v>145.10808</v>
      </c>
      <c r="AO69" s="177"/>
      <c r="AP69" s="177"/>
      <c r="AQ69" s="188"/>
      <c r="AR69" s="52"/>
    </row>
    <row r="70" spans="1:44" x14ac:dyDescent="0.25">
      <c r="A70" s="172"/>
      <c r="B70" s="172"/>
      <c r="C70" s="172"/>
      <c r="D70" s="172"/>
      <c r="E70" s="175"/>
      <c r="F70" s="175"/>
      <c r="G70" s="175"/>
      <c r="H70" s="175"/>
      <c r="I70" s="175"/>
      <c r="J70" s="175"/>
      <c r="K70" s="175"/>
      <c r="L70" s="175"/>
      <c r="M70" s="175"/>
      <c r="N70" s="170"/>
      <c r="O70" s="175"/>
      <c r="P70" s="175"/>
      <c r="Q70" s="175"/>
      <c r="R70" s="172"/>
      <c r="S70" s="172"/>
      <c r="T70" s="172"/>
      <c r="U70" s="172"/>
      <c r="V70" s="172"/>
      <c r="W70" s="172"/>
      <c r="X70" s="173">
        <f t="shared" si="0"/>
        <v>0</v>
      </c>
      <c r="Y70" s="242" t="s">
        <v>229</v>
      </c>
      <c r="Z70" s="190"/>
      <c r="AA70" s="175"/>
      <c r="AB70" s="175"/>
      <c r="AC70" s="176"/>
      <c r="AD70" s="187"/>
      <c r="AE70" s="176"/>
      <c r="AF70" s="190"/>
      <c r="AG70" s="424"/>
      <c r="AH70" s="417">
        <f t="shared" si="6"/>
        <v>0</v>
      </c>
      <c r="AI70" s="178"/>
      <c r="AJ70" s="177"/>
      <c r="AK70" s="177"/>
      <c r="AL70" s="177"/>
      <c r="AM70" s="177"/>
      <c r="AN70" s="177">
        <f>-AF70</f>
        <v>0</v>
      </c>
      <c r="AO70" s="177"/>
      <c r="AP70" s="177"/>
      <c r="AQ70" s="188"/>
      <c r="AR70" s="52"/>
    </row>
    <row r="71" spans="1:44" x14ac:dyDescent="0.25">
      <c r="A71" s="172"/>
      <c r="B71" s="172"/>
      <c r="C71" s="172"/>
      <c r="D71" s="172"/>
      <c r="E71" s="175"/>
      <c r="F71" s="175"/>
      <c r="G71" s="175"/>
      <c r="H71" s="175"/>
      <c r="I71" s="175"/>
      <c r="J71" s="175"/>
      <c r="K71" s="175"/>
      <c r="L71" s="175"/>
      <c r="M71" s="175"/>
      <c r="N71" s="170"/>
      <c r="O71" s="175"/>
      <c r="P71" s="175"/>
      <c r="Q71" s="175"/>
      <c r="R71" s="172"/>
      <c r="S71" s="172"/>
      <c r="T71" s="172"/>
      <c r="U71" s="172"/>
      <c r="V71" s="172"/>
      <c r="W71" s="172"/>
      <c r="X71" s="173">
        <f t="shared" si="0"/>
        <v>0</v>
      </c>
      <c r="Y71" s="235" t="s">
        <v>231</v>
      </c>
      <c r="Z71" s="190"/>
      <c r="AA71" s="175"/>
      <c r="AB71" s="175"/>
      <c r="AC71" s="176">
        <v>77.2</v>
      </c>
      <c r="AD71" s="187"/>
      <c r="AE71" s="188"/>
      <c r="AF71" s="187">
        <f>-SUM(AF63:AF70)</f>
        <v>-354.49515000000002</v>
      </c>
      <c r="AG71" s="188">
        <f>-AF71*AC71/100</f>
        <v>273.67025580000001</v>
      </c>
      <c r="AH71" s="417">
        <f t="shared" si="6"/>
        <v>273.67025580000001</v>
      </c>
      <c r="AI71" s="178">
        <f>AG71*63.9%</f>
        <v>174.87529345620001</v>
      </c>
      <c r="AJ71" s="178">
        <f>AG71*9.3%</f>
        <v>25.451333789400003</v>
      </c>
      <c r="AK71" s="177">
        <f>AG71*13.3%</f>
        <v>36.3981440214</v>
      </c>
      <c r="AL71" s="177">
        <f>AG71*7.1%</f>
        <v>19.430588161799999</v>
      </c>
      <c r="AM71" s="177">
        <f>AG71*0%</f>
        <v>0</v>
      </c>
      <c r="AN71" s="177">
        <f>AG71*4.9%</f>
        <v>13.409842534200001</v>
      </c>
      <c r="AO71" s="177">
        <f>AG71*1.5%</f>
        <v>4.1050538369999998</v>
      </c>
      <c r="AP71" s="177"/>
      <c r="AQ71" s="188"/>
      <c r="AR71" s="52"/>
    </row>
    <row r="72" spans="1:44" x14ac:dyDescent="0.25">
      <c r="A72" s="191"/>
      <c r="B72" s="172"/>
      <c r="C72" s="172"/>
      <c r="D72" s="172"/>
      <c r="E72" s="175"/>
      <c r="F72" s="175"/>
      <c r="G72" s="175"/>
      <c r="H72" s="175">
        <v>560.18331599999999</v>
      </c>
      <c r="I72" s="175"/>
      <c r="J72" s="175"/>
      <c r="K72" s="175"/>
      <c r="L72" s="175"/>
      <c r="M72" s="175"/>
      <c r="N72" s="175"/>
      <c r="O72" s="175"/>
      <c r="P72" s="175">
        <v>19.296684000000003</v>
      </c>
      <c r="Q72" s="175"/>
      <c r="R72" s="172"/>
      <c r="S72" s="172"/>
      <c r="T72" s="172"/>
      <c r="U72" s="172"/>
      <c r="V72" s="172"/>
      <c r="W72" s="172"/>
      <c r="X72" s="173">
        <f t="shared" ref="X72:X80" si="8">SUM(A72:W72)</f>
        <v>579.48</v>
      </c>
      <c r="Y72" s="235" t="s">
        <v>241</v>
      </c>
      <c r="Z72" s="187"/>
      <c r="AA72" s="177">
        <v>20</v>
      </c>
      <c r="AB72" s="177"/>
      <c r="AC72" s="188"/>
      <c r="AD72" s="187"/>
      <c r="AE72" s="188"/>
      <c r="AF72" s="187"/>
      <c r="AG72" s="188"/>
      <c r="AH72" s="417">
        <f t="shared" si="6"/>
        <v>115.896</v>
      </c>
      <c r="AI72" s="178"/>
      <c r="AJ72" s="177"/>
      <c r="AK72" s="177"/>
      <c r="AL72" s="177"/>
      <c r="AM72" s="177"/>
      <c r="AN72" s="177"/>
      <c r="AO72" s="177"/>
      <c r="AP72" s="177"/>
      <c r="AQ72" s="188">
        <f>X72*AA72/100</f>
        <v>115.896</v>
      </c>
      <c r="AR72" s="52"/>
    </row>
    <row r="73" spans="1:44" x14ac:dyDescent="0.25">
      <c r="A73" s="191"/>
      <c r="B73" s="172"/>
      <c r="C73" s="172"/>
      <c r="D73" s="172"/>
      <c r="E73" s="175"/>
      <c r="F73" s="175">
        <v>303.42281300000002</v>
      </c>
      <c r="G73" s="175"/>
      <c r="H73" s="175"/>
      <c r="I73" s="175"/>
      <c r="J73" s="175"/>
      <c r="K73" s="175"/>
      <c r="L73" s="175"/>
      <c r="M73" s="175"/>
      <c r="N73" s="175"/>
      <c r="O73" s="175"/>
      <c r="P73" s="175">
        <v>11.887186999999999</v>
      </c>
      <c r="Q73" s="175"/>
      <c r="R73" s="172"/>
      <c r="S73" s="172"/>
      <c r="T73" s="172"/>
      <c r="U73" s="172"/>
      <c r="V73" s="172"/>
      <c r="W73" s="172"/>
      <c r="X73" s="173">
        <f t="shared" si="8"/>
        <v>315.31</v>
      </c>
      <c r="Y73" s="235" t="s">
        <v>243</v>
      </c>
      <c r="Z73" s="187"/>
      <c r="AA73" s="177">
        <v>25</v>
      </c>
      <c r="AB73" s="177"/>
      <c r="AC73" s="188"/>
      <c r="AD73" s="187"/>
      <c r="AE73" s="188"/>
      <c r="AF73" s="187"/>
      <c r="AG73" s="188"/>
      <c r="AH73" s="417">
        <f t="shared" si="6"/>
        <v>78.827500000000001</v>
      </c>
      <c r="AI73" s="178"/>
      <c r="AJ73" s="177"/>
      <c r="AK73" s="177"/>
      <c r="AL73" s="177"/>
      <c r="AM73" s="177"/>
      <c r="AN73" s="177"/>
      <c r="AO73" s="177"/>
      <c r="AP73" s="177"/>
      <c r="AQ73" s="188">
        <f>X73*AA73/100</f>
        <v>78.827500000000001</v>
      </c>
      <c r="AR73" s="52"/>
    </row>
    <row r="74" spans="1:44" x14ac:dyDescent="0.25">
      <c r="A74" s="169"/>
      <c r="B74" s="172"/>
      <c r="C74" s="172"/>
      <c r="D74" s="172"/>
      <c r="E74" s="175"/>
      <c r="F74" s="175">
        <f>198.123*(1-3.8%)</f>
        <v>190.594326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>
        <f>198.123*3.8%</f>
        <v>7.5286739999999996</v>
      </c>
      <c r="Q74" s="175"/>
      <c r="R74" s="172"/>
      <c r="S74" s="172"/>
      <c r="T74" s="172"/>
      <c r="U74" s="172"/>
      <c r="V74" s="172"/>
      <c r="W74" s="172"/>
      <c r="X74" s="173">
        <f t="shared" si="8"/>
        <v>198.12299999999999</v>
      </c>
      <c r="Y74" s="235" t="s">
        <v>244</v>
      </c>
      <c r="Z74" s="187"/>
      <c r="AA74" s="177">
        <v>25</v>
      </c>
      <c r="AB74" s="177"/>
      <c r="AC74" s="188"/>
      <c r="AD74" s="187"/>
      <c r="AE74" s="188"/>
      <c r="AF74" s="187"/>
      <c r="AG74" s="188"/>
      <c r="AH74" s="417">
        <f t="shared" si="6"/>
        <v>49.530749999999998</v>
      </c>
      <c r="AI74" s="178"/>
      <c r="AJ74" s="177"/>
      <c r="AK74" s="177"/>
      <c r="AL74" s="177"/>
      <c r="AM74" s="177"/>
      <c r="AN74" s="177"/>
      <c r="AO74" s="177"/>
      <c r="AP74" s="177"/>
      <c r="AQ74" s="188">
        <f>X74*AA74/100</f>
        <v>49.530749999999998</v>
      </c>
      <c r="AR74" s="52"/>
    </row>
    <row r="75" spans="1:44" x14ac:dyDescent="0.25">
      <c r="A75" s="191"/>
      <c r="B75" s="172"/>
      <c r="C75" s="172"/>
      <c r="D75" s="172"/>
      <c r="E75" s="175"/>
      <c r="F75" s="175">
        <f>17.89*(1-3.8%)</f>
        <v>17.210180000000001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75">
        <f>17.89*3.8%</f>
        <v>0.67981999999999998</v>
      </c>
      <c r="Q75" s="175"/>
      <c r="R75" s="172"/>
      <c r="S75" s="172"/>
      <c r="T75" s="172"/>
      <c r="U75" s="172"/>
      <c r="V75" s="172"/>
      <c r="W75" s="172"/>
      <c r="X75" s="173">
        <f t="shared" si="8"/>
        <v>17.89</v>
      </c>
      <c r="Y75" s="234" t="s">
        <v>246</v>
      </c>
      <c r="Z75" s="187"/>
      <c r="AA75" s="177">
        <v>33</v>
      </c>
      <c r="AB75" s="177"/>
      <c r="AC75" s="188"/>
      <c r="AD75" s="187"/>
      <c r="AE75" s="188"/>
      <c r="AF75" s="187"/>
      <c r="AG75" s="188"/>
      <c r="AH75" s="417">
        <f t="shared" si="6"/>
        <v>5.9036999999999997</v>
      </c>
      <c r="AI75" s="178"/>
      <c r="AJ75" s="177"/>
      <c r="AK75" s="177"/>
      <c r="AL75" s="177"/>
      <c r="AM75" s="177"/>
      <c r="AN75" s="177"/>
      <c r="AO75" s="177"/>
      <c r="AP75" s="177"/>
      <c r="AQ75" s="188">
        <f>X75*AA75/100</f>
        <v>5.9036999999999997</v>
      </c>
      <c r="AR75" s="52"/>
    </row>
    <row r="76" spans="1:44" x14ac:dyDescent="0.25">
      <c r="A76" s="191"/>
      <c r="B76" s="172"/>
      <c r="C76" s="172"/>
      <c r="D76" s="172"/>
      <c r="E76" s="175"/>
      <c r="F76" s="175">
        <v>342.925228</v>
      </c>
      <c r="G76" s="175"/>
      <c r="H76" s="175"/>
      <c r="I76" s="175"/>
      <c r="J76" s="175"/>
      <c r="K76" s="175"/>
      <c r="L76" s="175"/>
      <c r="M76" s="175"/>
      <c r="N76" s="175"/>
      <c r="O76" s="175"/>
      <c r="P76" s="175">
        <v>13.434771999999999</v>
      </c>
      <c r="Q76" s="175"/>
      <c r="R76" s="172"/>
      <c r="S76" s="172"/>
      <c r="T76" s="172"/>
      <c r="U76" s="172"/>
      <c r="V76" s="172"/>
      <c r="W76" s="172"/>
      <c r="X76" s="173">
        <f t="shared" si="8"/>
        <v>356.36</v>
      </c>
      <c r="Y76" s="235" t="s">
        <v>248</v>
      </c>
      <c r="Z76" s="187"/>
      <c r="AA76" s="177">
        <v>33</v>
      </c>
      <c r="AB76" s="177"/>
      <c r="AC76" s="188"/>
      <c r="AD76" s="187"/>
      <c r="AE76" s="188"/>
      <c r="AF76" s="187"/>
      <c r="AG76" s="188"/>
      <c r="AH76" s="417">
        <f t="shared" si="6"/>
        <v>117.59880000000001</v>
      </c>
      <c r="AI76" s="178"/>
      <c r="AJ76" s="177"/>
      <c r="AK76" s="177"/>
      <c r="AL76" s="177"/>
      <c r="AM76" s="177"/>
      <c r="AN76" s="177"/>
      <c r="AO76" s="177"/>
      <c r="AP76" s="177"/>
      <c r="AQ76" s="188">
        <f>X76*AA76/100</f>
        <v>117.59880000000001</v>
      </c>
      <c r="AR76" s="52"/>
    </row>
    <row r="77" spans="1:44" x14ac:dyDescent="0.25">
      <c r="A77" s="191"/>
      <c r="B77" s="172"/>
      <c r="C77" s="172"/>
      <c r="D77" s="172"/>
      <c r="E77" s="175"/>
      <c r="F77" s="138">
        <v>34.73903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75">
        <v>1.36097</v>
      </c>
      <c r="Q77" s="175"/>
      <c r="R77" s="172"/>
      <c r="S77" s="172"/>
      <c r="T77" s="172"/>
      <c r="U77" s="172"/>
      <c r="V77" s="172"/>
      <c r="W77" s="172"/>
      <c r="X77" s="173">
        <f t="shared" si="8"/>
        <v>36.1</v>
      </c>
      <c r="Y77" s="234" t="s">
        <v>285</v>
      </c>
      <c r="Z77" s="187"/>
      <c r="AA77" s="177">
        <v>33</v>
      </c>
      <c r="AB77" s="177"/>
      <c r="AC77" s="188"/>
      <c r="AD77" s="187"/>
      <c r="AE77" s="188"/>
      <c r="AF77" s="187"/>
      <c r="AG77" s="188"/>
      <c r="AH77" s="417">
        <f t="shared" si="6"/>
        <v>11.913</v>
      </c>
      <c r="AI77" s="178"/>
      <c r="AJ77" s="177"/>
      <c r="AK77" s="177"/>
      <c r="AL77" s="177"/>
      <c r="AM77" s="177"/>
      <c r="AN77" s="177"/>
      <c r="AO77" s="177"/>
      <c r="AP77" s="177">
        <f>X77*AA77%</f>
        <v>11.913</v>
      </c>
      <c r="AQ77" s="188"/>
      <c r="AR77" s="52"/>
    </row>
    <row r="78" spans="1:44" x14ac:dyDescent="0.25">
      <c r="A78" s="425"/>
      <c r="B78" s="426"/>
      <c r="C78" s="427"/>
      <c r="D78" s="427"/>
      <c r="E78" s="427"/>
      <c r="F78" s="247">
        <v>30.4</v>
      </c>
      <c r="G78" s="427"/>
      <c r="H78" s="427"/>
      <c r="I78" s="427"/>
      <c r="J78" s="426"/>
      <c r="K78" s="426"/>
      <c r="L78" s="426"/>
      <c r="M78" s="426"/>
      <c r="N78" s="198"/>
      <c r="O78" s="426"/>
      <c r="P78" s="426"/>
      <c r="Q78" s="426"/>
      <c r="R78" s="426"/>
      <c r="S78" s="426"/>
      <c r="T78" s="426"/>
      <c r="U78" s="426"/>
      <c r="V78" s="426"/>
      <c r="W78" s="426"/>
      <c r="X78" s="173">
        <f t="shared" si="8"/>
        <v>30.4</v>
      </c>
      <c r="Y78" s="248" t="s">
        <v>250</v>
      </c>
      <c r="Z78" s="428"/>
      <c r="AA78" s="177">
        <v>33</v>
      </c>
      <c r="AB78" s="199"/>
      <c r="AC78" s="201"/>
      <c r="AD78" s="187">
        <f>-AE78/$D$2%</f>
        <v>0</v>
      </c>
      <c r="AE78" s="201"/>
      <c r="AF78" s="428"/>
      <c r="AG78" s="201"/>
      <c r="AH78" s="417">
        <f t="shared" si="6"/>
        <v>10.032</v>
      </c>
      <c r="AI78" s="429"/>
      <c r="AJ78" s="199"/>
      <c r="AK78" s="199"/>
      <c r="AL78" s="199"/>
      <c r="AM78" s="199"/>
      <c r="AN78" s="199"/>
      <c r="AO78" s="199"/>
      <c r="AP78" s="199"/>
      <c r="AQ78" s="188">
        <f>X78*AA78/100+AE78*AA78%</f>
        <v>10.032</v>
      </c>
      <c r="AR78" s="52"/>
    </row>
    <row r="79" spans="1:44" x14ac:dyDescent="0.25">
      <c r="A79" s="425"/>
      <c r="B79" s="426"/>
      <c r="C79" s="427"/>
      <c r="D79" s="427"/>
      <c r="E79" s="427"/>
      <c r="F79" s="427"/>
      <c r="G79" s="249">
        <v>344</v>
      </c>
      <c r="H79" s="177">
        <v>0.6</v>
      </c>
      <c r="I79" s="427"/>
      <c r="J79" s="426"/>
      <c r="K79" s="426"/>
      <c r="L79" s="426"/>
      <c r="M79" s="426"/>
      <c r="N79" s="198"/>
      <c r="O79" s="426"/>
      <c r="P79" s="426"/>
      <c r="Q79" s="426"/>
      <c r="R79" s="426"/>
      <c r="S79" s="426"/>
      <c r="T79" s="426"/>
      <c r="U79" s="426"/>
      <c r="V79" s="426"/>
      <c r="W79" s="426"/>
      <c r="X79" s="173">
        <f t="shared" si="8"/>
        <v>344.6</v>
      </c>
      <c r="Y79" s="248" t="s">
        <v>252</v>
      </c>
      <c r="Z79" s="428"/>
      <c r="AA79" s="177">
        <v>33</v>
      </c>
      <c r="AB79" s="199"/>
      <c r="AC79" s="201"/>
      <c r="AD79" s="428"/>
      <c r="AE79" s="201"/>
      <c r="AF79" s="428"/>
      <c r="AG79" s="201"/>
      <c r="AH79" s="417">
        <f t="shared" si="6"/>
        <v>113.71800000000002</v>
      </c>
      <c r="AI79" s="430"/>
      <c r="AJ79" s="199"/>
      <c r="AK79" s="199"/>
      <c r="AL79" s="199"/>
      <c r="AM79" s="199"/>
      <c r="AN79" s="199"/>
      <c r="AO79" s="199"/>
      <c r="AP79" s="199"/>
      <c r="AQ79" s="188">
        <f>X79*AA79/100</f>
        <v>113.71800000000002</v>
      </c>
      <c r="AR79" s="52"/>
    </row>
    <row r="80" spans="1:44" ht="15.75" thickBot="1" x14ac:dyDescent="0.3">
      <c r="A80" s="425"/>
      <c r="B80" s="426"/>
      <c r="C80" s="427"/>
      <c r="D80" s="247">
        <v>6.6</v>
      </c>
      <c r="E80" s="427"/>
      <c r="F80" s="247">
        <v>50.9</v>
      </c>
      <c r="G80" s="427"/>
      <c r="H80" s="427"/>
      <c r="I80" s="427"/>
      <c r="J80" s="426"/>
      <c r="K80" s="426"/>
      <c r="L80" s="426"/>
      <c r="M80" s="426"/>
      <c r="N80" s="198"/>
      <c r="O80" s="426"/>
      <c r="P80" s="426"/>
      <c r="Q80" s="426"/>
      <c r="R80" s="426"/>
      <c r="S80" s="426"/>
      <c r="T80" s="426"/>
      <c r="U80" s="426"/>
      <c r="V80" s="426"/>
      <c r="W80" s="426"/>
      <c r="X80" s="431">
        <f t="shared" si="8"/>
        <v>57.5</v>
      </c>
      <c r="Y80" s="250" t="s">
        <v>254</v>
      </c>
      <c r="Z80" s="432"/>
      <c r="AA80" s="177">
        <v>33</v>
      </c>
      <c r="AB80" s="436"/>
      <c r="AC80" s="433"/>
      <c r="AD80" s="432"/>
      <c r="AE80" s="433"/>
      <c r="AF80" s="432"/>
      <c r="AG80" s="433"/>
      <c r="AH80" s="434">
        <f t="shared" si="6"/>
        <v>18.975000000000001</v>
      </c>
      <c r="AI80" s="435"/>
      <c r="AJ80" s="436"/>
      <c r="AK80" s="436"/>
      <c r="AL80" s="436"/>
      <c r="AM80" s="436"/>
      <c r="AN80" s="436"/>
      <c r="AO80" s="436"/>
      <c r="AP80" s="436"/>
      <c r="AQ80" s="188">
        <f>X80*AA80/100</f>
        <v>18.975000000000001</v>
      </c>
      <c r="AR80" s="52"/>
    </row>
    <row r="81" spans="1:51" ht="15.75" thickBot="1" x14ac:dyDescent="0.3">
      <c r="A81" s="437">
        <f t="shared" ref="A81:W81" si="9">SUM(A8:A80)</f>
        <v>418.35262204702235</v>
      </c>
      <c r="B81" s="438">
        <f t="shared" si="9"/>
        <v>21.3</v>
      </c>
      <c r="C81" s="438">
        <f t="shared" si="9"/>
        <v>0</v>
      </c>
      <c r="D81" s="438">
        <f t="shared" si="9"/>
        <v>6.6</v>
      </c>
      <c r="E81" s="438">
        <f t="shared" si="9"/>
        <v>170.096</v>
      </c>
      <c r="F81" s="438">
        <f t="shared" si="9"/>
        <v>970.19157699999994</v>
      </c>
      <c r="G81" s="438">
        <f t="shared" si="9"/>
        <v>344</v>
      </c>
      <c r="H81" s="438">
        <f t="shared" si="9"/>
        <v>560.78331600000001</v>
      </c>
      <c r="I81" s="438">
        <f t="shared" si="9"/>
        <v>3292.9389999999999</v>
      </c>
      <c r="J81" s="438">
        <f t="shared" si="9"/>
        <v>35</v>
      </c>
      <c r="K81" s="438">
        <f t="shared" si="9"/>
        <v>0</v>
      </c>
      <c r="L81" s="438">
        <f t="shared" si="9"/>
        <v>2.9</v>
      </c>
      <c r="M81" s="438">
        <f t="shared" si="9"/>
        <v>0</v>
      </c>
      <c r="N81" s="438">
        <f t="shared" si="9"/>
        <v>0.93399999999999994</v>
      </c>
      <c r="O81" s="438">
        <f t="shared" si="9"/>
        <v>0</v>
      </c>
      <c r="P81" s="438">
        <f t="shared" si="9"/>
        <v>54.188107000000009</v>
      </c>
      <c r="Q81" s="438">
        <f t="shared" si="9"/>
        <v>29.672000000000001</v>
      </c>
      <c r="R81" s="438">
        <f t="shared" si="9"/>
        <v>184.386</v>
      </c>
      <c r="S81" s="438">
        <f t="shared" si="9"/>
        <v>117.77800000000001</v>
      </c>
      <c r="T81" s="438">
        <f t="shared" si="9"/>
        <v>0</v>
      </c>
      <c r="U81" s="438">
        <f t="shared" si="9"/>
        <v>251.11790000000002</v>
      </c>
      <c r="V81" s="438">
        <f t="shared" si="9"/>
        <v>12.206</v>
      </c>
      <c r="W81" s="438">
        <f t="shared" si="9"/>
        <v>205.46010000000001</v>
      </c>
      <c r="X81" s="439">
        <f>SUM(X8:X80)</f>
        <v>6677.9046220470218</v>
      </c>
      <c r="Y81" s="440" t="s">
        <v>464</v>
      </c>
      <c r="Z81" s="441"/>
      <c r="AA81" s="441"/>
      <c r="AB81" s="441"/>
      <c r="AC81" s="441"/>
      <c r="AD81" s="437">
        <f t="shared" ref="AD81:AQ81" si="10">SUM(AD8:AD80)</f>
        <v>1.9895196601282805E-13</v>
      </c>
      <c r="AE81" s="439">
        <f t="shared" si="10"/>
        <v>1189.111033488098</v>
      </c>
      <c r="AF81" s="437">
        <f t="shared" si="10"/>
        <v>0</v>
      </c>
      <c r="AG81" s="439">
        <f t="shared" si="10"/>
        <v>1757.4512141199998</v>
      </c>
      <c r="AH81" s="440">
        <f t="shared" si="10"/>
        <v>3871.5190100706909</v>
      </c>
      <c r="AI81" s="442">
        <f t="shared" si="10"/>
        <v>1646.9968525209945</v>
      </c>
      <c r="AJ81" s="438">
        <f t="shared" si="10"/>
        <v>318.51161026722798</v>
      </c>
      <c r="AK81" s="438">
        <f t="shared" si="10"/>
        <v>343.04077340854298</v>
      </c>
      <c r="AL81" s="438">
        <f t="shared" si="10"/>
        <v>220.15263681012735</v>
      </c>
      <c r="AM81" s="438">
        <f t="shared" si="10"/>
        <v>9.0648733193819986</v>
      </c>
      <c r="AN81" s="438">
        <f t="shared" si="10"/>
        <v>755.58668930352155</v>
      </c>
      <c r="AO81" s="438">
        <f t="shared" si="10"/>
        <v>27.469615553919599</v>
      </c>
      <c r="AP81" s="438">
        <f t="shared" si="10"/>
        <v>38.595408886975207</v>
      </c>
      <c r="AQ81" s="439">
        <f t="shared" si="10"/>
        <v>512.10055</v>
      </c>
      <c r="AR81" s="52"/>
    </row>
    <row r="82" spans="1:51" x14ac:dyDescent="0.25">
      <c r="A82" s="391">
        <f>A81*A89/1000</f>
        <v>73.630061480275941</v>
      </c>
      <c r="B82" s="386">
        <f>B81*B87/1000</f>
        <v>0</v>
      </c>
      <c r="C82" s="386">
        <f>C81*C87/1000</f>
        <v>0</v>
      </c>
      <c r="D82" s="386">
        <f t="shared" ref="D82:I82" si="11">D81*D89/1000</f>
        <v>0.51479999999999992</v>
      </c>
      <c r="E82" s="386">
        <f t="shared" si="11"/>
        <v>12.587104</v>
      </c>
      <c r="F82" s="386">
        <f t="shared" si="11"/>
        <v>71.794176698000001</v>
      </c>
      <c r="G82" s="386">
        <f t="shared" si="11"/>
        <v>24.768000000000001</v>
      </c>
      <c r="H82" s="386">
        <f t="shared" si="11"/>
        <v>40.937182067999998</v>
      </c>
      <c r="I82" s="386">
        <f t="shared" si="11"/>
        <v>187.59873483000001</v>
      </c>
      <c r="J82" s="386">
        <v>0</v>
      </c>
      <c r="K82" s="386">
        <v>0</v>
      </c>
      <c r="L82" s="386">
        <v>0</v>
      </c>
      <c r="M82" s="386">
        <v>0</v>
      </c>
      <c r="N82" s="386">
        <v>0</v>
      </c>
      <c r="O82" s="386">
        <v>0</v>
      </c>
      <c r="P82" s="386">
        <v>0</v>
      </c>
      <c r="Q82" s="386">
        <v>0</v>
      </c>
      <c r="R82" s="386">
        <v>0</v>
      </c>
      <c r="S82" s="386">
        <v>0</v>
      </c>
      <c r="T82" s="386">
        <v>0</v>
      </c>
      <c r="U82" s="386">
        <v>0</v>
      </c>
      <c r="V82" s="386">
        <v>0</v>
      </c>
      <c r="W82" s="386">
        <v>16.892929422000002</v>
      </c>
      <c r="X82" s="418">
        <f>SUM(A82:W82)</f>
        <v>428.72298849827592</v>
      </c>
      <c r="Y82" s="443" t="s">
        <v>521</v>
      </c>
      <c r="Z82" s="444">
        <f>X82*1000/D1</f>
        <v>8.5566619131860921</v>
      </c>
      <c r="AA82" s="445" t="s">
        <v>465</v>
      </c>
      <c r="AB82" s="445"/>
      <c r="AC82" s="446"/>
      <c r="AD82" s="447"/>
      <c r="AE82" s="447"/>
      <c r="AF82" s="447"/>
      <c r="AG82" s="447"/>
      <c r="AH82" s="447"/>
      <c r="AI82" s="447"/>
      <c r="AJ82" s="447"/>
      <c r="AK82" s="447"/>
      <c r="AL82" s="196"/>
      <c r="AM82" s="196"/>
      <c r="AN82" s="196"/>
      <c r="AO82" s="196"/>
      <c r="AP82" s="196"/>
      <c r="AQ82" s="196"/>
      <c r="AR82" s="52"/>
      <c r="AS82" s="137"/>
      <c r="AT82" s="137"/>
      <c r="AU82" s="137"/>
      <c r="AV82" s="137"/>
      <c r="AW82" s="137"/>
      <c r="AX82" s="137"/>
      <c r="AY82" s="137"/>
    </row>
    <row r="83" spans="1:51" x14ac:dyDescent="0.25">
      <c r="A83" s="191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5">
        <v>229.66365161464361</v>
      </c>
      <c r="P83" s="175">
        <v>674.58061439999994</v>
      </c>
      <c r="Q83" s="175">
        <v>690.99633108414662</v>
      </c>
      <c r="R83" s="175">
        <v>438.65263353147589</v>
      </c>
      <c r="S83" s="172"/>
      <c r="T83" s="172"/>
      <c r="U83" s="172"/>
      <c r="V83" s="172"/>
      <c r="W83" s="172"/>
      <c r="X83" s="173">
        <f>SUM(A83:W83)</f>
        <v>2033.8932306302661</v>
      </c>
      <c r="Y83" s="192" t="s">
        <v>466</v>
      </c>
      <c r="Z83" s="251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11.781432321860255</v>
      </c>
      <c r="AA83" s="74" t="s">
        <v>550</v>
      </c>
      <c r="AB83" s="217"/>
      <c r="AC83" s="218"/>
      <c r="AD83" s="447"/>
      <c r="AE83" s="447"/>
      <c r="AF83" s="447"/>
      <c r="AG83" s="447"/>
      <c r="AH83" s="447"/>
      <c r="AI83" s="447"/>
      <c r="AJ83" s="447"/>
      <c r="AK83" s="447"/>
      <c r="AL83" s="196"/>
      <c r="AM83" s="196"/>
      <c r="AN83" s="196"/>
      <c r="AO83" s="196"/>
      <c r="AP83" s="196"/>
      <c r="AQ83" s="196"/>
      <c r="AR83" s="52"/>
      <c r="AS83" s="137"/>
      <c r="AT83" s="137"/>
      <c r="AU83" s="137"/>
      <c r="AV83" s="137"/>
      <c r="AW83" s="137"/>
      <c r="AX83" s="137"/>
      <c r="AY83" s="137"/>
    </row>
    <row r="84" spans="1:51" ht="15.75" thickBot="1" x14ac:dyDescent="0.3">
      <c r="A84" s="448"/>
      <c r="B84" s="449"/>
      <c r="C84" s="449"/>
      <c r="D84" s="449"/>
      <c r="E84" s="449"/>
      <c r="F84" s="449"/>
      <c r="G84" s="449"/>
      <c r="H84" s="449"/>
      <c r="I84" s="449"/>
      <c r="J84" s="449" t="s">
        <v>783</v>
      </c>
      <c r="K84" s="449" t="s">
        <v>783</v>
      </c>
      <c r="L84" s="449" t="s">
        <v>783</v>
      </c>
      <c r="M84" s="449" t="s">
        <v>783</v>
      </c>
      <c r="N84" s="449" t="s">
        <v>783</v>
      </c>
      <c r="O84" s="449">
        <v>0</v>
      </c>
      <c r="P84" s="449">
        <v>6.8160293993767054</v>
      </c>
      <c r="Q84" s="449">
        <v>4.2940893699747695</v>
      </c>
      <c r="R84" s="449">
        <v>42.034627380567002</v>
      </c>
      <c r="S84" s="449" t="s">
        <v>783</v>
      </c>
      <c r="T84" s="449" t="s">
        <v>783</v>
      </c>
      <c r="U84" s="449" t="s">
        <v>783</v>
      </c>
      <c r="V84" s="449" t="s">
        <v>783</v>
      </c>
      <c r="W84" s="449" t="s">
        <v>783</v>
      </c>
      <c r="X84" s="450">
        <f>SUMIF(J83:W83,"&gt;0",J81:W81)/SUM(J83:W83)%</f>
        <v>13.188799832765827</v>
      </c>
      <c r="Y84" s="451" t="s">
        <v>467</v>
      </c>
      <c r="Z84" s="252"/>
      <c r="AA84" s="253"/>
      <c r="AB84" s="219"/>
      <c r="AC84" s="220"/>
      <c r="AD84" s="447"/>
      <c r="AE84" s="447"/>
      <c r="AF84" s="447"/>
      <c r="AG84" s="447"/>
      <c r="AH84" s="447"/>
      <c r="AI84" s="447"/>
      <c r="AJ84" s="447"/>
      <c r="AK84" s="447"/>
      <c r="AL84" s="196"/>
      <c r="AM84" s="196"/>
      <c r="AN84" s="196"/>
      <c r="AO84" s="196"/>
      <c r="AP84" s="196"/>
      <c r="AQ84" s="196"/>
      <c r="AR84" s="52"/>
      <c r="AS84" s="137"/>
      <c r="AT84" s="137"/>
      <c r="AU84" s="137"/>
      <c r="AV84" s="137"/>
      <c r="AW84" s="137"/>
      <c r="AX84" s="137"/>
      <c r="AY84" s="137"/>
    </row>
    <row r="85" spans="1:51" ht="15.75" thickBot="1" x14ac:dyDescent="0.3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166"/>
      <c r="Z85" s="166"/>
      <c r="AA85" s="161"/>
      <c r="AB85" s="166"/>
      <c r="AC85" s="245"/>
      <c r="AD85" s="395"/>
      <c r="AE85" s="395"/>
      <c r="AF85" s="395"/>
      <c r="AG85" s="395"/>
      <c r="AH85" s="395"/>
      <c r="AI85" s="395"/>
      <c r="AJ85" s="395"/>
      <c r="AK85" s="395"/>
      <c r="AL85" s="245"/>
      <c r="AM85" s="245"/>
      <c r="AN85" s="245"/>
      <c r="AO85" s="245"/>
      <c r="AP85" s="245"/>
      <c r="AQ85" s="245"/>
      <c r="AR85" s="52"/>
      <c r="AS85" s="137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139" t="s">
        <v>468</v>
      </c>
      <c r="B86" s="808" t="str">
        <f t="shared" ref="B86:W86" si="12">B7</f>
        <v xml:space="preserve">  LPG og petroleum</v>
      </c>
      <c r="C86" s="808" t="str">
        <f t="shared" si="12"/>
        <v xml:space="preserve">  Kul</v>
      </c>
      <c r="D86" s="808" t="str">
        <f t="shared" si="12"/>
        <v xml:space="preserve">  Fuelolie</v>
      </c>
      <c r="E86" s="808" t="str">
        <f t="shared" si="12"/>
        <v xml:space="preserve">  Brændselsolie</v>
      </c>
      <c r="F86" s="808" t="str">
        <f t="shared" si="12"/>
        <v xml:space="preserve">  Dieselolie</v>
      </c>
      <c r="G86" s="808" t="str">
        <f t="shared" si="12"/>
        <v xml:space="preserve">  JP1</v>
      </c>
      <c r="H86" s="808" t="str">
        <f t="shared" si="12"/>
        <v xml:space="preserve">  Benzin</v>
      </c>
      <c r="I86" s="808" t="str">
        <f t="shared" si="12"/>
        <v xml:space="preserve">  Naturgas</v>
      </c>
      <c r="J86" s="808" t="str">
        <f t="shared" si="12"/>
        <v xml:space="preserve">  Vindenergi</v>
      </c>
      <c r="K86" s="808" t="str">
        <f t="shared" si="12"/>
        <v xml:space="preserve">  Vandenergi</v>
      </c>
      <c r="L86" s="808" t="str">
        <f t="shared" si="12"/>
        <v xml:space="preserve">  Solenergi</v>
      </c>
      <c r="M86" s="808" t="str">
        <f t="shared" si="12"/>
        <v xml:space="preserve">  Geotermi</v>
      </c>
      <c r="N86" s="808" t="str">
        <f t="shared" si="12"/>
        <v xml:space="preserve">  Varmekilder til varmepumper</v>
      </c>
      <c r="O86" s="808" t="str">
        <f t="shared" si="12"/>
        <v xml:space="preserve">  Husdyrsgødning</v>
      </c>
      <c r="P86" s="808" t="str">
        <f t="shared" si="12"/>
        <v xml:space="preserve">  Biobrændstof og energiafgrøder</v>
      </c>
      <c r="Q86" s="808" t="str">
        <f t="shared" si="12"/>
        <v xml:space="preserve">  Halm</v>
      </c>
      <c r="R86" s="808" t="str">
        <f t="shared" si="12"/>
        <v xml:space="preserve">  Brænde og træflis</v>
      </c>
      <c r="S86" s="808" t="str">
        <f t="shared" si="12"/>
        <v xml:space="preserve">  Træpiller og træaffald</v>
      </c>
      <c r="T86" s="808" t="str">
        <f t="shared" si="12"/>
        <v xml:space="preserve">  Organisk affald, industri</v>
      </c>
      <c r="U86" s="808" t="str">
        <f t="shared" si="12"/>
        <v xml:space="preserve">  Organisk affald, husholdninger</v>
      </c>
      <c r="V86" s="808" t="str">
        <f t="shared" si="12"/>
        <v xml:space="preserve">  Deponi, slam, renseanlæg</v>
      </c>
      <c r="W86" s="811" t="str">
        <f t="shared" si="12"/>
        <v xml:space="preserve">  Affald, ikke bionedbrydeligt</v>
      </c>
      <c r="X86" s="166"/>
      <c r="Y86" s="166"/>
      <c r="Z86" s="166"/>
      <c r="AA86" s="161"/>
      <c r="AB86" s="166"/>
      <c r="AC86" s="166"/>
      <c r="AD86" s="161"/>
      <c r="AE86" s="161"/>
      <c r="AF86" s="161"/>
      <c r="AG86" s="161"/>
      <c r="AH86" s="161"/>
      <c r="AI86" s="161"/>
      <c r="AJ86" s="161"/>
      <c r="AK86" s="161"/>
      <c r="AL86" s="166"/>
      <c r="AM86" s="166"/>
      <c r="AN86" s="166"/>
      <c r="AO86" s="166"/>
      <c r="AP86" s="166"/>
      <c r="AQ86" s="166"/>
      <c r="AR86" s="52"/>
      <c r="AS86" s="137"/>
      <c r="AT86" s="137"/>
      <c r="AU86" s="137"/>
      <c r="AV86" s="137"/>
      <c r="AW86" s="137"/>
      <c r="AX86" s="137"/>
      <c r="AY86" s="137"/>
    </row>
    <row r="87" spans="1:51" ht="15.75" x14ac:dyDescent="0.25">
      <c r="A87" s="452">
        <v>29</v>
      </c>
      <c r="B87" s="809"/>
      <c r="C87" s="809"/>
      <c r="D87" s="809"/>
      <c r="E87" s="809"/>
      <c r="F87" s="809"/>
      <c r="G87" s="809"/>
      <c r="H87" s="809"/>
      <c r="I87" s="809"/>
      <c r="J87" s="809"/>
      <c r="K87" s="809"/>
      <c r="L87" s="809"/>
      <c r="M87" s="809"/>
      <c r="N87" s="809"/>
      <c r="O87" s="809"/>
      <c r="P87" s="809"/>
      <c r="Q87" s="809"/>
      <c r="R87" s="809"/>
      <c r="S87" s="809"/>
      <c r="T87" s="809"/>
      <c r="U87" s="809"/>
      <c r="V87" s="809"/>
      <c r="W87" s="812"/>
      <c r="X87" s="166"/>
      <c r="Y87" s="166"/>
      <c r="Z87" s="166"/>
      <c r="AA87" s="161"/>
      <c r="AB87" s="166"/>
      <c r="AC87" s="166"/>
      <c r="AD87" s="161"/>
      <c r="AE87" s="161"/>
      <c r="AF87" s="161"/>
      <c r="AG87" s="161"/>
      <c r="AH87" s="161"/>
      <c r="AI87" s="161"/>
      <c r="AJ87" s="161"/>
      <c r="AK87" s="161"/>
      <c r="AL87" s="166"/>
      <c r="AM87" s="166"/>
      <c r="AN87" s="166"/>
      <c r="AO87" s="166"/>
      <c r="AP87" s="166"/>
      <c r="AQ87" s="166"/>
      <c r="AR87" s="52"/>
      <c r="AS87" s="137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221" t="s">
        <v>469</v>
      </c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3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52"/>
      <c r="AS88" s="137"/>
      <c r="AT88" s="137"/>
      <c r="AU88" s="137"/>
      <c r="AV88" s="137"/>
      <c r="AW88" s="137"/>
      <c r="AX88" s="137"/>
      <c r="AY88" s="137"/>
    </row>
    <row r="89" spans="1:51" ht="16.5" thickBot="1" x14ac:dyDescent="0.3">
      <c r="A89" s="228">
        <v>176</v>
      </c>
      <c r="B89" s="222">
        <v>65</v>
      </c>
      <c r="C89" s="222">
        <v>95</v>
      </c>
      <c r="D89" s="222">
        <v>78</v>
      </c>
      <c r="E89" s="222">
        <v>74</v>
      </c>
      <c r="F89" s="222">
        <v>74</v>
      </c>
      <c r="G89" s="222">
        <v>72</v>
      </c>
      <c r="H89" s="222">
        <v>73</v>
      </c>
      <c r="I89" s="222">
        <v>56.97</v>
      </c>
      <c r="J89" s="222"/>
      <c r="K89" s="222"/>
      <c r="L89" s="222"/>
      <c r="M89" s="222"/>
      <c r="N89" s="225"/>
      <c r="O89" s="222"/>
      <c r="P89" s="222"/>
      <c r="Q89" s="222"/>
      <c r="R89" s="222"/>
      <c r="S89" s="222"/>
      <c r="T89" s="222"/>
      <c r="U89" s="222"/>
      <c r="V89" s="225"/>
      <c r="W89" s="225">
        <v>82.22</v>
      </c>
      <c r="X89" s="456" t="s">
        <v>522</v>
      </c>
      <c r="Y89" s="457"/>
      <c r="Z89" s="458"/>
      <c r="AA89" s="458"/>
      <c r="AB89" s="458"/>
      <c r="AC89" s="458"/>
      <c r="AD89" s="458"/>
      <c r="AE89" s="458"/>
      <c r="AF89" s="458"/>
      <c r="AG89" s="458"/>
      <c r="AH89" s="458"/>
      <c r="AI89" s="458"/>
      <c r="AJ89" s="458"/>
      <c r="AK89" s="458"/>
      <c r="AL89" s="458"/>
      <c r="AM89" s="458"/>
      <c r="AN89" s="458"/>
      <c r="AO89" s="458"/>
      <c r="AP89" s="458"/>
      <c r="AQ89" s="458"/>
      <c r="AR89" s="229"/>
      <c r="AS89" s="140"/>
      <c r="AT89" s="140"/>
      <c r="AU89" s="140"/>
      <c r="AV89" s="140"/>
      <c r="AW89" s="140"/>
      <c r="AX89" s="140"/>
      <c r="AY89" s="140"/>
    </row>
    <row r="90" spans="1:51" x14ac:dyDescent="0.25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68"/>
      <c r="AS90" s="137"/>
      <c r="AT90" s="137"/>
      <c r="AU90" s="137"/>
      <c r="AV90" s="137"/>
      <c r="AW90" s="137"/>
      <c r="AX90" s="137"/>
      <c r="AY90" s="137"/>
    </row>
    <row r="91" spans="1:51" ht="20.25" x14ac:dyDescent="0.3">
      <c r="A91" s="256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255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52"/>
      <c r="AS91" s="137"/>
      <c r="AT91" s="137"/>
      <c r="AU91" s="137"/>
      <c r="AV91" s="137"/>
      <c r="AW91" s="137"/>
      <c r="AX91" s="137"/>
      <c r="AY91" s="137"/>
    </row>
    <row r="92" spans="1:51" x14ac:dyDescent="0.25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52"/>
      <c r="AS92" s="137"/>
      <c r="AT92" s="137"/>
      <c r="AU92" s="137"/>
      <c r="AV92" s="137"/>
      <c r="AW92" s="137"/>
      <c r="AX92" s="137"/>
      <c r="AY92" s="137"/>
    </row>
    <row r="93" spans="1:51" ht="20.25" x14ac:dyDescent="0.3">
      <c r="A93" s="141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5"/>
      <c r="Y93" s="142"/>
      <c r="Z93" s="135"/>
      <c r="AA93" s="135"/>
      <c r="AB93" s="135"/>
      <c r="AC93" s="135"/>
      <c r="AD93" s="135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</row>
    <row r="94" spans="1:5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5"/>
      <c r="Y94" s="135"/>
      <c r="Z94" s="135"/>
      <c r="AA94" s="135"/>
      <c r="AB94" s="135"/>
      <c r="AC94" s="135"/>
      <c r="AD94" s="135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</row>
    <row r="95" spans="1:5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5"/>
      <c r="Y95" s="142"/>
      <c r="Z95" s="135"/>
      <c r="AA95" s="135"/>
      <c r="AB95" s="135"/>
      <c r="AC95" s="135"/>
      <c r="AD95" s="135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</row>
    <row r="117" spans="2:2" x14ac:dyDescent="0.25">
      <c r="B117" s="158" t="e">
        <f>' Plan Energi 2011'!AD</f>
        <v>#NAME?</v>
      </c>
    </row>
  </sheetData>
  <mergeCells count="30">
    <mergeCell ref="D1:E1"/>
    <mergeCell ref="Y1:Y2"/>
    <mergeCell ref="Y3:Y4"/>
    <mergeCell ref="A6:X6"/>
    <mergeCell ref="Z6:AC6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4"/>
  <sheetViews>
    <sheetView topLeftCell="A52" workbookViewId="0">
      <selection activeCell="B54" sqref="B54"/>
    </sheetView>
  </sheetViews>
  <sheetFormatPr defaultRowHeight="15" x14ac:dyDescent="0.25"/>
  <cols>
    <col min="1" max="1" width="49.5703125" customWidth="1"/>
    <col min="2" max="2" width="17.85546875" customWidth="1"/>
    <col min="3" max="3" width="16.140625" customWidth="1"/>
    <col min="4" max="4" width="19.5703125" customWidth="1"/>
    <col min="5" max="5" width="17.140625" customWidth="1"/>
  </cols>
  <sheetData>
    <row r="1" spans="1:5" x14ac:dyDescent="0.25">
      <c r="A1" s="231"/>
      <c r="B1" s="231"/>
      <c r="C1" s="231"/>
      <c r="D1" s="231"/>
      <c r="E1" s="231"/>
    </row>
    <row r="2" spans="1:5" x14ac:dyDescent="0.25">
      <c r="A2" s="231"/>
      <c r="B2" s="231"/>
      <c r="C2" s="231"/>
      <c r="D2" s="231"/>
      <c r="E2" s="231"/>
    </row>
    <row r="3" spans="1:5" x14ac:dyDescent="0.25">
      <c r="A3" s="231" t="s">
        <v>563</v>
      </c>
      <c r="B3" s="231"/>
      <c r="C3" s="231"/>
      <c r="D3" s="231"/>
      <c r="E3" s="231"/>
    </row>
    <row r="4" spans="1:5" x14ac:dyDescent="0.25">
      <c r="A4" s="231"/>
      <c r="B4" s="259" t="s">
        <v>564</v>
      </c>
      <c r="C4" s="259" t="s">
        <v>565</v>
      </c>
      <c r="D4" s="231" t="s">
        <v>566</v>
      </c>
      <c r="E4" s="231" t="s">
        <v>567</v>
      </c>
    </row>
    <row r="5" spans="1:5" x14ac:dyDescent="0.25">
      <c r="A5" s="231" t="s">
        <v>568</v>
      </c>
      <c r="B5" s="231">
        <v>50</v>
      </c>
      <c r="C5" s="231">
        <f>'2030 '!AO7</f>
        <v>3293.7040005353874</v>
      </c>
      <c r="D5" s="231">
        <v>1</v>
      </c>
      <c r="E5" s="231">
        <f>(C5)/(B5-D5*4)</f>
        <v>71.602260881204074</v>
      </c>
    </row>
    <row r="6" spans="1:5" x14ac:dyDescent="0.25">
      <c r="A6" s="231" t="s">
        <v>569</v>
      </c>
      <c r="B6" s="231">
        <v>14</v>
      </c>
      <c r="C6" s="231">
        <f>'2030 '!AO8</f>
        <v>362.62245116417523</v>
      </c>
      <c r="D6" s="231"/>
      <c r="E6" s="231">
        <f t="shared" ref="E6:E15" si="0">(C6)/(B6-D6*4)</f>
        <v>25.901603654583944</v>
      </c>
    </row>
    <row r="7" spans="1:5" x14ac:dyDescent="0.25">
      <c r="A7" s="231" t="s">
        <v>570</v>
      </c>
      <c r="B7" s="231">
        <v>60</v>
      </c>
      <c r="C7" s="231">
        <f>'2030 '!AJ9*-1</f>
        <v>3035.4075756824623</v>
      </c>
      <c r="D7" s="231">
        <v>5</v>
      </c>
      <c r="E7" s="231">
        <f t="shared" si="0"/>
        <v>75.885189392061562</v>
      </c>
    </row>
    <row r="8" spans="1:5" x14ac:dyDescent="0.25">
      <c r="A8" s="231" t="s">
        <v>571</v>
      </c>
      <c r="B8" s="231">
        <v>50</v>
      </c>
      <c r="C8" s="231">
        <f>'2030 '!AO9</f>
        <v>5515.3515269958189</v>
      </c>
      <c r="D8" s="231">
        <v>5</v>
      </c>
      <c r="E8" s="231">
        <f t="shared" si="0"/>
        <v>183.84505089986064</v>
      </c>
    </row>
    <row r="9" spans="1:5" x14ac:dyDescent="0.25">
      <c r="A9" s="231" t="s">
        <v>572</v>
      </c>
      <c r="B9" s="231">
        <v>5</v>
      </c>
      <c r="C9" s="231">
        <f>('2030 '!C68+'2030 '!E68+'2030 '!F68+'2030 '!T68)*-1</f>
        <v>1152.6781552222315</v>
      </c>
      <c r="D9" s="231"/>
      <c r="E9" s="231">
        <f t="shared" si="0"/>
        <v>230.53563104444629</v>
      </c>
    </row>
    <row r="10" spans="1:5" x14ac:dyDescent="0.25">
      <c r="A10" s="231" t="s">
        <v>573</v>
      </c>
      <c r="B10" s="231">
        <v>50</v>
      </c>
      <c r="C10" s="231">
        <f>'2030 '!AJ66*-1</f>
        <v>5361.1328224407534</v>
      </c>
      <c r="D10" s="231"/>
      <c r="E10" s="231">
        <f t="shared" si="0"/>
        <v>107.22265644881507</v>
      </c>
    </row>
    <row r="11" spans="1:5" x14ac:dyDescent="0.25">
      <c r="A11" s="231" t="s">
        <v>574</v>
      </c>
      <c r="B11" s="231">
        <v>10</v>
      </c>
      <c r="C11" s="231">
        <f>'2030 '!AO67</f>
        <v>28.00470440101347</v>
      </c>
      <c r="D11" s="231"/>
      <c r="E11" s="231">
        <f t="shared" si="0"/>
        <v>2.8004704401013472</v>
      </c>
    </row>
    <row r="12" spans="1:5" x14ac:dyDescent="0.25">
      <c r="A12" s="231" t="s">
        <v>575</v>
      </c>
      <c r="B12" s="231">
        <v>60</v>
      </c>
      <c r="C12" s="231">
        <f>'2030 '!AJ68*-1</f>
        <v>5954.7800101380008</v>
      </c>
      <c r="D12" s="231">
        <v>5</v>
      </c>
      <c r="E12" s="231">
        <f t="shared" si="0"/>
        <v>148.86950025345001</v>
      </c>
    </row>
    <row r="13" spans="1:5" x14ac:dyDescent="0.25">
      <c r="A13" s="231" t="s">
        <v>576</v>
      </c>
      <c r="B13" s="231">
        <v>24</v>
      </c>
      <c r="C13" s="231">
        <f>'2030 '!BY9</f>
        <v>64.266251086810371</v>
      </c>
      <c r="D13" s="231"/>
      <c r="E13" s="231">
        <f t="shared" si="0"/>
        <v>2.6777604619504323</v>
      </c>
    </row>
    <row r="14" spans="1:5" x14ac:dyDescent="0.25">
      <c r="A14" s="231" t="s">
        <v>577</v>
      </c>
      <c r="B14" s="231">
        <v>24</v>
      </c>
      <c r="C14" s="143">
        <f>'2030 '!BY68</f>
        <v>1671.8500687248413</v>
      </c>
      <c r="D14" s="231"/>
      <c r="E14" s="231">
        <f t="shared" si="0"/>
        <v>69.660419530201722</v>
      </c>
    </row>
    <row r="15" spans="1:5" x14ac:dyDescent="0.25">
      <c r="A15" s="231" t="s">
        <v>578</v>
      </c>
      <c r="B15" s="231">
        <v>7.6</v>
      </c>
      <c r="C15" s="231">
        <f>'2030 '!BY66</f>
        <v>432.81696737093171</v>
      </c>
      <c r="D15" s="231"/>
      <c r="E15" s="231">
        <f t="shared" si="0"/>
        <v>56.949600969859439</v>
      </c>
    </row>
    <row r="16" spans="1:5" x14ac:dyDescent="0.25">
      <c r="A16" s="231"/>
      <c r="B16" s="231"/>
      <c r="C16" s="231"/>
      <c r="D16" s="231"/>
      <c r="E16" s="231"/>
    </row>
    <row r="17" spans="1:5" x14ac:dyDescent="0.25">
      <c r="A17" s="231" t="s">
        <v>5</v>
      </c>
      <c r="B17" s="231"/>
      <c r="C17" s="231"/>
      <c r="D17" s="231"/>
      <c r="E17" s="231"/>
    </row>
    <row r="18" spans="1:5" x14ac:dyDescent="0.25">
      <c r="A18" s="231" t="s">
        <v>571</v>
      </c>
      <c r="B18" s="231">
        <v>50</v>
      </c>
      <c r="C18" s="231">
        <f>'2030 '!AV9</f>
        <v>1923.3451494356386</v>
      </c>
      <c r="D18" s="231">
        <v>1</v>
      </c>
      <c r="E18" s="231">
        <f t="shared" ref="E18:E61" si="1">(C18)/(B18-D18*4)</f>
        <v>41.811851074687794</v>
      </c>
    </row>
    <row r="19" spans="1:5" x14ac:dyDescent="0.25">
      <c r="A19" s="231" t="s">
        <v>573</v>
      </c>
      <c r="B19" s="231">
        <v>50</v>
      </c>
      <c r="C19" s="231">
        <f>'2030 '!G66*-1</f>
        <v>1923.3451494356386</v>
      </c>
      <c r="D19" s="231"/>
      <c r="E19" s="231">
        <f t="shared" si="1"/>
        <v>38.466902988712775</v>
      </c>
    </row>
    <row r="20" spans="1:5" x14ac:dyDescent="0.25">
      <c r="A20" s="231" t="s">
        <v>575</v>
      </c>
      <c r="B20" s="231">
        <v>60</v>
      </c>
      <c r="C20" s="231">
        <f>'2030 '!G68*-1</f>
        <v>1923.3451494356384</v>
      </c>
      <c r="D20" s="231">
        <v>1</v>
      </c>
      <c r="E20" s="231">
        <f t="shared" si="1"/>
        <v>34.345449097064972</v>
      </c>
    </row>
    <row r="21" spans="1:5" x14ac:dyDescent="0.25">
      <c r="A21" s="231" t="s">
        <v>577</v>
      </c>
      <c r="B21" s="231">
        <v>24</v>
      </c>
      <c r="C21" s="231">
        <f>'2030 '!BY70</f>
        <v>1498.1083632472325</v>
      </c>
      <c r="D21" s="231"/>
      <c r="E21" s="231">
        <f t="shared" si="1"/>
        <v>62.421181801968025</v>
      </c>
    </row>
    <row r="22" spans="1:5" x14ac:dyDescent="0.25">
      <c r="A22" s="231"/>
      <c r="B22" s="231"/>
      <c r="C22" s="231"/>
      <c r="D22" s="231"/>
      <c r="E22" s="231"/>
    </row>
    <row r="23" spans="1:5" x14ac:dyDescent="0.25">
      <c r="A23" s="231" t="s">
        <v>12</v>
      </c>
      <c r="B23" s="231"/>
      <c r="C23" s="231"/>
      <c r="D23" s="231"/>
      <c r="E23" s="231"/>
    </row>
    <row r="24" spans="1:5" x14ac:dyDescent="0.25">
      <c r="A24" s="231" t="s">
        <v>579</v>
      </c>
      <c r="B24" s="231">
        <v>14</v>
      </c>
      <c r="C24" s="231">
        <f>'2030 '!N9*-1</f>
        <v>362.62245116417523</v>
      </c>
      <c r="D24" s="231">
        <v>1</v>
      </c>
      <c r="E24" s="231">
        <f t="shared" si="1"/>
        <v>36.262245116417525</v>
      </c>
    </row>
    <row r="25" spans="1:5" x14ac:dyDescent="0.25">
      <c r="A25" s="231" t="s">
        <v>580</v>
      </c>
      <c r="B25" s="231">
        <v>14</v>
      </c>
      <c r="C25" s="231">
        <f>'2030 '!BC67</f>
        <v>28.00470440101347</v>
      </c>
      <c r="D25" s="231"/>
      <c r="E25" s="231">
        <f t="shared" si="1"/>
        <v>2.0003360286438192</v>
      </c>
    </row>
    <row r="26" spans="1:5" x14ac:dyDescent="0.25">
      <c r="A26" s="231"/>
      <c r="B26" s="231"/>
      <c r="C26" s="231"/>
      <c r="D26" s="231"/>
      <c r="E26" s="231"/>
    </row>
    <row r="27" spans="1:5" x14ac:dyDescent="0.25">
      <c r="A27" s="231" t="s">
        <v>18</v>
      </c>
      <c r="B27" s="231"/>
      <c r="C27" s="231"/>
      <c r="D27" s="231"/>
      <c r="E27" s="231"/>
    </row>
    <row r="28" spans="1:5" x14ac:dyDescent="0.25">
      <c r="A28" s="231" t="s">
        <v>581</v>
      </c>
      <c r="B28" s="231">
        <v>50</v>
      </c>
      <c r="C28" s="231">
        <f>'2030 '!T7*-1</f>
        <v>1356.1347427826697</v>
      </c>
      <c r="D28" s="231">
        <v>1</v>
      </c>
      <c r="E28" s="231">
        <f t="shared" si="1"/>
        <v>29.481190060492821</v>
      </c>
    </row>
    <row r="29" spans="1:5" x14ac:dyDescent="0.25">
      <c r="A29" s="231" t="s">
        <v>582</v>
      </c>
      <c r="B29" s="231">
        <v>5</v>
      </c>
      <c r="C29" s="231">
        <f>'2030 '!T68*-1</f>
        <v>781.10714420404338</v>
      </c>
      <c r="D29" s="231"/>
      <c r="E29" s="231">
        <f t="shared" si="1"/>
        <v>156.22142884080867</v>
      </c>
    </row>
    <row r="30" spans="1:5" x14ac:dyDescent="0.25">
      <c r="A30" s="231"/>
      <c r="B30" s="231"/>
      <c r="C30" s="231"/>
      <c r="D30" s="231"/>
      <c r="E30" s="231"/>
    </row>
    <row r="31" spans="1:5" x14ac:dyDescent="0.25">
      <c r="A31" s="231" t="s">
        <v>555</v>
      </c>
      <c r="B31" s="231">
        <v>60</v>
      </c>
      <c r="C31" s="231">
        <f>'2030 '!AO11</f>
        <v>362.62245116417523</v>
      </c>
      <c r="D31" s="231">
        <v>4</v>
      </c>
      <c r="E31" s="231">
        <f t="shared" si="1"/>
        <v>8.241419344640347</v>
      </c>
    </row>
    <row r="32" spans="1:5" x14ac:dyDescent="0.25">
      <c r="A32" s="231"/>
      <c r="B32" s="231"/>
      <c r="C32" s="231"/>
      <c r="D32" s="231"/>
      <c r="E32" s="231"/>
    </row>
    <row r="33" spans="1:5" x14ac:dyDescent="0.25">
      <c r="A33" s="231" t="s">
        <v>133</v>
      </c>
      <c r="B33" s="231">
        <v>60</v>
      </c>
      <c r="C33" s="231">
        <f>'2030 '!AO13</f>
        <v>205.40171410137933</v>
      </c>
      <c r="D33" s="231">
        <v>2</v>
      </c>
      <c r="E33" s="231">
        <f t="shared" si="1"/>
        <v>3.9500329634880638</v>
      </c>
    </row>
    <row r="34" spans="1:5" x14ac:dyDescent="0.25">
      <c r="A34" s="231"/>
      <c r="B34" s="231"/>
      <c r="C34" s="231"/>
      <c r="D34" s="231"/>
      <c r="E34" s="231"/>
    </row>
    <row r="35" spans="1:5" x14ac:dyDescent="0.25">
      <c r="A35" s="231" t="s">
        <v>556</v>
      </c>
      <c r="B35" s="231">
        <v>60</v>
      </c>
      <c r="C35" s="231">
        <f>'2030 '!AJ18*-1</f>
        <v>530.57675495795024</v>
      </c>
      <c r="D35" s="231">
        <v>5</v>
      </c>
      <c r="E35" s="231">
        <f>(C35)/(B35-D35*9)</f>
        <v>35.371783663863347</v>
      </c>
    </row>
    <row r="36" spans="1:5" x14ac:dyDescent="0.25">
      <c r="A36" s="231"/>
      <c r="B36" s="231"/>
      <c r="C36" s="231"/>
      <c r="D36" s="231"/>
      <c r="E36" s="231"/>
    </row>
    <row r="37" spans="1:5" x14ac:dyDescent="0.25">
      <c r="A37" s="231" t="s">
        <v>143</v>
      </c>
      <c r="B37" s="231">
        <v>60</v>
      </c>
      <c r="C37" s="231">
        <f>'2030 '!AJ19*-1</f>
        <v>0</v>
      </c>
      <c r="D37" s="231">
        <v>3</v>
      </c>
      <c r="E37" s="231">
        <f t="shared" si="1"/>
        <v>0</v>
      </c>
    </row>
    <row r="38" spans="1:5" x14ac:dyDescent="0.25">
      <c r="A38" s="231"/>
      <c r="B38" s="231"/>
      <c r="C38" s="231"/>
      <c r="D38" s="231"/>
      <c r="E38" s="231"/>
    </row>
    <row r="39" spans="1:5" x14ac:dyDescent="0.25">
      <c r="A39" s="231" t="s">
        <v>583</v>
      </c>
      <c r="B39" s="231">
        <v>50</v>
      </c>
      <c r="C39" s="231">
        <f>'2030 '!AJ27*-1</f>
        <v>0</v>
      </c>
      <c r="D39" s="231">
        <v>3</v>
      </c>
      <c r="E39" s="231">
        <f t="shared" si="1"/>
        <v>0</v>
      </c>
    </row>
    <row r="40" spans="1:5" x14ac:dyDescent="0.25">
      <c r="A40" s="231"/>
      <c r="B40" s="231"/>
      <c r="C40" s="231"/>
      <c r="D40" s="231"/>
      <c r="E40" s="231"/>
    </row>
    <row r="41" spans="1:5" x14ac:dyDescent="0.25">
      <c r="A41" s="231" t="s">
        <v>584</v>
      </c>
      <c r="B41" s="231">
        <v>60</v>
      </c>
      <c r="C41" s="231">
        <f>'2030 '!AJ37*-1</f>
        <v>0</v>
      </c>
      <c r="D41" s="231">
        <v>3</v>
      </c>
      <c r="E41" s="231">
        <f t="shared" si="1"/>
        <v>0</v>
      </c>
    </row>
    <row r="42" spans="1:5" x14ac:dyDescent="0.25">
      <c r="A42" s="231"/>
      <c r="B42" s="231"/>
      <c r="C42" s="231"/>
      <c r="D42" s="231"/>
      <c r="E42" s="231"/>
    </row>
    <row r="43" spans="1:5" x14ac:dyDescent="0.25">
      <c r="A43" s="231" t="s">
        <v>585</v>
      </c>
      <c r="B43" s="231">
        <v>60</v>
      </c>
      <c r="C43" s="231">
        <f>'2030 '!AO41</f>
        <v>0</v>
      </c>
      <c r="D43" s="231">
        <v>3</v>
      </c>
      <c r="E43" s="231">
        <f t="shared" si="1"/>
        <v>0</v>
      </c>
    </row>
    <row r="44" spans="1:5" x14ac:dyDescent="0.25">
      <c r="A44" s="231"/>
      <c r="B44" s="231"/>
      <c r="C44" s="231"/>
      <c r="D44" s="231"/>
      <c r="E44" s="231"/>
    </row>
    <row r="45" spans="1:5" x14ac:dyDescent="0.25">
      <c r="A45" s="231" t="s">
        <v>586</v>
      </c>
      <c r="B45" s="231">
        <v>60</v>
      </c>
      <c r="C45" s="231">
        <f>'2030 '!AJ46*-1</f>
        <v>530.57675495795024</v>
      </c>
      <c r="D45" s="231">
        <v>4</v>
      </c>
      <c r="E45" s="231">
        <f>(C45)/(B45-D45*12)</f>
        <v>44.214729579829189</v>
      </c>
    </row>
    <row r="46" spans="1:5" x14ac:dyDescent="0.25">
      <c r="A46" s="231"/>
      <c r="B46" s="231"/>
      <c r="C46" s="231"/>
      <c r="D46" s="231"/>
      <c r="E46" s="231"/>
    </row>
    <row r="47" spans="1:5" x14ac:dyDescent="0.25">
      <c r="A47" s="231" t="s">
        <v>28</v>
      </c>
      <c r="B47" s="231">
        <v>60</v>
      </c>
      <c r="C47" s="231">
        <f>'2030 '!AJ57*-1</f>
        <v>2142.2083695603369</v>
      </c>
      <c r="D47" s="231">
        <v>3</v>
      </c>
      <c r="E47" s="231">
        <f t="shared" si="1"/>
        <v>44.629341032507021</v>
      </c>
    </row>
    <row r="48" spans="1:5" x14ac:dyDescent="0.25">
      <c r="A48" s="231"/>
      <c r="B48" s="231"/>
      <c r="C48" s="231"/>
      <c r="D48" s="231"/>
      <c r="E48" s="231"/>
    </row>
    <row r="49" spans="1:5" x14ac:dyDescent="0.25">
      <c r="A49" s="231" t="s">
        <v>239</v>
      </c>
      <c r="B49" s="231">
        <v>60</v>
      </c>
      <c r="C49" s="231">
        <f>'2030 '!AJ70*-1</f>
        <v>2032.4476397228098</v>
      </c>
      <c r="D49" s="231">
        <v>10</v>
      </c>
      <c r="E49" s="231">
        <f t="shared" si="1"/>
        <v>101.62238198614048</v>
      </c>
    </row>
    <row r="50" spans="1:5" x14ac:dyDescent="0.25">
      <c r="A50" s="231"/>
      <c r="B50" s="231"/>
      <c r="C50" s="231"/>
      <c r="D50" s="231"/>
      <c r="E50" s="231"/>
    </row>
    <row r="51" spans="1:5" x14ac:dyDescent="0.25">
      <c r="A51" s="231" t="s">
        <v>587</v>
      </c>
      <c r="B51" s="231">
        <v>60</v>
      </c>
      <c r="C51" s="231">
        <f>'2030 '!AJ80*-1</f>
        <v>827.22455949113464</v>
      </c>
      <c r="D51" s="231">
        <v>3</v>
      </c>
      <c r="E51" s="231">
        <f t="shared" si="1"/>
        <v>17.233844989398637</v>
      </c>
    </row>
    <row r="52" spans="1:5" x14ac:dyDescent="0.25">
      <c r="A52" s="231"/>
      <c r="B52" s="231"/>
      <c r="C52" s="231"/>
      <c r="D52" s="231"/>
      <c r="E52" s="231"/>
    </row>
    <row r="53" spans="1:5" x14ac:dyDescent="0.25">
      <c r="A53" s="231" t="s">
        <v>356</v>
      </c>
      <c r="B53" s="231">
        <v>50</v>
      </c>
      <c r="C53" s="231">
        <f>'2030 '!AJ84*-1</f>
        <v>1624.857616808619</v>
      </c>
      <c r="D53" s="231">
        <v>6</v>
      </c>
      <c r="E53" s="231">
        <f t="shared" si="1"/>
        <v>62.49452372340842</v>
      </c>
    </row>
    <row r="54" spans="1:5" x14ac:dyDescent="0.25">
      <c r="A54" s="231"/>
      <c r="B54" s="231"/>
      <c r="C54" s="231"/>
      <c r="D54" s="231"/>
      <c r="E54" s="231"/>
    </row>
    <row r="55" spans="1:5" x14ac:dyDescent="0.25">
      <c r="A55" s="231" t="s">
        <v>588</v>
      </c>
      <c r="B55" s="231">
        <v>60</v>
      </c>
      <c r="C55" s="231">
        <f>'2030 '!AJ90*-1</f>
        <v>2054.3683103391318</v>
      </c>
      <c r="D55" s="231">
        <v>9</v>
      </c>
      <c r="E55" s="231">
        <f t="shared" si="1"/>
        <v>85.598679597463828</v>
      </c>
    </row>
    <row r="56" spans="1:5" x14ac:dyDescent="0.25">
      <c r="A56" s="231"/>
      <c r="B56" s="231"/>
      <c r="C56" s="231"/>
      <c r="D56" s="231"/>
      <c r="E56" s="231"/>
    </row>
    <row r="57" spans="1:5" x14ac:dyDescent="0.25">
      <c r="A57" s="231" t="s">
        <v>589</v>
      </c>
      <c r="B57" s="231">
        <v>50</v>
      </c>
      <c r="C57" s="231">
        <f>'2030 '!AJ101*-1</f>
        <v>1660.6171313064199</v>
      </c>
      <c r="D57" s="231">
        <v>7</v>
      </c>
      <c r="E57" s="231">
        <f t="shared" si="1"/>
        <v>75.482596877564546</v>
      </c>
    </row>
    <row r="58" spans="1:5" x14ac:dyDescent="0.25">
      <c r="A58" s="231"/>
      <c r="B58" s="231"/>
      <c r="C58" s="231"/>
      <c r="D58" s="231"/>
      <c r="E58" s="231"/>
    </row>
    <row r="59" spans="1:5" x14ac:dyDescent="0.25">
      <c r="A59" s="231" t="s">
        <v>590</v>
      </c>
      <c r="B59" s="231">
        <v>50</v>
      </c>
      <c r="C59" s="231">
        <f>'2030 '!AJ112*-1</f>
        <v>612.32578908467985</v>
      </c>
      <c r="D59" s="231">
        <v>4</v>
      </c>
      <c r="E59" s="231">
        <f t="shared" si="1"/>
        <v>18.009582031902347</v>
      </c>
    </row>
    <row r="60" spans="1:5" x14ac:dyDescent="0.25">
      <c r="A60" s="231"/>
      <c r="B60" s="231"/>
      <c r="C60" s="231"/>
      <c r="D60" s="231"/>
      <c r="E60" s="231"/>
    </row>
    <row r="61" spans="1:5" x14ac:dyDescent="0.25">
      <c r="A61" s="231" t="s">
        <v>312</v>
      </c>
      <c r="B61" s="231">
        <v>60</v>
      </c>
      <c r="C61" s="231">
        <f>'2030 '!AJ117*-1</f>
        <v>1803.6081545791574</v>
      </c>
      <c r="D61" s="231">
        <v>12</v>
      </c>
      <c r="E61" s="231">
        <f t="shared" si="1"/>
        <v>150.3006795482631</v>
      </c>
    </row>
    <row r="62" spans="1:5" x14ac:dyDescent="0.25">
      <c r="A62" s="231"/>
      <c r="B62" s="231"/>
      <c r="C62" s="231"/>
      <c r="D62" s="231"/>
      <c r="E62" s="231"/>
    </row>
    <row r="63" spans="1:5" x14ac:dyDescent="0.25">
      <c r="A63" s="231" t="s">
        <v>591</v>
      </c>
      <c r="B63" s="231">
        <v>60</v>
      </c>
      <c r="C63" s="231">
        <f>'2030 '!AO9</f>
        <v>5515.3515269958189</v>
      </c>
      <c r="D63" s="231">
        <v>4</v>
      </c>
      <c r="E63" s="231">
        <f>(C63)/(B63-D63*10)</f>
        <v>275.76757634979094</v>
      </c>
    </row>
    <row r="64" spans="1:5" x14ac:dyDescent="0.25">
      <c r="A64" s="231" t="s">
        <v>592</v>
      </c>
      <c r="B64" s="231">
        <v>25</v>
      </c>
      <c r="C64" s="231">
        <f>'2030 '!BY9</f>
        <v>64.266251086810371</v>
      </c>
      <c r="D64" s="231"/>
      <c r="E64" s="231">
        <f t="shared" ref="E64:E74" si="2">(C64)/(B64-D64*10)</f>
        <v>2.5706500434724147</v>
      </c>
    </row>
    <row r="65" spans="1:5" x14ac:dyDescent="0.25">
      <c r="A65" s="231" t="s">
        <v>593</v>
      </c>
      <c r="B65" s="231">
        <v>60</v>
      </c>
      <c r="C65" s="231">
        <f>'2030 '!AJ68*-1</f>
        <v>5954.7800101380008</v>
      </c>
      <c r="D65" s="231">
        <v>3</v>
      </c>
      <c r="E65" s="231">
        <f t="shared" si="2"/>
        <v>198.49266700460004</v>
      </c>
    </row>
    <row r="66" spans="1:5" x14ac:dyDescent="0.25">
      <c r="A66" s="231" t="s">
        <v>594</v>
      </c>
      <c r="B66" s="231">
        <v>25</v>
      </c>
      <c r="C66" s="231">
        <f>'2030 '!BY68</f>
        <v>1671.8500687248413</v>
      </c>
      <c r="D66" s="231"/>
      <c r="E66" s="231">
        <f t="shared" si="2"/>
        <v>66.874002748993647</v>
      </c>
    </row>
    <row r="67" spans="1:5" x14ac:dyDescent="0.25">
      <c r="A67" s="231" t="s">
        <v>274</v>
      </c>
      <c r="B67" s="231">
        <v>60</v>
      </c>
      <c r="C67" s="231">
        <f>'2030 '!AJ89*-1</f>
        <v>6130.9193853093893</v>
      </c>
      <c r="D67" s="231">
        <v>4</v>
      </c>
      <c r="E67" s="231">
        <f t="shared" si="2"/>
        <v>306.54596926546947</v>
      </c>
    </row>
    <row r="68" spans="1:5" x14ac:dyDescent="0.25">
      <c r="A68" s="231" t="s">
        <v>595</v>
      </c>
      <c r="B68" s="231">
        <v>25</v>
      </c>
      <c r="C68" s="143">
        <f>'2030 '!BY89</f>
        <v>1873.5893999099185</v>
      </c>
      <c r="D68" s="231"/>
      <c r="E68" s="231">
        <f t="shared" si="2"/>
        <v>74.943575996396746</v>
      </c>
    </row>
    <row r="69" spans="1:5" x14ac:dyDescent="0.25">
      <c r="A69" s="231" t="s">
        <v>596</v>
      </c>
      <c r="B69" s="231">
        <v>50</v>
      </c>
      <c r="C69" s="231">
        <f>'2030 '!AJ7*-1</f>
        <v>3293.7040005353874</v>
      </c>
      <c r="D69" s="231">
        <v>2</v>
      </c>
      <c r="E69" s="231">
        <f t="shared" si="2"/>
        <v>109.79013335117958</v>
      </c>
    </row>
    <row r="70" spans="1:5" x14ac:dyDescent="0.25">
      <c r="A70" s="231" t="s">
        <v>597</v>
      </c>
      <c r="B70" s="231">
        <v>25</v>
      </c>
      <c r="C70" s="231">
        <f>'2030 '!BY7</f>
        <v>0</v>
      </c>
      <c r="D70" s="231"/>
      <c r="E70" s="231">
        <f t="shared" si="2"/>
        <v>0</v>
      </c>
    </row>
    <row r="71" spans="1:5" x14ac:dyDescent="0.25">
      <c r="A71" s="231" t="s">
        <v>598</v>
      </c>
      <c r="B71" s="231">
        <v>50</v>
      </c>
      <c r="C71" s="231">
        <f>'2030 '!AJ66*-1</f>
        <v>5361.1328224407534</v>
      </c>
      <c r="D71" s="231">
        <v>2</v>
      </c>
      <c r="E71" s="231">
        <f t="shared" si="2"/>
        <v>178.70442741469179</v>
      </c>
    </row>
    <row r="72" spans="1:5" x14ac:dyDescent="0.25">
      <c r="A72" s="231" t="s">
        <v>599</v>
      </c>
      <c r="B72" s="231">
        <v>25</v>
      </c>
      <c r="C72" s="231">
        <f>'2030 '!BY66</f>
        <v>432.81696737093171</v>
      </c>
      <c r="D72" s="231"/>
      <c r="E72" s="231">
        <f t="shared" si="2"/>
        <v>17.312678694837267</v>
      </c>
    </row>
    <row r="74" spans="1:5" x14ac:dyDescent="0.25">
      <c r="A74" t="s">
        <v>605</v>
      </c>
      <c r="B74">
        <v>10</v>
      </c>
      <c r="C74">
        <f>'2030 '!BZ68</f>
        <v>161.99559976315155</v>
      </c>
      <c r="E74" s="231">
        <f t="shared" si="2"/>
        <v>16.199559976315154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Ark9"/>
  <dimension ref="A1:AY117"/>
  <sheetViews>
    <sheetView topLeftCell="A46" zoomScale="78" zoomScaleNormal="78" workbookViewId="0">
      <selection activeCell="N65" sqref="N65"/>
    </sheetView>
  </sheetViews>
  <sheetFormatPr defaultRowHeight="15" x14ac:dyDescent="0.25"/>
  <cols>
    <col min="1" max="24" width="9.140625" style="158"/>
    <col min="25" max="25" width="49.5703125" style="158" customWidth="1"/>
    <col min="26" max="29" width="9.140625" style="158"/>
    <col min="30" max="30" width="12.42578125" style="158" customWidth="1"/>
    <col min="31" max="16384" width="9.140625" style="158"/>
  </cols>
  <sheetData>
    <row r="1" spans="1:45" ht="23.25" x14ac:dyDescent="0.25">
      <c r="A1" s="393" t="s">
        <v>433</v>
      </c>
      <c r="B1" s="394"/>
      <c r="C1" s="394"/>
      <c r="D1" s="818">
        <v>49690</v>
      </c>
      <c r="E1" s="819"/>
      <c r="F1" s="395"/>
      <c r="G1" s="395"/>
      <c r="H1" s="395"/>
      <c r="I1" s="395"/>
      <c r="J1" s="310"/>
      <c r="K1" s="39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396"/>
      <c r="W1" s="396"/>
      <c r="X1" s="396"/>
      <c r="Y1" s="817" t="s">
        <v>434</v>
      </c>
      <c r="Z1" s="396"/>
      <c r="AA1" s="396"/>
      <c r="AB1" s="396"/>
      <c r="AC1" s="396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159"/>
      <c r="AS1" s="159"/>
    </row>
    <row r="2" spans="1:45" ht="23.25" x14ac:dyDescent="0.25">
      <c r="A2" s="397" t="s">
        <v>435</v>
      </c>
      <c r="B2" s="395"/>
      <c r="C2" s="395"/>
      <c r="D2" s="398">
        <v>92.7</v>
      </c>
      <c r="E2" s="399" t="s">
        <v>436</v>
      </c>
      <c r="F2" s="400"/>
      <c r="G2" s="395"/>
      <c r="H2" s="395"/>
      <c r="I2" s="395"/>
      <c r="J2" s="395"/>
      <c r="K2" s="39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396"/>
      <c r="W2" s="396"/>
      <c r="X2" s="396"/>
      <c r="Y2" s="817"/>
      <c r="Z2" s="396"/>
      <c r="AA2" s="396"/>
      <c r="AB2" s="396"/>
      <c r="AC2" s="396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159"/>
      <c r="AS2" s="159"/>
    </row>
    <row r="3" spans="1:45" ht="24" customHeight="1" thickBot="1" x14ac:dyDescent="0.3">
      <c r="A3" s="401" t="s">
        <v>437</v>
      </c>
      <c r="B3" s="402"/>
      <c r="C3" s="403"/>
      <c r="D3" s="402" t="s">
        <v>438</v>
      </c>
      <c r="E3" s="404"/>
      <c r="F3" s="395"/>
      <c r="G3" s="395"/>
      <c r="H3" s="395"/>
      <c r="I3" s="395"/>
      <c r="J3" s="395"/>
      <c r="K3" s="395"/>
      <c r="L3" s="245"/>
      <c r="M3" s="245"/>
      <c r="N3" s="193"/>
      <c r="O3" s="245"/>
      <c r="P3" s="245"/>
      <c r="Q3" s="245"/>
      <c r="R3" s="245"/>
      <c r="S3" s="245"/>
      <c r="T3" s="245"/>
      <c r="U3" s="245"/>
      <c r="V3" s="396"/>
      <c r="W3" s="396"/>
      <c r="X3" s="396"/>
      <c r="Y3" s="807" t="s">
        <v>784</v>
      </c>
      <c r="Z3" s="396"/>
      <c r="AA3" s="396"/>
      <c r="AB3" s="396"/>
      <c r="AC3" s="396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159"/>
      <c r="AS3" s="159"/>
    </row>
    <row r="4" spans="1:45" ht="23.25" customHeight="1" x14ac:dyDescent="0.25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396"/>
      <c r="W4" s="396"/>
      <c r="X4" s="396"/>
      <c r="Y4" s="807"/>
      <c r="Z4" s="396"/>
      <c r="AA4" s="396"/>
      <c r="AB4" s="396"/>
      <c r="AC4" s="396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159"/>
      <c r="AS4" s="159"/>
    </row>
    <row r="5" spans="1:45" x14ac:dyDescent="0.25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159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159"/>
      <c r="AS5" s="159"/>
    </row>
    <row r="6" spans="1:45" ht="15.75" x14ac:dyDescent="0.25">
      <c r="A6" s="814" t="s">
        <v>439</v>
      </c>
      <c r="B6" s="814"/>
      <c r="C6" s="814"/>
      <c r="D6" s="814"/>
      <c r="E6" s="814"/>
      <c r="F6" s="814"/>
      <c r="G6" s="814"/>
      <c r="H6" s="814"/>
      <c r="I6" s="814"/>
      <c r="J6" s="814"/>
      <c r="K6" s="814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405" t="s">
        <v>440</v>
      </c>
      <c r="Z6" s="814" t="s">
        <v>35</v>
      </c>
      <c r="AA6" s="814"/>
      <c r="AB6" s="814"/>
      <c r="AC6" s="814"/>
      <c r="AD6" s="814" t="s">
        <v>441</v>
      </c>
      <c r="AE6" s="814"/>
      <c r="AF6" s="814" t="s">
        <v>442</v>
      </c>
      <c r="AG6" s="814"/>
      <c r="AH6" s="406"/>
      <c r="AI6" s="814" t="s">
        <v>443</v>
      </c>
      <c r="AJ6" s="814"/>
      <c r="AK6" s="814"/>
      <c r="AL6" s="814"/>
      <c r="AM6" s="814"/>
      <c r="AN6" s="814"/>
      <c r="AO6" s="814"/>
      <c r="AP6" s="814"/>
      <c r="AQ6" s="814"/>
      <c r="AR6" s="159"/>
      <c r="AS6" s="159"/>
    </row>
    <row r="7" spans="1:45" ht="171.75" customHeight="1" thickBot="1" x14ac:dyDescent="0.65">
      <c r="A7" s="407" t="s">
        <v>378</v>
      </c>
      <c r="B7" s="408" t="s">
        <v>379</v>
      </c>
      <c r="C7" s="408" t="s">
        <v>380</v>
      </c>
      <c r="D7" s="408" t="s">
        <v>381</v>
      </c>
      <c r="E7" s="409" t="s">
        <v>383</v>
      </c>
      <c r="F7" s="408" t="s">
        <v>384</v>
      </c>
      <c r="G7" s="408" t="s">
        <v>385</v>
      </c>
      <c r="H7" s="409" t="s">
        <v>387</v>
      </c>
      <c r="I7" s="409" t="s">
        <v>549</v>
      </c>
      <c r="J7" s="409" t="s">
        <v>390</v>
      </c>
      <c r="K7" s="409" t="s">
        <v>392</v>
      </c>
      <c r="L7" s="409" t="s">
        <v>393</v>
      </c>
      <c r="M7" s="409" t="s">
        <v>394</v>
      </c>
      <c r="N7" s="409" t="s">
        <v>396</v>
      </c>
      <c r="O7" s="409" t="s">
        <v>397</v>
      </c>
      <c r="P7" s="409" t="s">
        <v>398</v>
      </c>
      <c r="Q7" s="409" t="s">
        <v>400</v>
      </c>
      <c r="R7" s="409" t="s">
        <v>401</v>
      </c>
      <c r="S7" s="409" t="s">
        <v>402</v>
      </c>
      <c r="T7" s="409" t="s">
        <v>403</v>
      </c>
      <c r="U7" s="409" t="s">
        <v>404</v>
      </c>
      <c r="V7" s="409" t="s">
        <v>405</v>
      </c>
      <c r="W7" s="409" t="s">
        <v>406</v>
      </c>
      <c r="X7" s="410" t="s">
        <v>444</v>
      </c>
      <c r="Y7" s="233"/>
      <c r="Z7" s="460" t="s">
        <v>445</v>
      </c>
      <c r="AA7" s="461" t="s">
        <v>446</v>
      </c>
      <c r="AB7" s="461" t="s">
        <v>447</v>
      </c>
      <c r="AC7" s="462" t="s">
        <v>448</v>
      </c>
      <c r="AD7" s="463" t="s">
        <v>449</v>
      </c>
      <c r="AE7" s="462" t="s">
        <v>450</v>
      </c>
      <c r="AF7" s="463" t="s">
        <v>449</v>
      </c>
      <c r="AG7" s="462" t="s">
        <v>450</v>
      </c>
      <c r="AH7" s="464" t="s">
        <v>451</v>
      </c>
      <c r="AI7" s="465" t="s">
        <v>452</v>
      </c>
      <c r="AJ7" s="461" t="s">
        <v>453</v>
      </c>
      <c r="AK7" s="461" t="s">
        <v>454</v>
      </c>
      <c r="AL7" s="461" t="s">
        <v>455</v>
      </c>
      <c r="AM7" s="461" t="s">
        <v>456</v>
      </c>
      <c r="AN7" s="461" t="s">
        <v>457</v>
      </c>
      <c r="AO7" s="466" t="s">
        <v>458</v>
      </c>
      <c r="AP7" s="466" t="s">
        <v>459</v>
      </c>
      <c r="AQ7" s="462" t="s">
        <v>460</v>
      </c>
      <c r="AR7" s="416"/>
      <c r="AS7" s="416"/>
    </row>
    <row r="8" spans="1:45" x14ac:dyDescent="0.25">
      <c r="A8" s="190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7"/>
      <c r="O8" s="175"/>
      <c r="P8" s="175"/>
      <c r="Q8" s="175"/>
      <c r="R8" s="175"/>
      <c r="S8" s="175"/>
      <c r="T8" s="175"/>
      <c r="U8" s="175"/>
      <c r="V8" s="175"/>
      <c r="W8" s="175"/>
      <c r="X8" s="176">
        <f t="shared" ref="X8:X71" si="0">SUM(A8:W8)</f>
        <v>0</v>
      </c>
      <c r="Y8" s="234" t="s">
        <v>307</v>
      </c>
      <c r="Z8" s="187"/>
      <c r="AA8" s="177">
        <v>44</v>
      </c>
      <c r="AB8" s="177"/>
      <c r="AC8" s="188"/>
      <c r="AD8" s="187">
        <f t="shared" ref="AD8:AD14" si="1">-AE8/$D$2%</f>
        <v>-48.64990693704177</v>
      </c>
      <c r="AE8" s="188">
        <f>AH8/AA8%</f>
        <v>45.098463730637725</v>
      </c>
      <c r="AF8" s="187"/>
      <c r="AG8" s="188"/>
      <c r="AH8" s="417">
        <f t="shared" ref="AH8:AH14" si="2">SUM(AI8:AQ8)</f>
        <v>19.843324041480599</v>
      </c>
      <c r="AI8" s="174">
        <v>19.843324041480599</v>
      </c>
      <c r="AJ8" s="175"/>
      <c r="AK8" s="175"/>
      <c r="AL8" s="175"/>
      <c r="AM8" s="175"/>
      <c r="AN8" s="175"/>
      <c r="AO8" s="175"/>
      <c r="AP8" s="175"/>
      <c r="AQ8" s="176"/>
      <c r="AR8" s="159"/>
      <c r="AS8" s="159"/>
    </row>
    <row r="9" spans="1:45" x14ac:dyDescent="0.25">
      <c r="A9" s="190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7"/>
      <c r="O9" s="175"/>
      <c r="P9" s="175"/>
      <c r="Q9" s="175"/>
      <c r="R9" s="175"/>
      <c r="S9" s="175"/>
      <c r="T9" s="175"/>
      <c r="U9" s="175"/>
      <c r="V9" s="175"/>
      <c r="W9" s="175"/>
      <c r="X9" s="176">
        <f t="shared" si="0"/>
        <v>0</v>
      </c>
      <c r="Y9" s="234" t="s">
        <v>314</v>
      </c>
      <c r="Z9" s="187"/>
      <c r="AA9" s="177"/>
      <c r="AB9" s="177">
        <v>90</v>
      </c>
      <c r="AC9" s="188"/>
      <c r="AD9" s="187">
        <f t="shared" si="1"/>
        <v>-6.3475261519385153</v>
      </c>
      <c r="AE9" s="188">
        <f>AH9/AB9%</f>
        <v>5.8841567428470043</v>
      </c>
      <c r="AF9" s="187"/>
      <c r="AG9" s="188"/>
      <c r="AH9" s="417">
        <f t="shared" si="2"/>
        <v>5.2957410685623039</v>
      </c>
      <c r="AI9" s="174">
        <v>5.2957410685623039</v>
      </c>
      <c r="AJ9" s="175"/>
      <c r="AK9" s="175"/>
      <c r="AL9" s="175"/>
      <c r="AM9" s="175"/>
      <c r="AN9" s="175"/>
      <c r="AO9" s="175"/>
      <c r="AP9" s="175"/>
      <c r="AQ9" s="176"/>
      <c r="AR9" s="159"/>
      <c r="AS9" s="159"/>
    </row>
    <row r="10" spans="1:45" x14ac:dyDescent="0.25">
      <c r="A10" s="190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7"/>
      <c r="O10" s="175"/>
      <c r="P10" s="175"/>
      <c r="Q10" s="175"/>
      <c r="R10" s="175"/>
      <c r="S10" s="175"/>
      <c r="T10" s="175"/>
      <c r="U10" s="175"/>
      <c r="V10" s="175"/>
      <c r="W10" s="175"/>
      <c r="X10" s="176">
        <f t="shared" si="0"/>
        <v>0</v>
      </c>
      <c r="Y10" s="234" t="s">
        <v>316</v>
      </c>
      <c r="Z10" s="187"/>
      <c r="AA10" s="177"/>
      <c r="AB10" s="177">
        <v>100</v>
      </c>
      <c r="AC10" s="188"/>
      <c r="AD10" s="187">
        <f t="shared" si="1"/>
        <v>-26.93164667322484</v>
      </c>
      <c r="AE10" s="188">
        <f>AH10/AB10%</f>
        <v>24.965636466079427</v>
      </c>
      <c r="AF10" s="187"/>
      <c r="AG10" s="188"/>
      <c r="AH10" s="417">
        <f t="shared" si="2"/>
        <v>24.965636466079427</v>
      </c>
      <c r="AI10" s="174">
        <v>24.965636466079427</v>
      </c>
      <c r="AJ10" s="175"/>
      <c r="AK10" s="175"/>
      <c r="AL10" s="175"/>
      <c r="AM10" s="175"/>
      <c r="AN10" s="175"/>
      <c r="AO10" s="175"/>
      <c r="AP10" s="175"/>
      <c r="AQ10" s="176"/>
      <c r="AR10" s="159"/>
      <c r="AS10" s="159"/>
    </row>
    <row r="11" spans="1:45" x14ac:dyDescent="0.25">
      <c r="A11" s="190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7"/>
      <c r="O11" s="175"/>
      <c r="P11" s="175"/>
      <c r="Q11" s="175"/>
      <c r="R11" s="175"/>
      <c r="S11" s="175"/>
      <c r="T11" s="175"/>
      <c r="U11" s="175"/>
      <c r="V11" s="175"/>
      <c r="W11" s="175"/>
      <c r="X11" s="176">
        <f t="shared" si="0"/>
        <v>0</v>
      </c>
      <c r="Y11" s="234" t="s">
        <v>305</v>
      </c>
      <c r="Z11" s="187"/>
      <c r="AA11" s="177">
        <v>50</v>
      </c>
      <c r="AB11" s="177"/>
      <c r="AC11" s="188"/>
      <c r="AD11" s="187">
        <f t="shared" si="1"/>
        <v>-196.04486324772139</v>
      </c>
      <c r="AE11" s="188">
        <f>AH11/AA11%</f>
        <v>181.73358823063774</v>
      </c>
      <c r="AF11" s="187"/>
      <c r="AG11" s="188"/>
      <c r="AH11" s="417">
        <f t="shared" si="2"/>
        <v>90.866794115318868</v>
      </c>
      <c r="AI11" s="174">
        <v>22.549231865318863</v>
      </c>
      <c r="AJ11" s="175">
        <v>26.553876030000005</v>
      </c>
      <c r="AK11" s="175">
        <v>14.183429850000001</v>
      </c>
      <c r="AL11" s="175">
        <v>13.219695900000001</v>
      </c>
      <c r="AM11" s="175">
        <v>0.342162036</v>
      </c>
      <c r="AN11" s="175">
        <v>12.402147384000001</v>
      </c>
      <c r="AO11" s="175">
        <v>0.10771218</v>
      </c>
      <c r="AP11" s="175">
        <v>1.5085388700000002</v>
      </c>
      <c r="AQ11" s="176"/>
      <c r="AR11" s="159"/>
      <c r="AS11" s="159"/>
    </row>
    <row r="12" spans="1:45" x14ac:dyDescent="0.25">
      <c r="A12" s="190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7"/>
      <c r="O12" s="175"/>
      <c r="P12" s="175"/>
      <c r="Q12" s="175"/>
      <c r="R12" s="175"/>
      <c r="S12" s="175"/>
      <c r="T12" s="175"/>
      <c r="U12" s="175"/>
      <c r="V12" s="175"/>
      <c r="W12" s="175"/>
      <c r="X12" s="176">
        <f t="shared" si="0"/>
        <v>0</v>
      </c>
      <c r="Y12" s="234" t="s">
        <v>309</v>
      </c>
      <c r="Z12" s="187"/>
      <c r="AA12" s="177">
        <v>150</v>
      </c>
      <c r="AB12" s="177"/>
      <c r="AC12" s="188"/>
      <c r="AD12" s="187">
        <f t="shared" si="1"/>
        <v>-161.01360324186035</v>
      </c>
      <c r="AE12" s="188">
        <f>AH12/AA12%</f>
        <v>149.25961020520455</v>
      </c>
      <c r="AF12" s="187"/>
      <c r="AG12" s="188"/>
      <c r="AH12" s="417">
        <f t="shared" si="2"/>
        <v>223.88941530780684</v>
      </c>
      <c r="AI12" s="174">
        <v>79.867924477806824</v>
      </c>
      <c r="AJ12" s="175">
        <v>0</v>
      </c>
      <c r="AK12" s="175">
        <v>47.656324296000001</v>
      </c>
      <c r="AL12" s="175">
        <v>44.418178224000002</v>
      </c>
      <c r="AM12" s="175">
        <v>1.3686481440000002</v>
      </c>
      <c r="AN12" s="175">
        <v>49.608589536000004</v>
      </c>
      <c r="AO12" s="175">
        <v>6.4627307999999994E-2</v>
      </c>
      <c r="AP12" s="175">
        <v>0.90512332200000012</v>
      </c>
      <c r="AQ12" s="176"/>
      <c r="AR12" s="159"/>
      <c r="AS12" s="159"/>
    </row>
    <row r="13" spans="1:45" x14ac:dyDescent="0.25">
      <c r="A13" s="190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7"/>
      <c r="O13" s="175"/>
      <c r="P13" s="175"/>
      <c r="Q13" s="175"/>
      <c r="R13" s="175"/>
      <c r="S13" s="175"/>
      <c r="T13" s="175"/>
      <c r="U13" s="175"/>
      <c r="V13" s="175"/>
      <c r="W13" s="175"/>
      <c r="X13" s="176">
        <f t="shared" si="0"/>
        <v>0</v>
      </c>
      <c r="Y13" s="235" t="s">
        <v>290</v>
      </c>
      <c r="Z13" s="187"/>
      <c r="AA13" s="177">
        <v>85</v>
      </c>
      <c r="AB13" s="177"/>
      <c r="AC13" s="188"/>
      <c r="AD13" s="187">
        <f t="shared" si="1"/>
        <v>-838.34614924893572</v>
      </c>
      <c r="AE13" s="188">
        <f>AH13/AA13%</f>
        <v>777.14688035376344</v>
      </c>
      <c r="AF13" s="187"/>
      <c r="AG13" s="188"/>
      <c r="AH13" s="417">
        <f t="shared" si="2"/>
        <v>660.57484830069893</v>
      </c>
      <c r="AI13" s="174">
        <v>125.3882770626989</v>
      </c>
      <c r="AJ13" s="175">
        <v>122.04948204899998</v>
      </c>
      <c r="AK13" s="175">
        <v>45.3302418006</v>
      </c>
      <c r="AL13" s="175">
        <v>42.250148096400004</v>
      </c>
      <c r="AM13" s="175">
        <v>8.3373482772000003</v>
      </c>
      <c r="AN13" s="175">
        <v>302.19899125680001</v>
      </c>
      <c r="AO13" s="175">
        <v>1.0010051928000001</v>
      </c>
      <c r="AP13" s="175">
        <v>14.019354565199999</v>
      </c>
      <c r="AQ13" s="176"/>
      <c r="AR13" s="159"/>
      <c r="AS13" s="467"/>
    </row>
    <row r="14" spans="1:45" x14ac:dyDescent="0.25">
      <c r="A14" s="190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7">
        <f>AH14-AE14</f>
        <v>0.50600000000000001</v>
      </c>
      <c r="O14" s="175"/>
      <c r="P14" s="175"/>
      <c r="Q14" s="175"/>
      <c r="R14" s="175"/>
      <c r="S14" s="175"/>
      <c r="T14" s="175"/>
      <c r="U14" s="175"/>
      <c r="V14" s="175"/>
      <c r="W14" s="175"/>
      <c r="X14" s="176">
        <f t="shared" si="0"/>
        <v>0.50600000000000001</v>
      </c>
      <c r="Y14" s="235" t="s">
        <v>344</v>
      </c>
      <c r="Z14" s="187"/>
      <c r="AA14" s="177"/>
      <c r="AB14" s="177">
        <v>300</v>
      </c>
      <c r="AC14" s="188"/>
      <c r="AD14" s="187">
        <f t="shared" si="1"/>
        <v>-0.27292340884573896</v>
      </c>
      <c r="AE14" s="176">
        <v>0.253</v>
      </c>
      <c r="AF14" s="187"/>
      <c r="AG14" s="188"/>
      <c r="AH14" s="417">
        <f t="shared" si="2"/>
        <v>0.75900000000000001</v>
      </c>
      <c r="AI14" s="174">
        <f>AE14*AB14/100</f>
        <v>0.75900000000000001</v>
      </c>
      <c r="AJ14" s="175"/>
      <c r="AK14" s="175"/>
      <c r="AL14" s="175"/>
      <c r="AM14" s="175"/>
      <c r="AN14" s="175"/>
      <c r="AO14" s="175"/>
      <c r="AP14" s="175"/>
      <c r="AQ14" s="176"/>
      <c r="AR14" s="159"/>
      <c r="AS14" s="159"/>
    </row>
    <row r="15" spans="1:45" x14ac:dyDescent="0.25">
      <c r="A15" s="190">
        <f>Z15%*AD15</f>
        <v>539.2463229567519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7"/>
      <c r="O15" s="175"/>
      <c r="P15" s="175"/>
      <c r="Q15" s="175"/>
      <c r="R15" s="175"/>
      <c r="S15" s="175"/>
      <c r="T15" s="175"/>
      <c r="U15" s="175"/>
      <c r="V15" s="175"/>
      <c r="W15" s="175"/>
      <c r="X15" s="176">
        <f t="shared" si="0"/>
        <v>539.2463229567519</v>
      </c>
      <c r="Y15" s="234" t="s">
        <v>461</v>
      </c>
      <c r="Z15" s="187">
        <v>100</v>
      </c>
      <c r="AA15" s="177"/>
      <c r="AB15" s="177"/>
      <c r="AC15" s="188"/>
      <c r="AD15" s="187">
        <f>-SUM(AD16:AD80,AD8:AD14)</f>
        <v>539.2463229567519</v>
      </c>
      <c r="AE15" s="188"/>
      <c r="AF15" s="187"/>
      <c r="AG15" s="188"/>
      <c r="AH15" s="417">
        <f t="shared" ref="AH15:AH52" si="3">SUM(AI15:AQ15)</f>
        <v>0</v>
      </c>
      <c r="AI15" s="187"/>
      <c r="AJ15" s="177"/>
      <c r="AK15" s="177"/>
      <c r="AL15" s="177"/>
      <c r="AM15" s="177"/>
      <c r="AN15" s="177"/>
      <c r="AO15" s="177"/>
      <c r="AP15" s="177"/>
      <c r="AQ15" s="188"/>
      <c r="AR15" s="159"/>
      <c r="AS15" s="159"/>
    </row>
    <row r="16" spans="1:45" x14ac:dyDescent="0.25">
      <c r="A16" s="468"/>
      <c r="B16" s="236">
        <v>22.2</v>
      </c>
      <c r="C16" s="184"/>
      <c r="D16" s="184"/>
      <c r="E16" s="184"/>
      <c r="F16" s="184"/>
      <c r="G16" s="184"/>
      <c r="H16" s="184"/>
      <c r="I16" s="181"/>
      <c r="J16" s="184"/>
      <c r="K16" s="184"/>
      <c r="L16" s="184"/>
      <c r="M16" s="184"/>
      <c r="N16" s="181"/>
      <c r="O16" s="184"/>
      <c r="P16" s="184"/>
      <c r="Q16" s="184"/>
      <c r="R16" s="184"/>
      <c r="S16" s="184"/>
      <c r="T16" s="184"/>
      <c r="U16" s="184"/>
      <c r="V16" s="184"/>
      <c r="W16" s="184"/>
      <c r="X16" s="185">
        <f t="shared" si="0"/>
        <v>22.2</v>
      </c>
      <c r="Y16" s="237" t="s">
        <v>345</v>
      </c>
      <c r="Z16" s="419"/>
      <c r="AA16" s="181"/>
      <c r="AB16" s="181">
        <v>38</v>
      </c>
      <c r="AC16" s="420"/>
      <c r="AD16" s="419"/>
      <c r="AE16" s="420"/>
      <c r="AF16" s="419"/>
      <c r="AG16" s="420"/>
      <c r="AH16" s="417">
        <f t="shared" si="3"/>
        <v>8.4359999999999999</v>
      </c>
      <c r="AI16" s="183">
        <f>X16*AB16/100*0.2</f>
        <v>1.6872</v>
      </c>
      <c r="AJ16" s="184"/>
      <c r="AK16" s="184"/>
      <c r="AL16" s="184"/>
      <c r="AM16" s="184"/>
      <c r="AN16" s="184">
        <f>X16*AB16/100*0.6</f>
        <v>5.0615999999999994</v>
      </c>
      <c r="AO16" s="184"/>
      <c r="AP16" s="184"/>
      <c r="AQ16" s="185">
        <f>X16*AB16/100*0.2</f>
        <v>1.6872</v>
      </c>
      <c r="AR16" s="159"/>
      <c r="AS16" s="159"/>
    </row>
    <row r="17" spans="1:45" x14ac:dyDescent="0.25">
      <c r="A17" s="190"/>
      <c r="B17" s="175"/>
      <c r="C17" s="175"/>
      <c r="D17" s="175"/>
      <c r="E17" s="241">
        <v>131</v>
      </c>
      <c r="F17" s="175"/>
      <c r="G17" s="175"/>
      <c r="H17" s="175"/>
      <c r="I17" s="175"/>
      <c r="J17" s="175"/>
      <c r="K17" s="175"/>
      <c r="L17" s="175"/>
      <c r="M17" s="175"/>
      <c r="N17" s="177"/>
      <c r="O17" s="175"/>
      <c r="P17" s="175"/>
      <c r="Q17" s="175"/>
      <c r="R17" s="175"/>
      <c r="S17" s="175"/>
      <c r="T17" s="175"/>
      <c r="U17" s="175"/>
      <c r="V17" s="175"/>
      <c r="W17" s="175"/>
      <c r="X17" s="176">
        <f t="shared" si="0"/>
        <v>131</v>
      </c>
      <c r="Y17" s="235" t="s">
        <v>346</v>
      </c>
      <c r="Z17" s="187"/>
      <c r="AA17" s="177"/>
      <c r="AB17" s="177">
        <v>80</v>
      </c>
      <c r="AC17" s="188"/>
      <c r="AD17" s="187"/>
      <c r="AE17" s="188"/>
      <c r="AF17" s="187"/>
      <c r="AG17" s="188"/>
      <c r="AH17" s="417">
        <f t="shared" si="3"/>
        <v>104.8</v>
      </c>
      <c r="AI17" s="178">
        <f t="shared" ref="AI17:AI22" si="4">X17*AB17/100</f>
        <v>104.8</v>
      </c>
      <c r="AJ17" s="177"/>
      <c r="AK17" s="177"/>
      <c r="AL17" s="177"/>
      <c r="AM17" s="177"/>
      <c r="AN17" s="177"/>
      <c r="AO17" s="177"/>
      <c r="AP17" s="177"/>
      <c r="AQ17" s="188"/>
      <c r="AR17" s="159"/>
      <c r="AS17" s="469"/>
    </row>
    <row r="18" spans="1:45" x14ac:dyDescent="0.25">
      <c r="A18" s="190"/>
      <c r="B18" s="175"/>
      <c r="C18" s="175"/>
      <c r="D18" s="175"/>
      <c r="E18" s="175"/>
      <c r="F18" s="175"/>
      <c r="G18" s="175"/>
      <c r="H18" s="175"/>
      <c r="I18" s="175">
        <v>0.63</v>
      </c>
      <c r="J18" s="175"/>
      <c r="K18" s="175"/>
      <c r="L18" s="175"/>
      <c r="M18" s="175"/>
      <c r="N18" s="177"/>
      <c r="O18" s="175"/>
      <c r="P18" s="175"/>
      <c r="Q18" s="175"/>
      <c r="R18" s="175"/>
      <c r="S18" s="175"/>
      <c r="T18" s="175"/>
      <c r="U18" s="175"/>
      <c r="V18" s="175"/>
      <c r="W18" s="175"/>
      <c r="X18" s="176">
        <f t="shared" si="0"/>
        <v>0.63</v>
      </c>
      <c r="Y18" s="235" t="s">
        <v>347</v>
      </c>
      <c r="Z18" s="187"/>
      <c r="AA18" s="177"/>
      <c r="AB18" s="177">
        <v>85</v>
      </c>
      <c r="AC18" s="188"/>
      <c r="AD18" s="187"/>
      <c r="AE18" s="188"/>
      <c r="AF18" s="187"/>
      <c r="AG18" s="188"/>
      <c r="AH18" s="417">
        <f t="shared" si="3"/>
        <v>0.53549999999999998</v>
      </c>
      <c r="AI18" s="178">
        <f t="shared" si="4"/>
        <v>0.53549999999999998</v>
      </c>
      <c r="AJ18" s="177"/>
      <c r="AK18" s="177"/>
      <c r="AL18" s="177"/>
      <c r="AM18" s="177"/>
      <c r="AN18" s="177"/>
      <c r="AO18" s="177"/>
      <c r="AP18" s="177"/>
      <c r="AQ18" s="188"/>
      <c r="AR18" s="159"/>
      <c r="AS18" s="469"/>
    </row>
    <row r="19" spans="1:45" x14ac:dyDescent="0.25">
      <c r="A19" s="190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7"/>
      <c r="O19" s="175"/>
      <c r="P19" s="175"/>
      <c r="Q19" s="175"/>
      <c r="R19" s="175"/>
      <c r="S19" s="254">
        <v>42</v>
      </c>
      <c r="T19" s="175"/>
      <c r="U19" s="175"/>
      <c r="V19" s="175"/>
      <c r="W19" s="175"/>
      <c r="X19" s="176">
        <f t="shared" si="0"/>
        <v>42</v>
      </c>
      <c r="Y19" s="235" t="s">
        <v>348</v>
      </c>
      <c r="Z19" s="187"/>
      <c r="AA19" s="177"/>
      <c r="AB19" s="177">
        <v>75</v>
      </c>
      <c r="AC19" s="188"/>
      <c r="AD19" s="187"/>
      <c r="AE19" s="188"/>
      <c r="AF19" s="187"/>
      <c r="AG19" s="188"/>
      <c r="AH19" s="417">
        <f t="shared" si="3"/>
        <v>31.5</v>
      </c>
      <c r="AI19" s="178">
        <f t="shared" si="4"/>
        <v>31.5</v>
      </c>
      <c r="AJ19" s="177"/>
      <c r="AK19" s="177"/>
      <c r="AL19" s="177"/>
      <c r="AM19" s="177"/>
      <c r="AN19" s="177"/>
      <c r="AO19" s="177"/>
      <c r="AP19" s="177"/>
      <c r="AQ19" s="188"/>
      <c r="AR19" s="159"/>
      <c r="AS19" s="159"/>
    </row>
    <row r="20" spans="1:45" x14ac:dyDescent="0.25">
      <c r="A20" s="190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7"/>
      <c r="O20" s="175"/>
      <c r="P20" s="175"/>
      <c r="Q20" s="175"/>
      <c r="R20" s="175">
        <v>169</v>
      </c>
      <c r="S20" s="175"/>
      <c r="T20" s="175"/>
      <c r="U20" s="175"/>
      <c r="V20" s="175"/>
      <c r="W20" s="175"/>
      <c r="X20" s="176">
        <f t="shared" si="0"/>
        <v>169</v>
      </c>
      <c r="Y20" s="235" t="s">
        <v>349</v>
      </c>
      <c r="Z20" s="187"/>
      <c r="AA20" s="177"/>
      <c r="AB20" s="177">
        <v>65</v>
      </c>
      <c r="AC20" s="188"/>
      <c r="AD20" s="187"/>
      <c r="AE20" s="188"/>
      <c r="AF20" s="187"/>
      <c r="AG20" s="188"/>
      <c r="AH20" s="417">
        <f t="shared" si="3"/>
        <v>109.85</v>
      </c>
      <c r="AI20" s="178">
        <f t="shared" si="4"/>
        <v>109.85</v>
      </c>
      <c r="AJ20" s="177"/>
      <c r="AK20" s="177"/>
      <c r="AL20" s="177"/>
      <c r="AM20" s="177"/>
      <c r="AN20" s="177"/>
      <c r="AO20" s="177"/>
      <c r="AP20" s="177"/>
      <c r="AQ20" s="188"/>
      <c r="AR20" s="159"/>
      <c r="AS20" s="469"/>
    </row>
    <row r="21" spans="1:45" x14ac:dyDescent="0.25">
      <c r="A21" s="190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7"/>
      <c r="O21" s="175"/>
      <c r="P21" s="175"/>
      <c r="Q21" s="175">
        <v>33</v>
      </c>
      <c r="R21" s="175"/>
      <c r="S21" s="175"/>
      <c r="T21" s="175"/>
      <c r="U21" s="175"/>
      <c r="V21" s="175"/>
      <c r="W21" s="175"/>
      <c r="X21" s="176">
        <f t="shared" si="0"/>
        <v>33</v>
      </c>
      <c r="Y21" s="235" t="s">
        <v>350</v>
      </c>
      <c r="Z21" s="187"/>
      <c r="AA21" s="177"/>
      <c r="AB21" s="177">
        <v>65</v>
      </c>
      <c r="AC21" s="188"/>
      <c r="AD21" s="187"/>
      <c r="AE21" s="188"/>
      <c r="AF21" s="187"/>
      <c r="AG21" s="188"/>
      <c r="AH21" s="417">
        <f t="shared" si="3"/>
        <v>21.45</v>
      </c>
      <c r="AI21" s="178">
        <f t="shared" si="4"/>
        <v>21.45</v>
      </c>
      <c r="AJ21" s="177"/>
      <c r="AK21" s="177"/>
      <c r="AL21" s="177"/>
      <c r="AM21" s="177"/>
      <c r="AN21" s="177"/>
      <c r="AO21" s="177"/>
      <c r="AP21" s="177"/>
      <c r="AQ21" s="188"/>
      <c r="AR21" s="159"/>
      <c r="AS21" s="469"/>
    </row>
    <row r="22" spans="1:45" x14ac:dyDescent="0.25">
      <c r="A22" s="190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>
        <v>2.8</v>
      </c>
      <c r="M22" s="175"/>
      <c r="N22" s="177"/>
      <c r="O22" s="175"/>
      <c r="P22" s="175"/>
      <c r="Q22" s="175"/>
      <c r="R22" s="175"/>
      <c r="S22" s="175"/>
      <c r="T22" s="175"/>
      <c r="U22" s="175"/>
      <c r="V22" s="175"/>
      <c r="W22" s="175"/>
      <c r="X22" s="176">
        <f t="shared" si="0"/>
        <v>2.8</v>
      </c>
      <c r="Y22" s="234" t="s">
        <v>331</v>
      </c>
      <c r="Z22" s="187"/>
      <c r="AA22" s="177"/>
      <c r="AB22" s="177">
        <v>100</v>
      </c>
      <c r="AC22" s="188"/>
      <c r="AD22" s="187"/>
      <c r="AE22" s="188"/>
      <c r="AF22" s="187"/>
      <c r="AG22" s="188"/>
      <c r="AH22" s="417">
        <f t="shared" si="3"/>
        <v>2.8</v>
      </c>
      <c r="AI22" s="178">
        <f t="shared" si="4"/>
        <v>2.8</v>
      </c>
      <c r="AJ22" s="177"/>
      <c r="AK22" s="177"/>
      <c r="AL22" s="177"/>
      <c r="AM22" s="177"/>
      <c r="AN22" s="177"/>
      <c r="AO22" s="177"/>
      <c r="AP22" s="177"/>
      <c r="AQ22" s="188"/>
      <c r="AR22" s="159"/>
      <c r="AS22" s="467"/>
    </row>
    <row r="23" spans="1:45" x14ac:dyDescent="0.25">
      <c r="A23" s="190"/>
      <c r="B23" s="175"/>
      <c r="C23" s="175"/>
      <c r="D23" s="175"/>
      <c r="E23" s="175">
        <v>29</v>
      </c>
      <c r="F23" s="175"/>
      <c r="G23" s="175"/>
      <c r="H23" s="175"/>
      <c r="I23" s="175"/>
      <c r="J23" s="175"/>
      <c r="K23" s="175"/>
      <c r="L23" s="175"/>
      <c r="M23" s="175"/>
      <c r="N23" s="177"/>
      <c r="O23" s="175"/>
      <c r="P23" s="175"/>
      <c r="Q23" s="175"/>
      <c r="R23" s="175"/>
      <c r="S23" s="175"/>
      <c r="T23" s="175"/>
      <c r="U23" s="175"/>
      <c r="V23" s="175"/>
      <c r="W23" s="175"/>
      <c r="X23" s="176">
        <f t="shared" si="0"/>
        <v>29</v>
      </c>
      <c r="Y23" s="235" t="s">
        <v>292</v>
      </c>
      <c r="Z23" s="187"/>
      <c r="AA23" s="177">
        <v>90</v>
      </c>
      <c r="AB23" s="177"/>
      <c r="AC23" s="188"/>
      <c r="AD23" s="187"/>
      <c r="AE23" s="188"/>
      <c r="AF23" s="187"/>
      <c r="AG23" s="188"/>
      <c r="AH23" s="417">
        <f t="shared" si="3"/>
        <v>26.1</v>
      </c>
      <c r="AI23" s="178"/>
      <c r="AJ23" s="177"/>
      <c r="AK23" s="177"/>
      <c r="AL23" s="177"/>
      <c r="AM23" s="177"/>
      <c r="AN23" s="177">
        <f>X23*AA23/100</f>
        <v>26.1</v>
      </c>
      <c r="AO23" s="177"/>
      <c r="AP23" s="177"/>
      <c r="AQ23" s="188"/>
      <c r="AR23" s="159"/>
      <c r="AS23" s="159"/>
    </row>
    <row r="24" spans="1:45" x14ac:dyDescent="0.25">
      <c r="A24" s="190"/>
      <c r="B24" s="175"/>
      <c r="C24" s="175"/>
      <c r="D24" s="175"/>
      <c r="E24" s="175"/>
      <c r="F24" s="175"/>
      <c r="G24" s="175"/>
      <c r="H24" s="175"/>
      <c r="I24" s="175">
        <v>271.13</v>
      </c>
      <c r="J24" s="175"/>
      <c r="K24" s="175"/>
      <c r="L24" s="175"/>
      <c r="M24" s="175"/>
      <c r="N24" s="177"/>
      <c r="O24" s="175"/>
      <c r="P24" s="175"/>
      <c r="Q24" s="175"/>
      <c r="R24" s="175"/>
      <c r="S24" s="175"/>
      <c r="T24" s="175"/>
      <c r="U24" s="175"/>
      <c r="V24" s="175"/>
      <c r="W24" s="175"/>
      <c r="X24" s="176">
        <f t="shared" si="0"/>
        <v>271.13</v>
      </c>
      <c r="Y24" s="235" t="s">
        <v>294</v>
      </c>
      <c r="Z24" s="187"/>
      <c r="AA24" s="177">
        <v>90</v>
      </c>
      <c r="AB24" s="177"/>
      <c r="AC24" s="188"/>
      <c r="AD24" s="187"/>
      <c r="AE24" s="188"/>
      <c r="AF24" s="187"/>
      <c r="AG24" s="188"/>
      <c r="AH24" s="417">
        <f t="shared" si="3"/>
        <v>244.017</v>
      </c>
      <c r="AI24" s="178"/>
      <c r="AJ24" s="177"/>
      <c r="AK24" s="177"/>
      <c r="AL24" s="177"/>
      <c r="AM24" s="177"/>
      <c r="AN24" s="177">
        <f>X24*AA24/100</f>
        <v>244.017</v>
      </c>
      <c r="AO24" s="177"/>
      <c r="AP24" s="177"/>
      <c r="AQ24" s="188"/>
      <c r="AR24" s="159"/>
      <c r="AS24" s="469"/>
    </row>
    <row r="25" spans="1:45" x14ac:dyDescent="0.25">
      <c r="A25" s="190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6"/>
      <c r="Y25" s="235" t="s">
        <v>296</v>
      </c>
      <c r="Z25" s="187"/>
      <c r="AA25" s="177">
        <v>90</v>
      </c>
      <c r="AB25" s="177"/>
      <c r="AC25" s="188"/>
      <c r="AD25" s="187"/>
      <c r="AE25" s="188"/>
      <c r="AF25" s="187"/>
      <c r="AG25" s="188"/>
      <c r="AH25" s="417">
        <f t="shared" si="3"/>
        <v>0</v>
      </c>
      <c r="AI25" s="178"/>
      <c r="AJ25" s="177"/>
      <c r="AK25" s="177"/>
      <c r="AL25" s="177"/>
      <c r="AM25" s="177"/>
      <c r="AN25" s="177">
        <f>X25*AA25/100</f>
        <v>0</v>
      </c>
      <c r="AO25" s="177"/>
      <c r="AP25" s="177"/>
      <c r="AQ25" s="188"/>
      <c r="AR25" s="255"/>
      <c r="AS25" s="469"/>
    </row>
    <row r="26" spans="1:45" x14ac:dyDescent="0.25">
      <c r="A26" s="190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7"/>
      <c r="O26" s="175"/>
      <c r="P26" s="175"/>
      <c r="Q26" s="175"/>
      <c r="R26" s="175"/>
      <c r="S26" s="175"/>
      <c r="T26" s="175"/>
      <c r="U26" s="175"/>
      <c r="V26" s="175"/>
      <c r="W26" s="175"/>
      <c r="X26" s="176">
        <f t="shared" si="0"/>
        <v>0</v>
      </c>
      <c r="Y26" s="234" t="s">
        <v>131</v>
      </c>
      <c r="Z26" s="177">
        <v>100</v>
      </c>
      <c r="AA26" s="177"/>
      <c r="AB26" s="177"/>
      <c r="AC26" s="188"/>
      <c r="AD26" s="187">
        <f>X26*Z26/100</f>
        <v>0</v>
      </c>
      <c r="AE26" s="188"/>
      <c r="AF26" s="187"/>
      <c r="AG26" s="188"/>
      <c r="AH26" s="417">
        <f t="shared" si="3"/>
        <v>0</v>
      </c>
      <c r="AI26" s="178"/>
      <c r="AJ26" s="177"/>
      <c r="AK26" s="177"/>
      <c r="AL26" s="177"/>
      <c r="AM26" s="177"/>
      <c r="AN26" s="177"/>
      <c r="AO26" s="177"/>
      <c r="AP26" s="177"/>
      <c r="AQ26" s="188"/>
      <c r="AR26" s="159"/>
      <c r="AS26" s="159"/>
    </row>
    <row r="27" spans="1:45" x14ac:dyDescent="0.25">
      <c r="A27" s="190"/>
      <c r="B27" s="175"/>
      <c r="C27" s="175"/>
      <c r="D27" s="175"/>
      <c r="E27" s="175"/>
      <c r="F27" s="175"/>
      <c r="G27" s="175"/>
      <c r="H27" s="175"/>
      <c r="I27" s="175"/>
      <c r="J27" s="238">
        <v>25</v>
      </c>
      <c r="K27" s="175"/>
      <c r="L27" s="175"/>
      <c r="M27" s="175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6">
        <f t="shared" si="0"/>
        <v>25</v>
      </c>
      <c r="Y27" s="235" t="s">
        <v>135</v>
      </c>
      <c r="Z27" s="177">
        <v>100</v>
      </c>
      <c r="AA27" s="177"/>
      <c r="AB27" s="177"/>
      <c r="AC27" s="188"/>
      <c r="AD27" s="187">
        <f>Z27*X27/100</f>
        <v>25</v>
      </c>
      <c r="AE27" s="188"/>
      <c r="AF27" s="187"/>
      <c r="AG27" s="188"/>
      <c r="AH27" s="417">
        <f t="shared" si="3"/>
        <v>0</v>
      </c>
      <c r="AI27" s="178"/>
      <c r="AJ27" s="177"/>
      <c r="AK27" s="177"/>
      <c r="AL27" s="177"/>
      <c r="AM27" s="177"/>
      <c r="AN27" s="177"/>
      <c r="AO27" s="177"/>
      <c r="AP27" s="177"/>
      <c r="AQ27" s="188"/>
      <c r="AR27" s="159"/>
      <c r="AS27" s="159"/>
    </row>
    <row r="28" spans="1:45" x14ac:dyDescent="0.25">
      <c r="A28" s="190"/>
      <c r="B28" s="175"/>
      <c r="C28" s="175"/>
      <c r="D28" s="175"/>
      <c r="E28" s="175"/>
      <c r="F28" s="175"/>
      <c r="G28" s="175"/>
      <c r="H28" s="175"/>
      <c r="I28" s="175"/>
      <c r="J28" s="238"/>
      <c r="K28" s="175"/>
      <c r="L28" s="175"/>
      <c r="M28" s="175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6">
        <f t="shared" si="0"/>
        <v>0</v>
      </c>
      <c r="Y28" s="235" t="s">
        <v>137</v>
      </c>
      <c r="Z28" s="187">
        <v>100</v>
      </c>
      <c r="AA28" s="177"/>
      <c r="AB28" s="177"/>
      <c r="AC28" s="188"/>
      <c r="AD28" s="187">
        <f>Z28*X28/100</f>
        <v>0</v>
      </c>
      <c r="AE28" s="188"/>
      <c r="AF28" s="187"/>
      <c r="AG28" s="188"/>
      <c r="AH28" s="417">
        <f t="shared" si="3"/>
        <v>0</v>
      </c>
      <c r="AI28" s="178"/>
      <c r="AJ28" s="177"/>
      <c r="AK28" s="177"/>
      <c r="AL28" s="177"/>
      <c r="AM28" s="177"/>
      <c r="AN28" s="177"/>
      <c r="AO28" s="177"/>
      <c r="AP28" s="177"/>
      <c r="AQ28" s="188"/>
      <c r="AR28" s="159"/>
      <c r="AS28" s="159"/>
    </row>
    <row r="29" spans="1:45" x14ac:dyDescent="0.25">
      <c r="A29" s="190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6">
        <f t="shared" si="0"/>
        <v>0</v>
      </c>
      <c r="Y29" s="234" t="s">
        <v>139</v>
      </c>
      <c r="Z29" s="177">
        <v>100</v>
      </c>
      <c r="AA29" s="177"/>
      <c r="AB29" s="177"/>
      <c r="AC29" s="188"/>
      <c r="AD29" s="187">
        <v>64.093484992816258</v>
      </c>
      <c r="AE29" s="188"/>
      <c r="AF29" s="187"/>
      <c r="AG29" s="188"/>
      <c r="AH29" s="417">
        <f t="shared" si="3"/>
        <v>0</v>
      </c>
      <c r="AI29" s="178"/>
      <c r="AJ29" s="177"/>
      <c r="AK29" s="177"/>
      <c r="AL29" s="177"/>
      <c r="AM29" s="177"/>
      <c r="AN29" s="177"/>
      <c r="AO29" s="177"/>
      <c r="AP29" s="177"/>
      <c r="AQ29" s="188"/>
      <c r="AR29" s="159"/>
      <c r="AS29" s="159"/>
    </row>
    <row r="30" spans="1:45" x14ac:dyDescent="0.25">
      <c r="A30" s="190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6">
        <f t="shared" si="0"/>
        <v>0</v>
      </c>
      <c r="Y30" s="234" t="s">
        <v>141</v>
      </c>
      <c r="Z30" s="177">
        <v>100</v>
      </c>
      <c r="AA30" s="177"/>
      <c r="AB30" s="177"/>
      <c r="AC30" s="188"/>
      <c r="AD30" s="187">
        <f>Z30*X30/100</f>
        <v>0</v>
      </c>
      <c r="AE30" s="188"/>
      <c r="AF30" s="187"/>
      <c r="AG30" s="188"/>
      <c r="AH30" s="417">
        <f t="shared" si="3"/>
        <v>0</v>
      </c>
      <c r="AI30" s="178"/>
      <c r="AJ30" s="177"/>
      <c r="AK30" s="177"/>
      <c r="AL30" s="177"/>
      <c r="AM30" s="177"/>
      <c r="AN30" s="177"/>
      <c r="AO30" s="177"/>
      <c r="AP30" s="177"/>
      <c r="AQ30" s="188"/>
      <c r="AR30" s="159"/>
      <c r="AS30" s="159"/>
    </row>
    <row r="31" spans="1:45" x14ac:dyDescent="0.25">
      <c r="A31" s="174"/>
      <c r="B31" s="177"/>
      <c r="C31" s="177"/>
      <c r="D31" s="177"/>
      <c r="E31" s="177"/>
      <c r="F31" s="177"/>
      <c r="G31" s="177"/>
      <c r="H31" s="177"/>
      <c r="I31" s="177">
        <f>-(O31+T31)*AA31%</f>
        <v>0</v>
      </c>
      <c r="J31" s="238"/>
      <c r="K31" s="175"/>
      <c r="L31" s="175"/>
      <c r="M31" s="175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6">
        <f t="shared" si="0"/>
        <v>0</v>
      </c>
      <c r="Y31" s="239" t="s">
        <v>462</v>
      </c>
      <c r="Z31" s="174"/>
      <c r="AA31" s="175"/>
      <c r="AB31" s="175"/>
      <c r="AC31" s="176"/>
      <c r="AD31" s="190"/>
      <c r="AE31" s="176"/>
      <c r="AF31" s="190"/>
      <c r="AG31" s="176"/>
      <c r="AH31" s="421"/>
      <c r="AI31" s="174"/>
      <c r="AJ31" s="175"/>
      <c r="AK31" s="175"/>
      <c r="AL31" s="175"/>
      <c r="AM31" s="175"/>
      <c r="AN31" s="175"/>
      <c r="AO31" s="175"/>
      <c r="AP31" s="175"/>
      <c r="AQ31" s="176"/>
      <c r="AR31" s="159"/>
      <c r="AS31" s="159"/>
    </row>
    <row r="32" spans="1:45" x14ac:dyDescent="0.2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6">
        <f t="shared" si="0"/>
        <v>0</v>
      </c>
      <c r="Y32" s="239" t="s">
        <v>463</v>
      </c>
      <c r="Z32" s="190"/>
      <c r="AA32" s="175"/>
      <c r="AB32" s="175"/>
      <c r="AC32" s="176"/>
      <c r="AD32" s="187">
        <f>X32*Z32/100</f>
        <v>0</v>
      </c>
      <c r="AE32" s="188"/>
      <c r="AF32" s="187">
        <f>X32*AB32/100</f>
        <v>0</v>
      </c>
      <c r="AG32" s="188"/>
      <c r="AH32" s="417">
        <f>SUM(AI32:AQ32)</f>
        <v>0</v>
      </c>
      <c r="AI32" s="178"/>
      <c r="AJ32" s="175"/>
      <c r="AK32" s="175"/>
      <c r="AL32" s="175"/>
      <c r="AM32" s="175"/>
      <c r="AN32" s="175"/>
      <c r="AO32" s="175"/>
      <c r="AP32" s="175"/>
      <c r="AQ32" s="188"/>
      <c r="AR32" s="159"/>
      <c r="AS32" s="159"/>
    </row>
    <row r="33" spans="1:45" x14ac:dyDescent="0.2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241"/>
      <c r="O33" s="175"/>
      <c r="P33" s="175"/>
      <c r="Q33" s="175"/>
      <c r="R33" s="175"/>
      <c r="S33" s="175"/>
      <c r="T33" s="175"/>
      <c r="U33" s="175"/>
      <c r="V33" s="175"/>
      <c r="W33" s="175"/>
      <c r="X33" s="176">
        <f t="shared" si="0"/>
        <v>0</v>
      </c>
      <c r="Y33" s="234" t="s">
        <v>145</v>
      </c>
      <c r="Z33" s="190"/>
      <c r="AA33" s="175"/>
      <c r="AB33" s="175"/>
      <c r="AC33" s="188"/>
      <c r="AD33" s="187">
        <f>X33*Z33/100</f>
        <v>0</v>
      </c>
      <c r="AE33" s="188"/>
      <c r="AF33" s="187">
        <f>X33*AB33/100</f>
        <v>0</v>
      </c>
      <c r="AG33" s="188"/>
      <c r="AH33" s="417">
        <f t="shared" si="3"/>
        <v>0</v>
      </c>
      <c r="AI33" s="178"/>
      <c r="AJ33" s="177"/>
      <c r="AK33" s="177"/>
      <c r="AL33" s="177"/>
      <c r="AM33" s="177"/>
      <c r="AN33" s="177"/>
      <c r="AO33" s="177"/>
      <c r="AP33" s="177"/>
      <c r="AQ33" s="188"/>
      <c r="AR33" s="159"/>
      <c r="AS33" s="159"/>
    </row>
    <row r="34" spans="1:45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241"/>
      <c r="O34" s="175"/>
      <c r="P34" s="175"/>
      <c r="Q34" s="175"/>
      <c r="R34" s="175"/>
      <c r="S34" s="175"/>
      <c r="T34" s="175"/>
      <c r="U34" s="175"/>
      <c r="V34" s="175"/>
      <c r="W34" s="175"/>
      <c r="X34" s="176">
        <f t="shared" si="0"/>
        <v>0</v>
      </c>
      <c r="Y34" s="234" t="s">
        <v>147</v>
      </c>
      <c r="Z34" s="190"/>
      <c r="AA34" s="175"/>
      <c r="AB34" s="175"/>
      <c r="AC34" s="188"/>
      <c r="AD34" s="187">
        <f>X34*Z34/100</f>
        <v>0</v>
      </c>
      <c r="AE34" s="188"/>
      <c r="AF34" s="187">
        <f>X34*AB34</f>
        <v>0</v>
      </c>
      <c r="AG34" s="188"/>
      <c r="AH34" s="417">
        <f t="shared" si="3"/>
        <v>0</v>
      </c>
      <c r="AI34" s="178"/>
      <c r="AJ34" s="177"/>
      <c r="AK34" s="177"/>
      <c r="AL34" s="177"/>
      <c r="AM34" s="177"/>
      <c r="AN34" s="177"/>
      <c r="AO34" s="177"/>
      <c r="AP34" s="177"/>
      <c r="AQ34" s="188"/>
      <c r="AR34" s="159"/>
      <c r="AS34" s="159"/>
    </row>
    <row r="35" spans="1:45" x14ac:dyDescent="0.25">
      <c r="A35" s="175"/>
      <c r="B35" s="175"/>
      <c r="C35" s="175"/>
      <c r="D35" s="175"/>
      <c r="E35" s="193"/>
      <c r="F35" s="175"/>
      <c r="G35" s="175"/>
      <c r="H35" s="175"/>
      <c r="I35" s="175"/>
      <c r="J35" s="175"/>
      <c r="K35" s="175"/>
      <c r="L35" s="175"/>
      <c r="M35" s="175"/>
      <c r="N35" s="241"/>
      <c r="O35" s="175"/>
      <c r="P35" s="175"/>
      <c r="Q35" s="175"/>
      <c r="R35" s="175"/>
      <c r="S35" s="175"/>
      <c r="T35" s="175"/>
      <c r="U35" s="175"/>
      <c r="V35" s="175"/>
      <c r="W35" s="175"/>
      <c r="X35" s="176">
        <f t="shared" si="0"/>
        <v>0</v>
      </c>
      <c r="Y35" s="234" t="s">
        <v>149</v>
      </c>
      <c r="Z35" s="190"/>
      <c r="AA35" s="175"/>
      <c r="AB35" s="175"/>
      <c r="AC35" s="188"/>
      <c r="AD35" s="187">
        <f>X35*Z35/100</f>
        <v>0</v>
      </c>
      <c r="AE35" s="188"/>
      <c r="AF35" s="187">
        <f>X35*AB35</f>
        <v>0</v>
      </c>
      <c r="AG35" s="188"/>
      <c r="AH35" s="417">
        <f t="shared" si="3"/>
        <v>0</v>
      </c>
      <c r="AI35" s="178"/>
      <c r="AJ35" s="177"/>
      <c r="AK35" s="177"/>
      <c r="AL35" s="177"/>
      <c r="AM35" s="177"/>
      <c r="AN35" s="177"/>
      <c r="AO35" s="177"/>
      <c r="AP35" s="177"/>
      <c r="AQ35" s="188"/>
      <c r="AR35" s="159"/>
      <c r="AS35" s="159"/>
    </row>
    <row r="36" spans="1:45" x14ac:dyDescent="0.2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241"/>
      <c r="O36" s="175"/>
      <c r="P36" s="175"/>
      <c r="Q36" s="175"/>
      <c r="R36" s="175"/>
      <c r="S36" s="175"/>
      <c r="T36" s="175"/>
      <c r="U36" s="175"/>
      <c r="V36" s="175"/>
      <c r="W36" s="175"/>
      <c r="X36" s="176">
        <f t="shared" si="0"/>
        <v>0</v>
      </c>
      <c r="Y36" s="234" t="s">
        <v>151</v>
      </c>
      <c r="Z36" s="190"/>
      <c r="AA36" s="175"/>
      <c r="AB36" s="175"/>
      <c r="AC36" s="188"/>
      <c r="AD36" s="187"/>
      <c r="AE36" s="188"/>
      <c r="AF36" s="187">
        <f>X36*AB36/100</f>
        <v>0</v>
      </c>
      <c r="AG36" s="188"/>
      <c r="AH36" s="417">
        <f t="shared" si="3"/>
        <v>0</v>
      </c>
      <c r="AI36" s="178"/>
      <c r="AJ36" s="177"/>
      <c r="AK36" s="177"/>
      <c r="AL36" s="177"/>
      <c r="AM36" s="177"/>
      <c r="AN36" s="177"/>
      <c r="AO36" s="177"/>
      <c r="AP36" s="177"/>
      <c r="AQ36" s="188"/>
      <c r="AR36" s="159"/>
      <c r="AS36" s="159"/>
    </row>
    <row r="37" spans="1:45" x14ac:dyDescent="0.25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7">
        <f>AF37-AE37</f>
        <v>0</v>
      </c>
      <c r="O37" s="175"/>
      <c r="P37" s="175"/>
      <c r="Q37" s="175"/>
      <c r="R37" s="175"/>
      <c r="S37" s="175"/>
      <c r="T37" s="175"/>
      <c r="U37" s="175"/>
      <c r="V37" s="175"/>
      <c r="W37" s="175"/>
      <c r="X37" s="176">
        <f t="shared" si="0"/>
        <v>0</v>
      </c>
      <c r="Y37" s="239" t="s">
        <v>153</v>
      </c>
      <c r="Z37" s="187"/>
      <c r="AA37" s="177"/>
      <c r="AB37" s="177"/>
      <c r="AC37" s="188"/>
      <c r="AD37" s="190">
        <f>-AE37/$D$2%</f>
        <v>0</v>
      </c>
      <c r="AE37" s="194"/>
      <c r="AF37" s="195">
        <f>AE37*AB37%</f>
        <v>0</v>
      </c>
      <c r="AG37" s="176"/>
      <c r="AH37" s="421"/>
      <c r="AI37" s="174"/>
      <c r="AJ37" s="174"/>
      <c r="AK37" s="175"/>
      <c r="AL37" s="175"/>
      <c r="AM37" s="175"/>
      <c r="AN37" s="175"/>
      <c r="AO37" s="175"/>
      <c r="AP37" s="175"/>
      <c r="AQ37" s="176"/>
      <c r="AR37" s="159"/>
      <c r="AS37" s="159"/>
    </row>
    <row r="38" spans="1:45" x14ac:dyDescent="0.25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6">
        <f t="shared" si="0"/>
        <v>0</v>
      </c>
      <c r="Y38" s="239" t="s">
        <v>155</v>
      </c>
      <c r="Z38" s="187"/>
      <c r="AA38" s="177"/>
      <c r="AB38" s="177"/>
      <c r="AC38" s="188"/>
      <c r="AD38" s="190">
        <f>-AE38/$D$2%</f>
        <v>0</v>
      </c>
      <c r="AE38" s="188"/>
      <c r="AF38" s="187">
        <f>AE38*AB38%</f>
        <v>0</v>
      </c>
      <c r="AG38" s="176"/>
      <c r="AH38" s="421"/>
      <c r="AI38" s="174"/>
      <c r="AJ38" s="174"/>
      <c r="AK38" s="175"/>
      <c r="AL38" s="175"/>
      <c r="AM38" s="175"/>
      <c r="AN38" s="175"/>
      <c r="AO38" s="175"/>
      <c r="AP38" s="175"/>
      <c r="AQ38" s="176"/>
      <c r="AR38" s="159"/>
      <c r="AS38" s="159"/>
    </row>
    <row r="39" spans="1:45" x14ac:dyDescent="0.25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241"/>
      <c r="O39" s="175"/>
      <c r="P39" s="175"/>
      <c r="Q39" s="175"/>
      <c r="R39" s="175"/>
      <c r="S39" s="175"/>
      <c r="T39" s="175"/>
      <c r="U39" s="175"/>
      <c r="V39" s="175"/>
      <c r="W39" s="175"/>
      <c r="X39" s="176">
        <f t="shared" si="0"/>
        <v>0</v>
      </c>
      <c r="Y39" s="235" t="s">
        <v>157</v>
      </c>
      <c r="Z39" s="190"/>
      <c r="AA39" s="175"/>
      <c r="AB39" s="175"/>
      <c r="AC39" s="176">
        <v>77.2</v>
      </c>
      <c r="AD39" s="187"/>
      <c r="AE39" s="188"/>
      <c r="AF39" s="187">
        <f>-SUM(AF33:AF36)</f>
        <v>0</v>
      </c>
      <c r="AG39" s="188">
        <f>-AF39*AC39/100</f>
        <v>0</v>
      </c>
      <c r="AH39" s="417">
        <f t="shared" si="3"/>
        <v>0</v>
      </c>
      <c r="AI39" s="178">
        <f>AG39*63.5%</f>
        <v>0</v>
      </c>
      <c r="AJ39" s="178">
        <f>AG39*9.3%</f>
        <v>0</v>
      </c>
      <c r="AK39" s="177">
        <f>AG39*12.9%</f>
        <v>0</v>
      </c>
      <c r="AL39" s="177">
        <f>AG39*7.1%</f>
        <v>0</v>
      </c>
      <c r="AM39" s="177">
        <f>AG39*0%</f>
        <v>0</v>
      </c>
      <c r="AN39" s="177">
        <f>AG39*5.2%</f>
        <v>0</v>
      </c>
      <c r="AO39" s="177">
        <f>AG39*2%</f>
        <v>0</v>
      </c>
      <c r="AP39" s="177"/>
      <c r="AQ39" s="188"/>
      <c r="AR39" s="159"/>
      <c r="AS39" s="159"/>
    </row>
    <row r="40" spans="1:45" x14ac:dyDescent="0.25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241"/>
      <c r="O40" s="175"/>
      <c r="P40" s="175"/>
      <c r="Q40" s="175"/>
      <c r="R40" s="175"/>
      <c r="S40" s="175"/>
      <c r="T40" s="175"/>
      <c r="U40" s="175"/>
      <c r="V40" s="175"/>
      <c r="W40" s="175"/>
      <c r="X40" s="176">
        <f t="shared" si="0"/>
        <v>0</v>
      </c>
      <c r="Y40" s="234" t="s">
        <v>163</v>
      </c>
      <c r="Z40" s="190"/>
      <c r="AA40" s="175"/>
      <c r="AB40" s="175"/>
      <c r="AC40" s="176"/>
      <c r="AD40" s="187">
        <f>X40*Z40/100</f>
        <v>0</v>
      </c>
      <c r="AE40" s="188"/>
      <c r="AF40" s="187">
        <f>X40*AB40/100</f>
        <v>0</v>
      </c>
      <c r="AG40" s="188"/>
      <c r="AH40" s="417">
        <f t="shared" si="3"/>
        <v>0</v>
      </c>
      <c r="AI40" s="174"/>
      <c r="AJ40" s="175"/>
      <c r="AK40" s="175"/>
      <c r="AL40" s="175"/>
      <c r="AM40" s="175"/>
      <c r="AN40" s="175"/>
      <c r="AO40" s="175"/>
      <c r="AP40" s="177"/>
      <c r="AQ40" s="188"/>
      <c r="AR40" s="159"/>
      <c r="AS40" s="159"/>
    </row>
    <row r="41" spans="1:45" x14ac:dyDescent="0.25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241"/>
      <c r="O41" s="175"/>
      <c r="P41" s="175"/>
      <c r="Q41" s="175"/>
      <c r="R41" s="175"/>
      <c r="S41" s="175"/>
      <c r="T41" s="175"/>
      <c r="U41" s="175"/>
      <c r="V41" s="175"/>
      <c r="W41" s="175"/>
      <c r="X41" s="176">
        <f t="shared" si="0"/>
        <v>0</v>
      </c>
      <c r="Y41" s="234" t="s">
        <v>165</v>
      </c>
      <c r="Z41" s="190"/>
      <c r="AA41" s="175"/>
      <c r="AB41" s="175"/>
      <c r="AC41" s="176"/>
      <c r="AD41" s="187">
        <f>X41*Z41/100</f>
        <v>0</v>
      </c>
      <c r="AE41" s="188"/>
      <c r="AF41" s="187">
        <f>X41*AB41/100</f>
        <v>0</v>
      </c>
      <c r="AG41" s="188"/>
      <c r="AH41" s="417">
        <f t="shared" si="3"/>
        <v>0</v>
      </c>
      <c r="AI41" s="174"/>
      <c r="AJ41" s="175"/>
      <c r="AK41" s="175"/>
      <c r="AL41" s="175"/>
      <c r="AM41" s="175"/>
      <c r="AN41" s="175"/>
      <c r="AO41" s="175"/>
      <c r="AP41" s="177"/>
      <c r="AQ41" s="188"/>
      <c r="AR41" s="159"/>
      <c r="AS41" s="159"/>
    </row>
    <row r="42" spans="1:45" x14ac:dyDescent="0.25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241"/>
      <c r="O42" s="175"/>
      <c r="P42" s="175"/>
      <c r="Q42" s="175"/>
      <c r="R42" s="175"/>
      <c r="S42" s="175"/>
      <c r="T42" s="175"/>
      <c r="U42" s="175"/>
      <c r="V42" s="175"/>
      <c r="W42" s="175"/>
      <c r="X42" s="176">
        <f t="shared" si="0"/>
        <v>0</v>
      </c>
      <c r="Y42" s="234" t="s">
        <v>167</v>
      </c>
      <c r="Z42" s="190"/>
      <c r="AA42" s="175"/>
      <c r="AB42" s="175"/>
      <c r="AC42" s="176"/>
      <c r="AD42" s="187">
        <f>X42*Z42/100</f>
        <v>0</v>
      </c>
      <c r="AE42" s="188"/>
      <c r="AF42" s="187">
        <f>X42*AB42/100</f>
        <v>0</v>
      </c>
      <c r="AG42" s="188"/>
      <c r="AH42" s="417">
        <f t="shared" si="3"/>
        <v>0</v>
      </c>
      <c r="AI42" s="174"/>
      <c r="AJ42" s="175"/>
      <c r="AK42" s="175"/>
      <c r="AL42" s="175"/>
      <c r="AM42" s="175"/>
      <c r="AN42" s="175"/>
      <c r="AO42" s="175"/>
      <c r="AP42" s="177"/>
      <c r="AQ42" s="188"/>
      <c r="AR42" s="159"/>
      <c r="AS42" s="159"/>
    </row>
    <row r="43" spans="1:45" x14ac:dyDescent="0.25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241"/>
      <c r="O43" s="175"/>
      <c r="P43" s="175"/>
      <c r="Q43" s="175"/>
      <c r="R43" s="175"/>
      <c r="S43" s="175"/>
      <c r="T43" s="175"/>
      <c r="U43" s="175"/>
      <c r="V43" s="175"/>
      <c r="W43" s="175"/>
      <c r="X43" s="176">
        <f t="shared" si="0"/>
        <v>0</v>
      </c>
      <c r="Y43" s="235" t="s">
        <v>169</v>
      </c>
      <c r="Z43" s="190"/>
      <c r="AA43" s="175"/>
      <c r="AB43" s="175"/>
      <c r="AC43" s="176">
        <v>77.2</v>
      </c>
      <c r="AD43" s="187"/>
      <c r="AE43" s="188"/>
      <c r="AF43" s="187">
        <f>-SUM(AF40:AF42)</f>
        <v>0</v>
      </c>
      <c r="AG43" s="188">
        <f>-AF43*AC43/100</f>
        <v>0</v>
      </c>
      <c r="AH43" s="417">
        <f t="shared" si="3"/>
        <v>0</v>
      </c>
      <c r="AI43" s="178">
        <f>AG43*63.5%</f>
        <v>0</v>
      </c>
      <c r="AJ43" s="178">
        <f>AG43*9.3%</f>
        <v>0</v>
      </c>
      <c r="AK43" s="177">
        <f>AG43*12.9%</f>
        <v>0</v>
      </c>
      <c r="AL43" s="177">
        <f>AG43*7.1%</f>
        <v>0</v>
      </c>
      <c r="AM43" s="177">
        <f>AG43*0%</f>
        <v>0</v>
      </c>
      <c r="AN43" s="177">
        <f>AG43*5.2%</f>
        <v>0</v>
      </c>
      <c r="AO43" s="177">
        <f>AG43*2%</f>
        <v>0</v>
      </c>
      <c r="AP43" s="177"/>
      <c r="AQ43" s="188"/>
      <c r="AR43" s="159"/>
      <c r="AS43" s="159"/>
    </row>
    <row r="44" spans="1:45" x14ac:dyDescent="0.25">
      <c r="A44" s="175"/>
      <c r="B44" s="175"/>
      <c r="C44" s="422"/>
      <c r="D44" s="175"/>
      <c r="E44" s="422"/>
      <c r="F44" s="175"/>
      <c r="G44" s="175"/>
      <c r="H44" s="175"/>
      <c r="I44" s="138"/>
      <c r="J44" s="175"/>
      <c r="K44" s="175"/>
      <c r="L44" s="175"/>
      <c r="M44" s="175"/>
      <c r="N44" s="241"/>
      <c r="O44" s="175"/>
      <c r="P44" s="175"/>
      <c r="Q44" s="175"/>
      <c r="R44" s="175"/>
      <c r="S44" s="175"/>
      <c r="T44" s="175"/>
      <c r="U44" s="175"/>
      <c r="V44" s="175"/>
      <c r="W44" s="175"/>
      <c r="X44" s="176">
        <f t="shared" si="0"/>
        <v>0</v>
      </c>
      <c r="Y44" s="234" t="s">
        <v>173</v>
      </c>
      <c r="Z44" s="190"/>
      <c r="AA44" s="175"/>
      <c r="AB44" s="175"/>
      <c r="AC44" s="176"/>
      <c r="AD44" s="187">
        <f>X44*Z44/100</f>
        <v>0</v>
      </c>
      <c r="AE44" s="188"/>
      <c r="AF44" s="187">
        <f t="shared" ref="AF44:AF51" si="5">X44*AB44/100</f>
        <v>0</v>
      </c>
      <c r="AG44" s="188"/>
      <c r="AH44" s="417">
        <f t="shared" si="3"/>
        <v>0</v>
      </c>
      <c r="AI44" s="178"/>
      <c r="AJ44" s="177"/>
      <c r="AK44" s="177"/>
      <c r="AL44" s="177"/>
      <c r="AM44" s="177"/>
      <c r="AN44" s="177"/>
      <c r="AO44" s="177"/>
      <c r="AP44" s="177"/>
      <c r="AQ44" s="188"/>
      <c r="AR44" s="159"/>
      <c r="AS44" s="159"/>
    </row>
    <row r="45" spans="1:45" x14ac:dyDescent="0.25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241"/>
      <c r="O45" s="175"/>
      <c r="P45" s="175"/>
      <c r="Q45" s="175"/>
      <c r="R45" s="175"/>
      <c r="S45" s="175"/>
      <c r="T45" s="175"/>
      <c r="U45" s="175"/>
      <c r="V45" s="175"/>
      <c r="W45" s="175"/>
      <c r="X45" s="176">
        <f t="shared" si="0"/>
        <v>0</v>
      </c>
      <c r="Y45" s="234" t="s">
        <v>175</v>
      </c>
      <c r="Z45" s="190"/>
      <c r="AA45" s="175"/>
      <c r="AB45" s="175"/>
      <c r="AC45" s="176"/>
      <c r="AD45" s="187">
        <f>X45*Z45/100</f>
        <v>0</v>
      </c>
      <c r="AE45" s="188"/>
      <c r="AF45" s="187">
        <f t="shared" si="5"/>
        <v>0</v>
      </c>
      <c r="AG45" s="188"/>
      <c r="AH45" s="417">
        <f t="shared" si="3"/>
        <v>0</v>
      </c>
      <c r="AI45" s="178"/>
      <c r="AJ45" s="177"/>
      <c r="AK45" s="177"/>
      <c r="AL45" s="177"/>
      <c r="AM45" s="177"/>
      <c r="AN45" s="177"/>
      <c r="AO45" s="177"/>
      <c r="AP45" s="177"/>
      <c r="AQ45" s="188"/>
      <c r="AR45" s="159"/>
      <c r="AS45" s="159"/>
    </row>
    <row r="46" spans="1:45" x14ac:dyDescent="0.25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241"/>
      <c r="O46" s="175"/>
      <c r="P46" s="175"/>
      <c r="Q46" s="175"/>
      <c r="R46" s="175"/>
      <c r="S46" s="423"/>
      <c r="T46" s="175"/>
      <c r="U46" s="175"/>
      <c r="V46" s="175"/>
      <c r="W46" s="175"/>
      <c r="X46" s="176">
        <f t="shared" si="0"/>
        <v>0</v>
      </c>
      <c r="Y46" s="235" t="s">
        <v>177</v>
      </c>
      <c r="Z46" s="190"/>
      <c r="AA46" s="175"/>
      <c r="AB46" s="175"/>
      <c r="AC46" s="176"/>
      <c r="AD46" s="187">
        <f>X46*Z46/100</f>
        <v>0</v>
      </c>
      <c r="AE46" s="188"/>
      <c r="AF46" s="187">
        <f t="shared" si="5"/>
        <v>0</v>
      </c>
      <c r="AG46" s="188"/>
      <c r="AH46" s="417">
        <f t="shared" si="3"/>
        <v>0</v>
      </c>
      <c r="AI46" s="178"/>
      <c r="AJ46" s="177"/>
      <c r="AK46" s="177"/>
      <c r="AL46" s="177"/>
      <c r="AM46" s="177"/>
      <c r="AN46" s="177"/>
      <c r="AO46" s="177"/>
      <c r="AP46" s="177"/>
      <c r="AQ46" s="188"/>
      <c r="AR46" s="159"/>
      <c r="AS46" s="159"/>
    </row>
    <row r="47" spans="1:45" x14ac:dyDescent="0.25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241"/>
      <c r="O47" s="175"/>
      <c r="P47" s="175"/>
      <c r="Q47" s="175"/>
      <c r="R47" s="175"/>
      <c r="S47" s="175"/>
      <c r="T47" s="175"/>
      <c r="U47" s="175"/>
      <c r="V47" s="175"/>
      <c r="W47" s="175"/>
      <c r="X47" s="176">
        <f t="shared" si="0"/>
        <v>0</v>
      </c>
      <c r="Y47" s="235" t="s">
        <v>179</v>
      </c>
      <c r="Z47" s="190"/>
      <c r="AA47" s="175"/>
      <c r="AB47" s="175"/>
      <c r="AC47" s="176"/>
      <c r="AD47" s="187">
        <f>X47*Z47/100</f>
        <v>0</v>
      </c>
      <c r="AE47" s="188"/>
      <c r="AF47" s="187">
        <f t="shared" si="5"/>
        <v>0</v>
      </c>
      <c r="AG47" s="188"/>
      <c r="AH47" s="417">
        <f t="shared" si="3"/>
        <v>0</v>
      </c>
      <c r="AI47" s="178"/>
      <c r="AJ47" s="177"/>
      <c r="AK47" s="177"/>
      <c r="AL47" s="177"/>
      <c r="AM47" s="177"/>
      <c r="AN47" s="177"/>
      <c r="AO47" s="177"/>
      <c r="AP47" s="177"/>
      <c r="AQ47" s="188"/>
      <c r="AR47" s="159"/>
      <c r="AS47" s="159"/>
    </row>
    <row r="48" spans="1:45" x14ac:dyDescent="0.2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>
        <f>AH48-AE48</f>
        <v>0</v>
      </c>
      <c r="O48" s="177"/>
      <c r="P48" s="177"/>
      <c r="Q48" s="177"/>
      <c r="R48" s="177"/>
      <c r="S48" s="177"/>
      <c r="T48" s="177"/>
      <c r="U48" s="177"/>
      <c r="V48" s="177"/>
      <c r="W48" s="177"/>
      <c r="X48" s="176">
        <f t="shared" si="0"/>
        <v>0</v>
      </c>
      <c r="Y48" s="235" t="s">
        <v>181</v>
      </c>
      <c r="Z48" s="187"/>
      <c r="AA48" s="177"/>
      <c r="AB48" s="177"/>
      <c r="AC48" s="188"/>
      <c r="AD48" s="190">
        <f>-AG48/$D$2%</f>
        <v>0</v>
      </c>
      <c r="AE48" s="176"/>
      <c r="AF48" s="187">
        <f>X48*AB48/100</f>
        <v>0</v>
      </c>
      <c r="AG48" s="176"/>
      <c r="AH48" s="421"/>
      <c r="AI48" s="174"/>
      <c r="AJ48" s="175"/>
      <c r="AK48" s="175"/>
      <c r="AL48" s="175"/>
      <c r="AM48" s="175"/>
      <c r="AN48" s="175"/>
      <c r="AO48" s="175"/>
      <c r="AP48" s="175"/>
      <c r="AQ48" s="176"/>
      <c r="AR48" s="159"/>
      <c r="AS48" s="159"/>
    </row>
    <row r="49" spans="1:45" x14ac:dyDescent="0.2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6">
        <f t="shared" si="0"/>
        <v>0</v>
      </c>
      <c r="Y49" s="235" t="s">
        <v>183</v>
      </c>
      <c r="Z49" s="187"/>
      <c r="AA49" s="177"/>
      <c r="AB49" s="177"/>
      <c r="AC49" s="188"/>
      <c r="AD49" s="190">
        <f>-AG49/$D$2%</f>
        <v>0</v>
      </c>
      <c r="AE49" s="176"/>
      <c r="AF49" s="190">
        <f>X49*AB49/100</f>
        <v>0</v>
      </c>
      <c r="AG49" s="176"/>
      <c r="AH49" s="421"/>
      <c r="AI49" s="174"/>
      <c r="AJ49" s="175"/>
      <c r="AK49" s="175"/>
      <c r="AL49" s="175"/>
      <c r="AM49" s="175"/>
      <c r="AN49" s="175"/>
      <c r="AO49" s="175"/>
      <c r="AP49" s="175"/>
      <c r="AQ49" s="176"/>
      <c r="AR49" s="159"/>
      <c r="AS49" s="159"/>
    </row>
    <row r="50" spans="1:45" x14ac:dyDescent="0.25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6">
        <f t="shared" si="0"/>
        <v>0</v>
      </c>
      <c r="Y50" s="242" t="s">
        <v>185</v>
      </c>
      <c r="Z50" s="190"/>
      <c r="AA50" s="175"/>
      <c r="AB50" s="175"/>
      <c r="AC50" s="176"/>
      <c r="AD50" s="187"/>
      <c r="AE50" s="188"/>
      <c r="AF50" s="187">
        <f t="shared" si="5"/>
        <v>0</v>
      </c>
      <c r="AG50" s="188"/>
      <c r="AH50" s="417">
        <f t="shared" si="3"/>
        <v>0</v>
      </c>
      <c r="AI50" s="178"/>
      <c r="AJ50" s="177"/>
      <c r="AK50" s="177"/>
      <c r="AL50" s="177"/>
      <c r="AM50" s="177"/>
      <c r="AN50" s="177"/>
      <c r="AO50" s="177"/>
      <c r="AP50" s="177"/>
      <c r="AQ50" s="188"/>
      <c r="AR50" s="159"/>
      <c r="AS50" s="159"/>
    </row>
    <row r="51" spans="1:45" x14ac:dyDescent="0.25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6">
        <f t="shared" si="0"/>
        <v>0</v>
      </c>
      <c r="Y51" s="234" t="s">
        <v>187</v>
      </c>
      <c r="Z51" s="190"/>
      <c r="AA51" s="175"/>
      <c r="AB51" s="175"/>
      <c r="AC51" s="176"/>
      <c r="AD51" s="187">
        <f>X51*Z51/100</f>
        <v>0</v>
      </c>
      <c r="AE51" s="188"/>
      <c r="AF51" s="187">
        <f t="shared" si="5"/>
        <v>0</v>
      </c>
      <c r="AG51" s="188"/>
      <c r="AH51" s="417">
        <f t="shared" si="3"/>
        <v>0</v>
      </c>
      <c r="AI51" s="178"/>
      <c r="AJ51" s="177"/>
      <c r="AK51" s="177"/>
      <c r="AL51" s="177"/>
      <c r="AM51" s="177"/>
      <c r="AN51" s="177"/>
      <c r="AO51" s="177"/>
      <c r="AP51" s="177"/>
      <c r="AQ51" s="188"/>
      <c r="AR51" s="159"/>
      <c r="AS51" s="159"/>
    </row>
    <row r="52" spans="1:45" x14ac:dyDescent="0.25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6">
        <f t="shared" si="0"/>
        <v>0</v>
      </c>
      <c r="Y52" s="235" t="s">
        <v>189</v>
      </c>
      <c r="Z52" s="190"/>
      <c r="AA52" s="175"/>
      <c r="AB52" s="175"/>
      <c r="AC52" s="176">
        <v>77.2</v>
      </c>
      <c r="AD52" s="187"/>
      <c r="AE52" s="188"/>
      <c r="AF52" s="187">
        <f>-SUM(AF44:AF51)</f>
        <v>0</v>
      </c>
      <c r="AG52" s="188">
        <f>-AF52*AC52/100</f>
        <v>0</v>
      </c>
      <c r="AH52" s="417">
        <f t="shared" si="3"/>
        <v>0</v>
      </c>
      <c r="AI52" s="178">
        <f>AG52*63.5%</f>
        <v>0</v>
      </c>
      <c r="AJ52" s="178">
        <f>AG52*9.3%</f>
        <v>0</v>
      </c>
      <c r="AK52" s="177">
        <f>AG52*12.9%</f>
        <v>0</v>
      </c>
      <c r="AL52" s="177">
        <f>AG52*7.1%</f>
        <v>0</v>
      </c>
      <c r="AM52" s="177">
        <f>AG52*0%</f>
        <v>0</v>
      </c>
      <c r="AN52" s="177">
        <f>AG52*5.2%</f>
        <v>0</v>
      </c>
      <c r="AO52" s="177">
        <f>AG52*2%</f>
        <v>0</v>
      </c>
      <c r="AP52" s="177"/>
      <c r="AQ52" s="188"/>
      <c r="AR52" s="159"/>
      <c r="AS52" s="159"/>
    </row>
    <row r="53" spans="1:45" x14ac:dyDescent="0.25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>
        <v>9</v>
      </c>
      <c r="W53" s="175"/>
      <c r="X53" s="176">
        <f t="shared" si="0"/>
        <v>9</v>
      </c>
      <c r="Y53" s="234" t="s">
        <v>193</v>
      </c>
      <c r="Z53" s="190">
        <v>25.8</v>
      </c>
      <c r="AA53" s="175">
        <v>37.200000000000003</v>
      </c>
      <c r="AB53" s="175"/>
      <c r="AC53" s="176"/>
      <c r="AD53" s="187">
        <f>X53*Z53/100</f>
        <v>2.3220000000000001</v>
      </c>
      <c r="AE53" s="188"/>
      <c r="AF53" s="1"/>
      <c r="AG53" s="188"/>
      <c r="AH53" s="417">
        <f t="shared" ref="AH53:AH80" si="6">SUM(AI53:AQ53)</f>
        <v>3.3480000000000003</v>
      </c>
      <c r="AI53" s="178"/>
      <c r="AJ53" s="187">
        <f>X53*AA53/100</f>
        <v>3.3480000000000003</v>
      </c>
      <c r="AK53" s="175"/>
      <c r="AL53" s="175"/>
      <c r="AM53" s="175"/>
      <c r="AN53" s="175"/>
      <c r="AO53" s="175"/>
      <c r="AP53" s="175"/>
      <c r="AQ53" s="188"/>
      <c r="AR53" s="159"/>
      <c r="AS53" s="159"/>
    </row>
    <row r="54" spans="1:45" x14ac:dyDescent="0.25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6">
        <f t="shared" si="0"/>
        <v>0</v>
      </c>
      <c r="Y54" s="234" t="s">
        <v>195</v>
      </c>
      <c r="Z54" s="190"/>
      <c r="AA54" s="175"/>
      <c r="AB54" s="175"/>
      <c r="AC54" s="176"/>
      <c r="AD54" s="187">
        <f>X54*Z54/100</f>
        <v>0</v>
      </c>
      <c r="AE54" s="188"/>
      <c r="AF54" s="187">
        <f>X54*AB54/100</f>
        <v>0</v>
      </c>
      <c r="AG54" s="188"/>
      <c r="AH54" s="417">
        <f t="shared" si="6"/>
        <v>0</v>
      </c>
      <c r="AI54" s="178"/>
      <c r="AJ54" s="175"/>
      <c r="AK54" s="175"/>
      <c r="AL54" s="175"/>
      <c r="AM54" s="175"/>
      <c r="AN54" s="175"/>
      <c r="AO54" s="175"/>
      <c r="AP54" s="175"/>
      <c r="AQ54" s="188"/>
      <c r="AR54" s="159"/>
      <c r="AS54" s="159"/>
    </row>
    <row r="55" spans="1:45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6">
        <f t="shared" si="0"/>
        <v>0</v>
      </c>
      <c r="Y55" s="235" t="s">
        <v>197</v>
      </c>
      <c r="Z55" s="190"/>
      <c r="AA55" s="175"/>
      <c r="AB55" s="175"/>
      <c r="AC55" s="176">
        <v>77.2</v>
      </c>
      <c r="AD55" s="187"/>
      <c r="AE55" s="188"/>
      <c r="AF55" s="187">
        <f>-SUM(AF53:AF54)</f>
        <v>0</v>
      </c>
      <c r="AG55" s="188">
        <f>-AF55*AC55/100</f>
        <v>0</v>
      </c>
      <c r="AH55" s="417">
        <f t="shared" si="6"/>
        <v>0</v>
      </c>
      <c r="AI55" s="178">
        <f>AG55*63.5%</f>
        <v>0</v>
      </c>
      <c r="AJ55" s="178">
        <f>AG55*9.3%</f>
        <v>0</v>
      </c>
      <c r="AK55" s="177">
        <f>AG55*12.9%</f>
        <v>0</v>
      </c>
      <c r="AL55" s="177">
        <f>AG55*7.1%</f>
        <v>0</v>
      </c>
      <c r="AM55" s="177">
        <f>AG55*0%</f>
        <v>0</v>
      </c>
      <c r="AN55" s="177">
        <f>AG55*5.2%</f>
        <v>0</v>
      </c>
      <c r="AO55" s="177">
        <f>AG55*2%</f>
        <v>0</v>
      </c>
      <c r="AP55" s="177"/>
      <c r="AQ55" s="188"/>
      <c r="AR55" s="159"/>
      <c r="AS55" s="159"/>
    </row>
    <row r="56" spans="1:45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6">
        <f t="shared" si="0"/>
        <v>0</v>
      </c>
      <c r="Y56" s="235" t="s">
        <v>201</v>
      </c>
      <c r="Z56" s="190"/>
      <c r="AA56" s="175"/>
      <c r="AB56" s="175"/>
      <c r="AC56" s="176"/>
      <c r="AD56" s="187"/>
      <c r="AE56" s="188"/>
      <c r="AF56" s="187">
        <f>X56*AB56/100</f>
        <v>0</v>
      </c>
      <c r="AG56" s="188"/>
      <c r="AH56" s="417">
        <f t="shared" si="6"/>
        <v>0</v>
      </c>
      <c r="AI56" s="178"/>
      <c r="AJ56" s="177"/>
      <c r="AK56" s="177"/>
      <c r="AL56" s="177"/>
      <c r="AM56" s="177"/>
      <c r="AN56" s="177"/>
      <c r="AO56" s="177"/>
      <c r="AP56" s="177"/>
      <c r="AQ56" s="188"/>
      <c r="AR56" s="159"/>
      <c r="AS56" s="159"/>
    </row>
    <row r="57" spans="1:45" x14ac:dyDescent="0.25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>
        <f>AF57-AE57</f>
        <v>0</v>
      </c>
      <c r="O57" s="177"/>
      <c r="P57" s="177"/>
      <c r="Q57" s="177"/>
      <c r="R57" s="177"/>
      <c r="S57" s="177"/>
      <c r="T57" s="177"/>
      <c r="U57" s="177"/>
      <c r="V57" s="177"/>
      <c r="W57" s="177"/>
      <c r="X57" s="176">
        <f t="shared" si="0"/>
        <v>0</v>
      </c>
      <c r="Y57" s="235" t="s">
        <v>203</v>
      </c>
      <c r="Z57" s="187"/>
      <c r="AA57" s="177"/>
      <c r="AB57" s="177"/>
      <c r="AC57" s="188"/>
      <c r="AD57" s="187">
        <f>-AG57/$D$2%</f>
        <v>0</v>
      </c>
      <c r="AE57" s="188"/>
      <c r="AF57" s="187">
        <f>AE57*AB57%</f>
        <v>0</v>
      </c>
      <c r="AG57" s="188"/>
      <c r="AH57" s="417"/>
      <c r="AI57" s="178"/>
      <c r="AJ57" s="177"/>
      <c r="AK57" s="177"/>
      <c r="AL57" s="177"/>
      <c r="AM57" s="177"/>
      <c r="AN57" s="177"/>
      <c r="AO57" s="177"/>
      <c r="AP57" s="177"/>
      <c r="AQ57" s="188"/>
      <c r="AR57" s="52"/>
      <c r="AS57" s="52"/>
    </row>
    <row r="58" spans="1:45" x14ac:dyDescent="0.25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244"/>
      <c r="O58" s="177"/>
      <c r="P58" s="177"/>
      <c r="Q58" s="177"/>
      <c r="R58" s="177"/>
      <c r="S58" s="177"/>
      <c r="T58" s="177"/>
      <c r="U58" s="177"/>
      <c r="V58" s="177"/>
      <c r="W58" s="177"/>
      <c r="X58" s="176">
        <f t="shared" si="0"/>
        <v>0</v>
      </c>
      <c r="Y58" s="235" t="s">
        <v>205</v>
      </c>
      <c r="Z58" s="187"/>
      <c r="AA58" s="177"/>
      <c r="AB58" s="177"/>
      <c r="AC58" s="188"/>
      <c r="AD58" s="187"/>
      <c r="AE58" s="188"/>
      <c r="AF58" s="187">
        <f>X58*AB58/100</f>
        <v>0</v>
      </c>
      <c r="AG58" s="188"/>
      <c r="AH58" s="417"/>
      <c r="AI58" s="178"/>
      <c r="AJ58" s="177"/>
      <c r="AK58" s="177"/>
      <c r="AL58" s="177"/>
      <c r="AM58" s="177"/>
      <c r="AN58" s="177"/>
      <c r="AO58" s="177"/>
      <c r="AP58" s="177"/>
      <c r="AQ58" s="188"/>
      <c r="AR58" s="52"/>
      <c r="AS58" s="52"/>
    </row>
    <row r="59" spans="1:45" x14ac:dyDescent="0.25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244"/>
      <c r="O59" s="177"/>
      <c r="P59" s="177"/>
      <c r="Q59" s="177"/>
      <c r="R59" s="177"/>
      <c r="S59" s="177"/>
      <c r="T59" s="177"/>
      <c r="U59" s="177"/>
      <c r="V59" s="177"/>
      <c r="W59" s="177"/>
      <c r="X59" s="176">
        <f t="shared" si="0"/>
        <v>0</v>
      </c>
      <c r="Y59" s="235" t="s">
        <v>207</v>
      </c>
      <c r="Z59" s="187"/>
      <c r="AA59" s="177"/>
      <c r="AB59" s="177"/>
      <c r="AC59" s="188"/>
      <c r="AD59" s="187"/>
      <c r="AE59" s="188"/>
      <c r="AF59" s="187">
        <f>X59*AB59/100</f>
        <v>0</v>
      </c>
      <c r="AG59" s="188"/>
      <c r="AH59" s="417"/>
      <c r="AI59" s="178"/>
      <c r="AJ59" s="177"/>
      <c r="AK59" s="177"/>
      <c r="AL59" s="177"/>
      <c r="AM59" s="177"/>
      <c r="AN59" s="177"/>
      <c r="AO59" s="177"/>
      <c r="AP59" s="177"/>
      <c r="AQ59" s="188"/>
      <c r="AR59" s="52"/>
      <c r="AS59" s="52"/>
    </row>
    <row r="60" spans="1:45" x14ac:dyDescent="0.25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241"/>
      <c r="O60" s="175"/>
      <c r="P60" s="175"/>
      <c r="Q60" s="175"/>
      <c r="R60" s="175"/>
      <c r="S60" s="175"/>
      <c r="T60" s="175"/>
      <c r="U60" s="175"/>
      <c r="V60" s="175"/>
      <c r="W60" s="175"/>
      <c r="X60" s="176">
        <f t="shared" si="0"/>
        <v>0</v>
      </c>
      <c r="Y60" s="235" t="s">
        <v>362</v>
      </c>
      <c r="Z60" s="190"/>
      <c r="AA60" s="175"/>
      <c r="AB60" s="175"/>
      <c r="AC60" s="176"/>
      <c r="AD60" s="187"/>
      <c r="AE60" s="188"/>
      <c r="AF60" s="187">
        <f>X60*AB60/100</f>
        <v>0</v>
      </c>
      <c r="AG60" s="188"/>
      <c r="AH60" s="417">
        <f t="shared" si="6"/>
        <v>0</v>
      </c>
      <c r="AI60" s="178"/>
      <c r="AJ60" s="177"/>
      <c r="AK60" s="177"/>
      <c r="AL60" s="177"/>
      <c r="AM60" s="177"/>
      <c r="AN60" s="177"/>
      <c r="AO60" s="177"/>
      <c r="AP60" s="177"/>
      <c r="AQ60" s="188"/>
      <c r="AR60" s="159"/>
      <c r="AS60" s="159"/>
    </row>
    <row r="61" spans="1:45" x14ac:dyDescent="0.25">
      <c r="A61" s="190"/>
      <c r="B61" s="175"/>
      <c r="C61" s="175"/>
      <c r="D61" s="175"/>
      <c r="E61" s="175">
        <v>345.51</v>
      </c>
      <c r="F61" s="175"/>
      <c r="G61" s="175"/>
      <c r="H61" s="175"/>
      <c r="I61" s="175">
        <v>3000</v>
      </c>
      <c r="J61" s="175"/>
      <c r="K61" s="175"/>
      <c r="L61" s="175"/>
      <c r="M61" s="175"/>
      <c r="N61" s="241"/>
      <c r="O61" s="175"/>
      <c r="P61" s="175"/>
      <c r="Q61" s="175"/>
      <c r="R61" s="175">
        <v>4.9170000000000007</v>
      </c>
      <c r="S61" s="175">
        <v>3.2340000000000004</v>
      </c>
      <c r="T61" s="175"/>
      <c r="U61" s="175">
        <v>229.67010000000005</v>
      </c>
      <c r="V61" s="175">
        <v>9.9330000000000016</v>
      </c>
      <c r="W61" s="175">
        <v>187.91190000000003</v>
      </c>
      <c r="X61" s="176">
        <f t="shared" si="0"/>
        <v>3781.1760000000004</v>
      </c>
      <c r="Y61" s="234" t="s">
        <v>159</v>
      </c>
      <c r="Z61" s="190">
        <v>22.1</v>
      </c>
      <c r="AA61" s="175"/>
      <c r="AB61" s="175">
        <v>56.6</v>
      </c>
      <c r="AC61" s="176"/>
      <c r="AD61" s="187">
        <f>X61*Z61%</f>
        <v>835.63989600000014</v>
      </c>
      <c r="AE61" s="188"/>
      <c r="AF61" s="187">
        <f>X61*AB61%</f>
        <v>2140.1456160000002</v>
      </c>
      <c r="AG61" s="188"/>
      <c r="AH61" s="417">
        <f t="shared" si="6"/>
        <v>0</v>
      </c>
      <c r="AI61" s="178"/>
      <c r="AJ61" s="177"/>
      <c r="AK61" s="177"/>
      <c r="AL61" s="177"/>
      <c r="AM61" s="177"/>
      <c r="AN61" s="177"/>
      <c r="AO61" s="177"/>
      <c r="AP61" s="177"/>
      <c r="AQ61" s="188"/>
      <c r="AR61" s="159"/>
      <c r="AS61" s="159"/>
    </row>
    <row r="62" spans="1:45" x14ac:dyDescent="0.25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241"/>
      <c r="O62" s="175"/>
      <c r="P62" s="175"/>
      <c r="Q62" s="175"/>
      <c r="R62" s="175"/>
      <c r="S62" s="175"/>
      <c r="T62" s="175"/>
      <c r="U62" s="175"/>
      <c r="V62" s="175"/>
      <c r="W62" s="175"/>
      <c r="X62" s="176">
        <f t="shared" si="0"/>
        <v>0</v>
      </c>
      <c r="Y62" s="235" t="s">
        <v>211</v>
      </c>
      <c r="Z62" s="190"/>
      <c r="AA62" s="175"/>
      <c r="AB62" s="175"/>
      <c r="AC62" s="176">
        <v>77.2</v>
      </c>
      <c r="AD62" s="187"/>
      <c r="AE62" s="188"/>
      <c r="AF62" s="190">
        <f>-SUM(AF56:AF61)</f>
        <v>-2140.1456160000002</v>
      </c>
      <c r="AG62" s="188">
        <f>-AF62*AC62/100</f>
        <v>1652.1924155520001</v>
      </c>
      <c r="AH62" s="417">
        <f t="shared" si="6"/>
        <v>1652.1924155520001</v>
      </c>
      <c r="AI62" s="178">
        <f>AG62*63.7%</f>
        <v>1052.446568706624</v>
      </c>
      <c r="AJ62" s="178">
        <f>AG62*9.2%</f>
        <v>152.00170223078399</v>
      </c>
      <c r="AK62" s="177">
        <f>AG62*13.2%</f>
        <v>218.08939885286401</v>
      </c>
      <c r="AL62" s="177">
        <f>AG62*7%</f>
        <v>115.65346908864001</v>
      </c>
      <c r="AM62" s="177">
        <f>AG62*0%</f>
        <v>0</v>
      </c>
      <c r="AN62" s="177">
        <f>AG62*5%</f>
        <v>82.609620777600014</v>
      </c>
      <c r="AO62" s="177">
        <f>AG62*1.9%</f>
        <v>31.391655895488</v>
      </c>
      <c r="AP62" s="177"/>
      <c r="AQ62" s="188"/>
      <c r="AR62" s="159"/>
      <c r="AS62" s="159"/>
    </row>
    <row r="63" spans="1:45" x14ac:dyDescent="0.25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241"/>
      <c r="O63" s="175"/>
      <c r="P63" s="175"/>
      <c r="Q63" s="175"/>
      <c r="R63" s="175"/>
      <c r="S63" s="175"/>
      <c r="T63" s="175"/>
      <c r="U63" s="175"/>
      <c r="V63" s="175"/>
      <c r="W63" s="175"/>
      <c r="X63" s="176">
        <f t="shared" si="0"/>
        <v>0</v>
      </c>
      <c r="Y63" s="234" t="s">
        <v>215</v>
      </c>
      <c r="Z63" s="190">
        <v>0</v>
      </c>
      <c r="AA63" s="175"/>
      <c r="AB63" s="175">
        <v>97.7</v>
      </c>
      <c r="AC63" s="176"/>
      <c r="AD63" s="187">
        <f t="shared" ref="AD63:AD68" si="7">Z63/100*X63</f>
        <v>0</v>
      </c>
      <c r="AE63" s="188"/>
      <c r="AF63" s="187">
        <f>X63*AB63/100</f>
        <v>0</v>
      </c>
      <c r="AG63" s="188"/>
      <c r="AH63" s="417">
        <f t="shared" si="6"/>
        <v>0</v>
      </c>
      <c r="AI63" s="178"/>
      <c r="AJ63" s="177"/>
      <c r="AK63" s="177"/>
      <c r="AL63" s="177"/>
      <c r="AM63" s="177"/>
      <c r="AN63" s="177"/>
      <c r="AO63" s="177"/>
      <c r="AP63" s="177"/>
      <c r="AQ63" s="188"/>
      <c r="AR63" s="159"/>
      <c r="AS63" s="159"/>
    </row>
    <row r="64" spans="1:45" x14ac:dyDescent="0.25">
      <c r="A64" s="175"/>
      <c r="B64" s="175"/>
      <c r="C64" s="175"/>
      <c r="D64" s="175"/>
      <c r="E64" s="175"/>
      <c r="F64" s="175"/>
      <c r="G64" s="175"/>
      <c r="H64" s="175"/>
      <c r="I64" s="175">
        <v>2.376E-2</v>
      </c>
      <c r="J64" s="175"/>
      <c r="K64" s="175"/>
      <c r="L64" s="175"/>
      <c r="M64" s="175"/>
      <c r="N64" s="241"/>
      <c r="O64" s="175"/>
      <c r="P64" s="175"/>
      <c r="Q64" s="175"/>
      <c r="R64" s="175"/>
      <c r="S64" s="175"/>
      <c r="T64" s="175"/>
      <c r="U64" s="175"/>
      <c r="V64" s="175"/>
      <c r="W64" s="175"/>
      <c r="X64" s="176">
        <f t="shared" si="0"/>
        <v>2.376E-2</v>
      </c>
      <c r="Y64" s="234" t="s">
        <v>217</v>
      </c>
      <c r="Z64" s="190">
        <v>37.1</v>
      </c>
      <c r="AA64" s="175"/>
      <c r="AB64" s="175"/>
      <c r="AC64" s="176"/>
      <c r="AD64" s="187">
        <f t="shared" si="7"/>
        <v>8.8149600000000002E-3</v>
      </c>
      <c r="AE64" s="188"/>
      <c r="AF64" s="187">
        <f>X64*AB64/100</f>
        <v>0</v>
      </c>
      <c r="AG64" s="188"/>
      <c r="AH64" s="417">
        <f t="shared" si="6"/>
        <v>0</v>
      </c>
      <c r="AI64" s="178"/>
      <c r="AJ64" s="177"/>
      <c r="AK64" s="177"/>
      <c r="AL64" s="177"/>
      <c r="AM64" s="177"/>
      <c r="AN64" s="177"/>
      <c r="AO64" s="177"/>
      <c r="AP64" s="177"/>
      <c r="AQ64" s="188"/>
      <c r="AR64" s="159"/>
      <c r="AS64" s="159"/>
    </row>
    <row r="65" spans="1:45" x14ac:dyDescent="0.25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241"/>
      <c r="O65" s="175"/>
      <c r="P65" s="175"/>
      <c r="Q65" s="175"/>
      <c r="R65" s="175"/>
      <c r="S65" s="175"/>
      <c r="T65" s="175"/>
      <c r="U65" s="175"/>
      <c r="V65" s="175"/>
      <c r="W65" s="175"/>
      <c r="X65" s="176">
        <f t="shared" si="0"/>
        <v>0</v>
      </c>
      <c r="Y65" s="234" t="s">
        <v>219</v>
      </c>
      <c r="Z65" s="190"/>
      <c r="AA65" s="175"/>
      <c r="AB65" s="175"/>
      <c r="AC65" s="176"/>
      <c r="AD65" s="187">
        <f t="shared" si="7"/>
        <v>0</v>
      </c>
      <c r="AE65" s="188"/>
      <c r="AF65" s="187">
        <f>X65*AB65/100</f>
        <v>0</v>
      </c>
      <c r="AG65" s="188"/>
      <c r="AH65" s="417">
        <f t="shared" si="6"/>
        <v>0</v>
      </c>
      <c r="AI65" s="178"/>
      <c r="AJ65" s="177"/>
      <c r="AK65" s="177"/>
      <c r="AL65" s="177"/>
      <c r="AM65" s="177"/>
      <c r="AN65" s="177"/>
      <c r="AO65" s="177"/>
      <c r="AP65" s="177"/>
      <c r="AQ65" s="188"/>
      <c r="AR65" s="159"/>
      <c r="AS65" s="159"/>
    </row>
    <row r="66" spans="1:45" x14ac:dyDescent="0.25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7"/>
      <c r="O66" s="175"/>
      <c r="P66" s="175"/>
      <c r="Q66" s="175"/>
      <c r="R66" s="175"/>
      <c r="S66" s="175"/>
      <c r="T66" s="175"/>
      <c r="U66" s="175"/>
      <c r="V66" s="175"/>
      <c r="W66" s="175"/>
      <c r="X66" s="176">
        <f t="shared" si="0"/>
        <v>0</v>
      </c>
      <c r="Y66" s="234" t="s">
        <v>221</v>
      </c>
      <c r="Z66" s="190"/>
      <c r="AA66" s="175"/>
      <c r="AB66" s="175"/>
      <c r="AC66" s="176"/>
      <c r="AD66" s="187">
        <f t="shared" si="7"/>
        <v>0</v>
      </c>
      <c r="AE66" s="188"/>
      <c r="AF66" s="187">
        <f>X66*AB66/100</f>
        <v>0</v>
      </c>
      <c r="AG66" s="188"/>
      <c r="AH66" s="417">
        <f t="shared" si="6"/>
        <v>0</v>
      </c>
      <c r="AI66" s="178"/>
      <c r="AJ66" s="177"/>
      <c r="AK66" s="177"/>
      <c r="AL66" s="177"/>
      <c r="AM66" s="177"/>
      <c r="AN66" s="177"/>
      <c r="AO66" s="177"/>
      <c r="AP66" s="177"/>
      <c r="AQ66" s="188"/>
      <c r="AR66" s="159"/>
      <c r="AS66" s="159"/>
    </row>
    <row r="67" spans="1:45" x14ac:dyDescent="0.25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7"/>
      <c r="O67" s="175"/>
      <c r="P67" s="175"/>
      <c r="Q67" s="175"/>
      <c r="R67" s="175"/>
      <c r="S67" s="175"/>
      <c r="T67" s="175"/>
      <c r="U67" s="175"/>
      <c r="V67" s="175"/>
      <c r="W67" s="175"/>
      <c r="X67" s="176">
        <f t="shared" si="0"/>
        <v>0</v>
      </c>
      <c r="Y67" s="234" t="s">
        <v>223</v>
      </c>
      <c r="Z67" s="190"/>
      <c r="AA67" s="175"/>
      <c r="AB67" s="175"/>
      <c r="AC67" s="176"/>
      <c r="AD67" s="187">
        <f t="shared" si="7"/>
        <v>0</v>
      </c>
      <c r="AE67" s="188"/>
      <c r="AF67" s="187">
        <f>X67*AB67/100</f>
        <v>0</v>
      </c>
      <c r="AG67" s="188"/>
      <c r="AH67" s="417">
        <f t="shared" si="6"/>
        <v>0</v>
      </c>
      <c r="AI67" s="178"/>
      <c r="AJ67" s="177"/>
      <c r="AK67" s="177"/>
      <c r="AL67" s="177"/>
      <c r="AM67" s="177"/>
      <c r="AN67" s="177"/>
      <c r="AO67" s="177"/>
      <c r="AP67" s="177"/>
      <c r="AQ67" s="188"/>
      <c r="AR67" s="159"/>
      <c r="AS67" s="159"/>
    </row>
    <row r="68" spans="1:45" x14ac:dyDescent="0.25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7"/>
      <c r="O68" s="175"/>
      <c r="P68" s="175"/>
      <c r="Q68" s="175"/>
      <c r="R68" s="175"/>
      <c r="S68" s="175"/>
      <c r="T68" s="175"/>
      <c r="U68" s="175"/>
      <c r="V68" s="175"/>
      <c r="W68" s="175"/>
      <c r="X68" s="176">
        <f t="shared" si="0"/>
        <v>0</v>
      </c>
      <c r="Y68" s="234" t="s">
        <v>225</v>
      </c>
      <c r="Z68" s="190"/>
      <c r="AA68" s="175"/>
      <c r="AB68" s="175"/>
      <c r="AC68" s="176"/>
      <c r="AD68" s="187">
        <f t="shared" si="7"/>
        <v>0</v>
      </c>
      <c r="AE68" s="176"/>
      <c r="AF68" s="187">
        <f>(16.55+1216)*0.33</f>
        <v>406.74150000000003</v>
      </c>
      <c r="AG68" s="188"/>
      <c r="AH68" s="417">
        <f t="shared" si="6"/>
        <v>0</v>
      </c>
      <c r="AI68" s="178"/>
      <c r="AJ68" s="177"/>
      <c r="AK68" s="177"/>
      <c r="AL68" s="177"/>
      <c r="AM68" s="177"/>
      <c r="AN68" s="177"/>
      <c r="AO68" s="177"/>
      <c r="AP68" s="177"/>
      <c r="AQ68" s="188"/>
      <c r="AR68" s="159"/>
      <c r="AS68" s="159"/>
    </row>
    <row r="69" spans="1:45" x14ac:dyDescent="0.25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7"/>
      <c r="O69" s="175"/>
      <c r="P69" s="175"/>
      <c r="Q69" s="175"/>
      <c r="R69" s="175"/>
      <c r="S69" s="175"/>
      <c r="T69" s="175"/>
      <c r="U69" s="175"/>
      <c r="V69" s="175"/>
      <c r="W69" s="175"/>
      <c r="X69" s="176">
        <f t="shared" si="0"/>
        <v>0</v>
      </c>
      <c r="Y69" s="242" t="s">
        <v>227</v>
      </c>
      <c r="Z69" s="190"/>
      <c r="AA69" s="175"/>
      <c r="AB69" s="175"/>
      <c r="AC69" s="423"/>
      <c r="AD69" s="187">
        <f>-AE69</f>
        <v>-188.70390000000003</v>
      </c>
      <c r="AE69" s="176">
        <f>571.83*0.33</f>
        <v>188.70390000000003</v>
      </c>
      <c r="AF69" s="190"/>
      <c r="AG69" s="188"/>
      <c r="AH69" s="417">
        <f t="shared" si="6"/>
        <v>188.70390000000003</v>
      </c>
      <c r="AI69" s="178"/>
      <c r="AJ69" s="177"/>
      <c r="AK69" s="177"/>
      <c r="AL69" s="177"/>
      <c r="AM69" s="177"/>
      <c r="AN69" s="177">
        <f>AE69</f>
        <v>188.70390000000003</v>
      </c>
      <c r="AO69" s="177"/>
      <c r="AP69" s="177"/>
      <c r="AQ69" s="188"/>
      <c r="AR69" s="159"/>
      <c r="AS69" s="159"/>
    </row>
    <row r="70" spans="1:45" x14ac:dyDescent="0.25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7"/>
      <c r="O70" s="175"/>
      <c r="P70" s="175"/>
      <c r="Q70" s="175"/>
      <c r="R70" s="175"/>
      <c r="S70" s="175"/>
      <c r="T70" s="175"/>
      <c r="U70" s="175"/>
      <c r="V70" s="175"/>
      <c r="W70" s="175"/>
      <c r="X70" s="176">
        <f t="shared" si="0"/>
        <v>0</v>
      </c>
      <c r="Y70" s="242" t="s">
        <v>229</v>
      </c>
      <c r="Z70" s="190"/>
      <c r="AA70" s="175"/>
      <c r="AB70" s="175"/>
      <c r="AC70" s="176"/>
      <c r="AD70" s="187"/>
      <c r="AE70" s="176"/>
      <c r="AF70" s="190"/>
      <c r="AG70" s="424"/>
      <c r="AH70" s="417">
        <f t="shared" si="6"/>
        <v>0</v>
      </c>
      <c r="AI70" s="178"/>
      <c r="AJ70" s="177"/>
      <c r="AK70" s="177"/>
      <c r="AL70" s="177"/>
      <c r="AM70" s="177"/>
      <c r="AN70" s="177">
        <f>-AF70</f>
        <v>0</v>
      </c>
      <c r="AO70" s="177"/>
      <c r="AP70" s="177"/>
      <c r="AQ70" s="188"/>
      <c r="AR70" s="159"/>
      <c r="AS70" s="159"/>
    </row>
    <row r="71" spans="1:45" x14ac:dyDescent="0.25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7"/>
      <c r="O71" s="175"/>
      <c r="P71" s="175"/>
      <c r="Q71" s="175"/>
      <c r="R71" s="175"/>
      <c r="S71" s="175"/>
      <c r="T71" s="175"/>
      <c r="U71" s="175"/>
      <c r="V71" s="175"/>
      <c r="W71" s="175"/>
      <c r="X71" s="176">
        <f t="shared" si="0"/>
        <v>0</v>
      </c>
      <c r="Y71" s="235" t="s">
        <v>231</v>
      </c>
      <c r="Z71" s="190"/>
      <c r="AA71" s="175"/>
      <c r="AB71" s="175"/>
      <c r="AC71" s="176">
        <v>77.2</v>
      </c>
      <c r="AD71" s="187"/>
      <c r="AE71" s="188"/>
      <c r="AF71" s="187">
        <f>-SUM(AF63:AF70)</f>
        <v>-406.74150000000003</v>
      </c>
      <c r="AG71" s="188">
        <f>-AF71*AC71/100</f>
        <v>314.00443800000005</v>
      </c>
      <c r="AH71" s="417">
        <f t="shared" si="6"/>
        <v>314.00443800000005</v>
      </c>
      <c r="AI71" s="178">
        <f>AG71*63.7%</f>
        <v>200.02082700600005</v>
      </c>
      <c r="AJ71" s="178">
        <f>AG71*9.2%</f>
        <v>28.888408296000005</v>
      </c>
      <c r="AK71" s="177">
        <f>AG71*13.2%</f>
        <v>41.448585816000012</v>
      </c>
      <c r="AL71" s="177">
        <f>AG71*7%</f>
        <v>21.980310660000004</v>
      </c>
      <c r="AM71" s="177">
        <f>AG71*0%</f>
        <v>0</v>
      </c>
      <c r="AN71" s="177">
        <f>AG71*5%</f>
        <v>15.700221900000003</v>
      </c>
      <c r="AO71" s="177">
        <f>AG71*1.9%</f>
        <v>5.9660843220000004</v>
      </c>
      <c r="AP71" s="177"/>
      <c r="AQ71" s="188"/>
      <c r="AR71" s="159"/>
      <c r="AS71" s="159"/>
    </row>
    <row r="72" spans="1:45" x14ac:dyDescent="0.25">
      <c r="A72" s="190"/>
      <c r="B72" s="175"/>
      <c r="C72" s="175"/>
      <c r="D72" s="175"/>
      <c r="E72" s="175"/>
      <c r="F72" s="175"/>
      <c r="G72" s="175"/>
      <c r="H72" s="175">
        <v>657.05507999999998</v>
      </c>
      <c r="I72" s="175"/>
      <c r="J72" s="175"/>
      <c r="K72" s="175"/>
      <c r="L72" s="175"/>
      <c r="M72" s="175"/>
      <c r="N72" s="175"/>
      <c r="O72" s="175"/>
      <c r="P72" s="175">
        <v>1.8449199999999999</v>
      </c>
      <c r="Q72" s="175"/>
      <c r="R72" s="175"/>
      <c r="S72" s="175"/>
      <c r="T72" s="175"/>
      <c r="U72" s="175"/>
      <c r="V72" s="175"/>
      <c r="W72" s="175"/>
      <c r="X72" s="176">
        <f>SUM(A72:W72)</f>
        <v>658.9</v>
      </c>
      <c r="Y72" s="235" t="s">
        <v>241</v>
      </c>
      <c r="Z72" s="187"/>
      <c r="AA72" s="177">
        <v>20</v>
      </c>
      <c r="AB72" s="177"/>
      <c r="AC72" s="188"/>
      <c r="AD72" s="187"/>
      <c r="AE72" s="188"/>
      <c r="AF72" s="187"/>
      <c r="AG72" s="188"/>
      <c r="AH72" s="417">
        <f t="shared" si="6"/>
        <v>131.78</v>
      </c>
      <c r="AI72" s="178"/>
      <c r="AJ72" s="177"/>
      <c r="AK72" s="177"/>
      <c r="AL72" s="177"/>
      <c r="AM72" s="177"/>
      <c r="AN72" s="177"/>
      <c r="AO72" s="177"/>
      <c r="AP72" s="177"/>
      <c r="AQ72" s="188">
        <f>X72*AA72/100</f>
        <v>131.78</v>
      </c>
      <c r="AR72" s="159"/>
      <c r="AS72" s="159"/>
    </row>
    <row r="73" spans="1:45" x14ac:dyDescent="0.25">
      <c r="A73" s="190"/>
      <c r="B73" s="175"/>
      <c r="C73" s="175"/>
      <c r="D73" s="175"/>
      <c r="E73" s="175"/>
      <c r="F73" s="175">
        <v>257.75692800000002</v>
      </c>
      <c r="G73" s="175"/>
      <c r="H73" s="175"/>
      <c r="I73" s="175"/>
      <c r="J73" s="175"/>
      <c r="K73" s="175"/>
      <c r="L73" s="175"/>
      <c r="M73" s="175"/>
      <c r="N73" s="175"/>
      <c r="O73" s="175"/>
      <c r="P73" s="175">
        <v>0.41307200000000005</v>
      </c>
      <c r="Q73" s="175"/>
      <c r="R73" s="175"/>
      <c r="S73" s="175"/>
      <c r="T73" s="175"/>
      <c r="U73" s="175"/>
      <c r="V73" s="175"/>
      <c r="W73" s="175"/>
      <c r="X73" s="176">
        <f>SUM(A73:W73)</f>
        <v>258.17</v>
      </c>
      <c r="Y73" s="235" t="s">
        <v>243</v>
      </c>
      <c r="Z73" s="187"/>
      <c r="AA73" s="177">
        <v>25</v>
      </c>
      <c r="AB73" s="177"/>
      <c r="AC73" s="188"/>
      <c r="AD73" s="187"/>
      <c r="AE73" s="188"/>
      <c r="AF73" s="187"/>
      <c r="AG73" s="188"/>
      <c r="AH73" s="417">
        <f t="shared" si="6"/>
        <v>64.542500000000004</v>
      </c>
      <c r="AI73" s="178"/>
      <c r="AJ73" s="177"/>
      <c r="AK73" s="177"/>
      <c r="AL73" s="177"/>
      <c r="AM73" s="177"/>
      <c r="AN73" s="177"/>
      <c r="AO73" s="177"/>
      <c r="AP73" s="177"/>
      <c r="AQ73" s="188">
        <f>X73*AA73/100</f>
        <v>64.542500000000004</v>
      </c>
      <c r="AR73" s="159"/>
      <c r="AS73" s="159"/>
    </row>
    <row r="74" spans="1:45" x14ac:dyDescent="0.25">
      <c r="A74" s="187"/>
      <c r="B74" s="175"/>
      <c r="C74" s="175"/>
      <c r="D74" s="175"/>
      <c r="E74" s="175"/>
      <c r="F74" s="175">
        <f>197.51*(1-0.2%)</f>
        <v>197.11498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>
        <f>197.51*0.2%</f>
        <v>0.39501999999999998</v>
      </c>
      <c r="Q74" s="175"/>
      <c r="R74" s="175"/>
      <c r="S74" s="175"/>
      <c r="T74" s="175"/>
      <c r="U74" s="175"/>
      <c r="V74" s="175"/>
      <c r="W74" s="175"/>
      <c r="X74" s="176">
        <f>SUM(A74:W74)</f>
        <v>197.51</v>
      </c>
      <c r="Y74" s="235" t="s">
        <v>244</v>
      </c>
      <c r="Z74" s="187"/>
      <c r="AA74" s="177">
        <v>25</v>
      </c>
      <c r="AB74" s="177"/>
      <c r="AC74" s="188"/>
      <c r="AD74" s="187"/>
      <c r="AE74" s="188"/>
      <c r="AF74" s="187"/>
      <c r="AG74" s="188"/>
      <c r="AH74" s="417">
        <f t="shared" si="6"/>
        <v>49.377499999999998</v>
      </c>
      <c r="AI74" s="178"/>
      <c r="AJ74" s="177"/>
      <c r="AK74" s="177"/>
      <c r="AL74" s="177"/>
      <c r="AM74" s="177"/>
      <c r="AN74" s="177"/>
      <c r="AO74" s="177"/>
      <c r="AP74" s="177"/>
      <c r="AQ74" s="188">
        <f>X74*AA74/100</f>
        <v>49.377499999999998</v>
      </c>
      <c r="AR74" s="159"/>
      <c r="AS74" s="159"/>
    </row>
    <row r="75" spans="1:45" x14ac:dyDescent="0.25">
      <c r="A75" s="190"/>
      <c r="B75" s="175"/>
      <c r="C75" s="175"/>
      <c r="D75" s="175"/>
      <c r="E75" s="175"/>
      <c r="F75" s="175">
        <f>12.27*(1-0.2%)</f>
        <v>12.24546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75">
        <f>12.27*0.2%</f>
        <v>2.4539999999999999E-2</v>
      </c>
      <c r="Q75" s="175"/>
      <c r="R75" s="175"/>
      <c r="S75" s="175"/>
      <c r="T75" s="175"/>
      <c r="U75" s="175"/>
      <c r="V75" s="175"/>
      <c r="W75" s="175"/>
      <c r="X75" s="176">
        <f t="shared" ref="X75:X80" si="8">SUM(A75:W75)</f>
        <v>12.27</v>
      </c>
      <c r="Y75" s="234" t="s">
        <v>246</v>
      </c>
      <c r="Z75" s="187"/>
      <c r="AA75" s="177">
        <v>33</v>
      </c>
      <c r="AB75" s="177"/>
      <c r="AC75" s="188"/>
      <c r="AD75" s="187"/>
      <c r="AE75" s="188"/>
      <c r="AF75" s="187"/>
      <c r="AG75" s="188"/>
      <c r="AH75" s="417">
        <f t="shared" si="6"/>
        <v>4.0490999999999993</v>
      </c>
      <c r="AI75" s="178"/>
      <c r="AJ75" s="177"/>
      <c r="AK75" s="177"/>
      <c r="AL75" s="177"/>
      <c r="AM75" s="177"/>
      <c r="AN75" s="177"/>
      <c r="AO75" s="177"/>
      <c r="AP75" s="177"/>
      <c r="AQ75" s="188">
        <f>X75*AA75/100</f>
        <v>4.0490999999999993</v>
      </c>
      <c r="AR75" s="159"/>
      <c r="AS75" s="159"/>
    </row>
    <row r="76" spans="1:45" x14ac:dyDescent="0.25">
      <c r="A76" s="190"/>
      <c r="B76" s="175"/>
      <c r="C76" s="175"/>
      <c r="D76" s="175"/>
      <c r="E76" s="175"/>
      <c r="F76" s="175">
        <f>369.89*0.9984</f>
        <v>369.29817599999996</v>
      </c>
      <c r="G76" s="175"/>
      <c r="H76" s="175"/>
      <c r="I76" s="175"/>
      <c r="J76" s="175"/>
      <c r="K76" s="175"/>
      <c r="L76" s="175"/>
      <c r="M76" s="175"/>
      <c r="N76" s="175"/>
      <c r="O76" s="175"/>
      <c r="P76" s="175">
        <f>369.89*0.0016</f>
        <v>0.59182400000000002</v>
      </c>
      <c r="Q76" s="175"/>
      <c r="R76" s="175"/>
      <c r="S76" s="175"/>
      <c r="T76" s="175"/>
      <c r="U76" s="175"/>
      <c r="V76" s="175"/>
      <c r="W76" s="175"/>
      <c r="X76" s="176">
        <f t="shared" si="8"/>
        <v>369.88999999999993</v>
      </c>
      <c r="Y76" s="235" t="s">
        <v>248</v>
      </c>
      <c r="Z76" s="187"/>
      <c r="AA76" s="177">
        <v>33</v>
      </c>
      <c r="AB76" s="177"/>
      <c r="AC76" s="188"/>
      <c r="AD76" s="187"/>
      <c r="AE76" s="188"/>
      <c r="AF76" s="187"/>
      <c r="AG76" s="188"/>
      <c r="AH76" s="417">
        <f t="shared" si="6"/>
        <v>122.06369999999997</v>
      </c>
      <c r="AI76" s="178"/>
      <c r="AJ76" s="177"/>
      <c r="AK76" s="177"/>
      <c r="AL76" s="177"/>
      <c r="AM76" s="177"/>
      <c r="AN76" s="177"/>
      <c r="AO76" s="177"/>
      <c r="AP76" s="177"/>
      <c r="AQ76" s="188">
        <f>X76*AA76/100</f>
        <v>122.06369999999997</v>
      </c>
      <c r="AR76" s="159"/>
      <c r="AS76" s="159"/>
    </row>
    <row r="77" spans="1:45" x14ac:dyDescent="0.25">
      <c r="A77" s="190"/>
      <c r="B77" s="175"/>
      <c r="C77" s="175"/>
      <c r="D77" s="175"/>
      <c r="E77" s="175"/>
      <c r="F77" s="175">
        <f>36.4*0.9984</f>
        <v>36.341759999999994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75">
        <f>36.4*0.0016</f>
        <v>5.824E-2</v>
      </c>
      <c r="Q77" s="175"/>
      <c r="R77" s="175"/>
      <c r="S77" s="175"/>
      <c r="T77" s="175"/>
      <c r="U77" s="175"/>
      <c r="V77" s="175"/>
      <c r="W77" s="175"/>
      <c r="X77" s="176">
        <f t="shared" si="8"/>
        <v>36.399999999999991</v>
      </c>
      <c r="Y77" s="234" t="s">
        <v>285</v>
      </c>
      <c r="Z77" s="187"/>
      <c r="AA77" s="177">
        <v>33</v>
      </c>
      <c r="AB77" s="177"/>
      <c r="AC77" s="188"/>
      <c r="AD77" s="187"/>
      <c r="AE77" s="188"/>
      <c r="AF77" s="187"/>
      <c r="AG77" s="188"/>
      <c r="AH77" s="417">
        <f t="shared" si="6"/>
        <v>12.011999999999997</v>
      </c>
      <c r="AI77" s="178"/>
      <c r="AJ77" s="177"/>
      <c r="AK77" s="177"/>
      <c r="AL77" s="177"/>
      <c r="AM77" s="177"/>
      <c r="AN77" s="177"/>
      <c r="AO77" s="177"/>
      <c r="AP77" s="177">
        <f>X77*AA77%</f>
        <v>12.011999999999997</v>
      </c>
      <c r="AQ77" s="188"/>
      <c r="AR77" s="159"/>
      <c r="AS77" s="159"/>
    </row>
    <row r="78" spans="1:45" x14ac:dyDescent="0.25">
      <c r="A78" s="470"/>
      <c r="B78" s="427"/>
      <c r="C78" s="427"/>
      <c r="D78" s="427"/>
      <c r="E78" s="427"/>
      <c r="F78" s="427">
        <v>28</v>
      </c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  <c r="S78" s="427"/>
      <c r="T78" s="427"/>
      <c r="U78" s="427"/>
      <c r="V78" s="427"/>
      <c r="W78" s="427"/>
      <c r="X78" s="176">
        <f t="shared" si="8"/>
        <v>28</v>
      </c>
      <c r="Y78" s="248" t="s">
        <v>250</v>
      </c>
      <c r="Z78" s="428"/>
      <c r="AA78" s="177">
        <v>33</v>
      </c>
      <c r="AB78" s="199"/>
      <c r="AC78" s="201"/>
      <c r="AD78" s="187">
        <f>-AE78/$D$2%</f>
        <v>0</v>
      </c>
      <c r="AE78" s="201"/>
      <c r="AF78" s="428"/>
      <c r="AG78" s="201"/>
      <c r="AH78" s="417">
        <f t="shared" si="6"/>
        <v>9.24</v>
      </c>
      <c r="AI78" s="429"/>
      <c r="AJ78" s="199"/>
      <c r="AK78" s="199"/>
      <c r="AL78" s="199"/>
      <c r="AM78" s="199"/>
      <c r="AN78" s="199"/>
      <c r="AO78" s="199"/>
      <c r="AP78" s="199"/>
      <c r="AQ78" s="188">
        <f>X78*AA78/100+AE78*AA78%</f>
        <v>9.24</v>
      </c>
      <c r="AR78" s="159"/>
      <c r="AS78" s="159"/>
    </row>
    <row r="79" spans="1:45" x14ac:dyDescent="0.25">
      <c r="A79" s="470"/>
      <c r="B79" s="427"/>
      <c r="C79" s="427"/>
      <c r="D79" s="427"/>
      <c r="E79" s="427"/>
      <c r="F79" s="427"/>
      <c r="G79" s="427">
        <v>318.2</v>
      </c>
      <c r="H79" s="427">
        <v>0.8</v>
      </c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176">
        <f t="shared" si="8"/>
        <v>319</v>
      </c>
      <c r="Y79" s="248" t="s">
        <v>252</v>
      </c>
      <c r="Z79" s="428"/>
      <c r="AA79" s="177">
        <v>33</v>
      </c>
      <c r="AB79" s="199"/>
      <c r="AC79" s="201"/>
      <c r="AD79" s="428"/>
      <c r="AE79" s="201"/>
      <c r="AF79" s="428"/>
      <c r="AG79" s="201"/>
      <c r="AH79" s="417">
        <f t="shared" si="6"/>
        <v>105.27</v>
      </c>
      <c r="AI79" s="430"/>
      <c r="AJ79" s="199"/>
      <c r="AK79" s="199"/>
      <c r="AL79" s="199"/>
      <c r="AM79" s="199"/>
      <c r="AN79" s="199"/>
      <c r="AO79" s="199"/>
      <c r="AP79" s="199"/>
      <c r="AQ79" s="188">
        <f>X79*AA79/100</f>
        <v>105.27</v>
      </c>
      <c r="AR79" s="159"/>
      <c r="AS79" s="159"/>
    </row>
    <row r="80" spans="1:45" ht="15.75" thickBot="1" x14ac:dyDescent="0.3">
      <c r="A80" s="470"/>
      <c r="B80" s="427"/>
      <c r="C80" s="427"/>
      <c r="D80" s="427">
        <v>9.4</v>
      </c>
      <c r="E80" s="427"/>
      <c r="F80" s="427">
        <v>58.5</v>
      </c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71">
        <f t="shared" si="8"/>
        <v>67.900000000000006</v>
      </c>
      <c r="Y80" s="250" t="s">
        <v>254</v>
      </c>
      <c r="Z80" s="432"/>
      <c r="AA80" s="177">
        <v>33</v>
      </c>
      <c r="AB80" s="436"/>
      <c r="AC80" s="433"/>
      <c r="AD80" s="432"/>
      <c r="AE80" s="433"/>
      <c r="AF80" s="432"/>
      <c r="AG80" s="433"/>
      <c r="AH80" s="434">
        <f t="shared" si="6"/>
        <v>22.407000000000004</v>
      </c>
      <c r="AI80" s="435"/>
      <c r="AJ80" s="436"/>
      <c r="AK80" s="436"/>
      <c r="AL80" s="436"/>
      <c r="AM80" s="436"/>
      <c r="AN80" s="436"/>
      <c r="AO80" s="436"/>
      <c r="AP80" s="436"/>
      <c r="AQ80" s="188">
        <f>X80*AA80/100</f>
        <v>22.407000000000004</v>
      </c>
      <c r="AR80" s="159"/>
      <c r="AS80" s="159"/>
    </row>
    <row r="81" spans="1:51" ht="15.75" thickBot="1" x14ac:dyDescent="0.3">
      <c r="A81" s="472">
        <f t="shared" ref="A81:W81" si="9">SUM(A8:A80)</f>
        <v>539.2463229567519</v>
      </c>
      <c r="B81" s="473">
        <f t="shared" si="9"/>
        <v>22.2</v>
      </c>
      <c r="C81" s="473">
        <f t="shared" si="9"/>
        <v>0</v>
      </c>
      <c r="D81" s="473">
        <f t="shared" si="9"/>
        <v>9.4</v>
      </c>
      <c r="E81" s="473">
        <f t="shared" si="9"/>
        <v>505.51</v>
      </c>
      <c r="F81" s="473">
        <f t="shared" si="9"/>
        <v>959.25730399999998</v>
      </c>
      <c r="G81" s="473">
        <f t="shared" si="9"/>
        <v>318.2</v>
      </c>
      <c r="H81" s="473">
        <f t="shared" si="9"/>
        <v>657.85507999999993</v>
      </c>
      <c r="I81" s="473">
        <f t="shared" si="9"/>
        <v>3271.7837600000003</v>
      </c>
      <c r="J81" s="473">
        <f t="shared" si="9"/>
        <v>25</v>
      </c>
      <c r="K81" s="473">
        <f t="shared" si="9"/>
        <v>0</v>
      </c>
      <c r="L81" s="473">
        <f t="shared" si="9"/>
        <v>2.8</v>
      </c>
      <c r="M81" s="473">
        <f t="shared" si="9"/>
        <v>0</v>
      </c>
      <c r="N81" s="473">
        <f t="shared" si="9"/>
        <v>0.50600000000000001</v>
      </c>
      <c r="O81" s="473">
        <f t="shared" si="9"/>
        <v>0</v>
      </c>
      <c r="P81" s="473">
        <f t="shared" si="9"/>
        <v>3.3276159999999999</v>
      </c>
      <c r="Q81" s="473">
        <f t="shared" si="9"/>
        <v>33</v>
      </c>
      <c r="R81" s="473">
        <f t="shared" si="9"/>
        <v>173.917</v>
      </c>
      <c r="S81" s="473">
        <f t="shared" si="9"/>
        <v>45.234000000000002</v>
      </c>
      <c r="T81" s="473">
        <f t="shared" si="9"/>
        <v>0</v>
      </c>
      <c r="U81" s="473">
        <f t="shared" si="9"/>
        <v>229.67010000000005</v>
      </c>
      <c r="V81" s="473">
        <f t="shared" si="9"/>
        <v>18.933</v>
      </c>
      <c r="W81" s="473">
        <f t="shared" si="9"/>
        <v>187.91190000000003</v>
      </c>
      <c r="X81" s="474">
        <f>SUM(X8:X80)</f>
        <v>7003.752082956752</v>
      </c>
      <c r="Y81" s="440" t="s">
        <v>464</v>
      </c>
      <c r="Z81" s="475"/>
      <c r="AA81" s="475"/>
      <c r="AB81" s="475"/>
      <c r="AC81" s="475"/>
      <c r="AD81" s="472">
        <f t="shared" ref="AD81:AQ81" si="10">SUM(AD8:AD80)</f>
        <v>-1.7053025658242404E-13</v>
      </c>
      <c r="AE81" s="474">
        <f t="shared" si="10"/>
        <v>1373.0452357291699</v>
      </c>
      <c r="AF81" s="472">
        <f t="shared" si="10"/>
        <v>0</v>
      </c>
      <c r="AG81" s="474">
        <f t="shared" si="10"/>
        <v>1966.196853552</v>
      </c>
      <c r="AH81" s="476">
        <f t="shared" si="10"/>
        <v>4254.6738128519473</v>
      </c>
      <c r="AI81" s="477">
        <f t="shared" si="10"/>
        <v>1803.759230694571</v>
      </c>
      <c r="AJ81" s="473">
        <f t="shared" si="10"/>
        <v>332.84146860578397</v>
      </c>
      <c r="AK81" s="473">
        <f t="shared" si="10"/>
        <v>366.70798061546401</v>
      </c>
      <c r="AL81" s="473">
        <f t="shared" si="10"/>
        <v>237.52180196904004</v>
      </c>
      <c r="AM81" s="473">
        <f t="shared" si="10"/>
        <v>10.0481584572</v>
      </c>
      <c r="AN81" s="473">
        <f t="shared" si="10"/>
        <v>926.40207085439999</v>
      </c>
      <c r="AO81" s="473">
        <f t="shared" si="10"/>
        <v>38.531084898288</v>
      </c>
      <c r="AP81" s="473">
        <f t="shared" si="10"/>
        <v>28.445016757199998</v>
      </c>
      <c r="AQ81" s="474">
        <f t="shared" si="10"/>
        <v>510.41699999999997</v>
      </c>
      <c r="AR81" s="159"/>
      <c r="AS81" s="159"/>
    </row>
    <row r="82" spans="1:51" x14ac:dyDescent="0.25">
      <c r="A82" s="391">
        <f>A81*A89/1000</f>
        <v>113.24172782091789</v>
      </c>
      <c r="B82" s="386">
        <f t="shared" ref="B82:W82" si="11">B81*B89/1000</f>
        <v>1.4430000000000001</v>
      </c>
      <c r="C82" s="386">
        <f t="shared" si="11"/>
        <v>0</v>
      </c>
      <c r="D82" s="386">
        <f t="shared" si="11"/>
        <v>0.73320000000000007</v>
      </c>
      <c r="E82" s="386">
        <f t="shared" si="11"/>
        <v>37.407739999999997</v>
      </c>
      <c r="F82" s="386">
        <f t="shared" si="11"/>
        <v>70.985040495999996</v>
      </c>
      <c r="G82" s="386">
        <f t="shared" si="11"/>
        <v>22.910399999999999</v>
      </c>
      <c r="H82" s="386">
        <f t="shared" si="11"/>
        <v>48.023420839999993</v>
      </c>
      <c r="I82" s="386">
        <f t="shared" si="11"/>
        <v>185.47742135440001</v>
      </c>
      <c r="J82" s="386">
        <f t="shared" si="11"/>
        <v>0</v>
      </c>
      <c r="K82" s="386">
        <f t="shared" si="11"/>
        <v>0</v>
      </c>
      <c r="L82" s="386">
        <f t="shared" si="11"/>
        <v>0</v>
      </c>
      <c r="M82" s="386">
        <f t="shared" si="11"/>
        <v>0</v>
      </c>
      <c r="N82" s="386">
        <f t="shared" si="11"/>
        <v>0</v>
      </c>
      <c r="O82" s="386">
        <f t="shared" si="11"/>
        <v>0</v>
      </c>
      <c r="P82" s="386">
        <f t="shared" si="11"/>
        <v>0</v>
      </c>
      <c r="Q82" s="386">
        <f t="shared" si="11"/>
        <v>0</v>
      </c>
      <c r="R82" s="386">
        <f t="shared" si="11"/>
        <v>0</v>
      </c>
      <c r="S82" s="386">
        <f t="shared" si="11"/>
        <v>0</v>
      </c>
      <c r="T82" s="386">
        <f t="shared" si="11"/>
        <v>0</v>
      </c>
      <c r="U82" s="386">
        <f t="shared" si="11"/>
        <v>0</v>
      </c>
      <c r="V82" s="386">
        <f t="shared" si="11"/>
        <v>0</v>
      </c>
      <c r="W82" s="386">
        <f t="shared" si="11"/>
        <v>14.822490672000002</v>
      </c>
      <c r="X82" s="418">
        <f>SUM(A82:W82)</f>
        <v>495.04444118331793</v>
      </c>
      <c r="Y82" s="443" t="s">
        <v>521</v>
      </c>
      <c r="Z82" s="444">
        <f>X82*1000/D1</f>
        <v>9.9626572989196607</v>
      </c>
      <c r="AA82" s="445" t="s">
        <v>465</v>
      </c>
      <c r="AB82" s="445"/>
      <c r="AC82" s="446"/>
      <c r="AD82" s="447"/>
      <c r="AE82" s="447"/>
      <c r="AF82" s="447"/>
      <c r="AG82" s="447"/>
      <c r="AH82" s="447"/>
      <c r="AI82" s="447"/>
      <c r="AJ82" s="447"/>
      <c r="AK82" s="447"/>
      <c r="AL82" s="196"/>
      <c r="AM82" s="196"/>
      <c r="AN82" s="196"/>
      <c r="AO82" s="196"/>
      <c r="AP82" s="196"/>
      <c r="AQ82" s="196"/>
      <c r="AR82" s="159"/>
      <c r="AS82" s="159"/>
      <c r="AT82" s="137"/>
      <c r="AU82" s="137"/>
      <c r="AV82" s="137"/>
      <c r="AW82" s="137"/>
      <c r="AX82" s="137"/>
      <c r="AY82" s="137"/>
    </row>
    <row r="83" spans="1:51" x14ac:dyDescent="0.25">
      <c r="A83" s="191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5">
        <v>229.66365161464361</v>
      </c>
      <c r="P83" s="175">
        <v>674.58061439999994</v>
      </c>
      <c r="Q83" s="175">
        <v>690.99633108414662</v>
      </c>
      <c r="R83" s="175">
        <v>438.65263353147589</v>
      </c>
      <c r="S83" s="172"/>
      <c r="T83" s="172"/>
      <c r="U83" s="172"/>
      <c r="V83" s="172"/>
      <c r="W83" s="172"/>
      <c r="X83" s="173">
        <f>SUM(A83:W83)</f>
        <v>2033.8932306302661</v>
      </c>
      <c r="Y83" s="192" t="s">
        <v>466</v>
      </c>
      <c r="Z83" s="251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8.2903521810001308</v>
      </c>
      <c r="AA83" s="74" t="s">
        <v>550</v>
      </c>
      <c r="AB83" s="217"/>
      <c r="AC83" s="218"/>
      <c r="AD83" s="447"/>
      <c r="AE83" s="447"/>
      <c r="AF83" s="447"/>
      <c r="AG83" s="447"/>
      <c r="AH83" s="447"/>
      <c r="AI83" s="447"/>
      <c r="AJ83" s="447"/>
      <c r="AK83" s="447"/>
      <c r="AL83" s="196"/>
      <c r="AM83" s="196"/>
      <c r="AN83" s="196"/>
      <c r="AO83" s="196"/>
      <c r="AP83" s="196"/>
      <c r="AQ83" s="196"/>
      <c r="AR83" s="159"/>
      <c r="AS83" s="159"/>
      <c r="AT83" s="137"/>
      <c r="AU83" s="137"/>
      <c r="AV83" s="137"/>
      <c r="AW83" s="137"/>
      <c r="AX83" s="137"/>
      <c r="AY83" s="137"/>
    </row>
    <row r="84" spans="1:51" ht="15.75" thickBot="1" x14ac:dyDescent="0.3">
      <c r="A84" s="448"/>
      <c r="B84" s="449"/>
      <c r="C84" s="449"/>
      <c r="D84" s="449"/>
      <c r="E84" s="449"/>
      <c r="F84" s="449"/>
      <c r="G84" s="449"/>
      <c r="H84" s="449"/>
      <c r="I84" s="449"/>
      <c r="J84" s="449" t="s">
        <v>783</v>
      </c>
      <c r="K84" s="449" t="s">
        <v>783</v>
      </c>
      <c r="L84" s="449" t="s">
        <v>783</v>
      </c>
      <c r="M84" s="449" t="s">
        <v>783</v>
      </c>
      <c r="N84" s="449" t="s">
        <v>783</v>
      </c>
      <c r="O84" s="449">
        <v>0</v>
      </c>
      <c r="P84" s="449">
        <v>0.43109095309335949</v>
      </c>
      <c r="Q84" s="449">
        <v>4.7757127665532275</v>
      </c>
      <c r="R84" s="449">
        <v>39.648000879383858</v>
      </c>
      <c r="S84" s="449" t="s">
        <v>783</v>
      </c>
      <c r="T84" s="449" t="s">
        <v>783</v>
      </c>
      <c r="U84" s="449" t="s">
        <v>783</v>
      </c>
      <c r="V84" s="449" t="s">
        <v>783</v>
      </c>
      <c r="W84" s="449" t="s">
        <v>783</v>
      </c>
      <c r="X84" s="450">
        <f>SUMIF(J83:W83,"&gt;0",J81:W81)/SUM(J83:W83)%</f>
        <v>10.337052743660939</v>
      </c>
      <c r="Y84" s="451" t="s">
        <v>467</v>
      </c>
      <c r="Z84" s="252"/>
      <c r="AA84" s="253"/>
      <c r="AB84" s="219"/>
      <c r="AC84" s="220"/>
      <c r="AD84" s="447"/>
      <c r="AE84" s="447"/>
      <c r="AF84" s="478"/>
      <c r="AG84" s="447"/>
      <c r="AH84" s="447"/>
      <c r="AI84" s="447"/>
      <c r="AJ84" s="447"/>
      <c r="AK84" s="447"/>
      <c r="AL84" s="196"/>
      <c r="AM84" s="196"/>
      <c r="AN84" s="196"/>
      <c r="AO84" s="196"/>
      <c r="AP84" s="196"/>
      <c r="AQ84" s="196"/>
      <c r="AR84" s="159"/>
      <c r="AS84" s="159"/>
      <c r="AT84" s="137"/>
      <c r="AU84" s="137"/>
      <c r="AV84" s="137"/>
      <c r="AW84" s="137"/>
      <c r="AX84" s="137"/>
      <c r="AY84" s="137"/>
    </row>
    <row r="85" spans="1:51" ht="15.75" thickBot="1" x14ac:dyDescent="0.3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166"/>
      <c r="Z85" s="166"/>
      <c r="AA85" s="161"/>
      <c r="AB85" s="166"/>
      <c r="AC85" s="245"/>
      <c r="AD85" s="395"/>
      <c r="AE85" s="395"/>
      <c r="AF85" s="478"/>
      <c r="AG85" s="395"/>
      <c r="AH85" s="395"/>
      <c r="AI85" s="395"/>
      <c r="AJ85" s="395"/>
      <c r="AK85" s="395"/>
      <c r="AL85" s="245"/>
      <c r="AM85" s="245"/>
      <c r="AN85" s="245"/>
      <c r="AO85" s="245"/>
      <c r="AP85" s="245"/>
      <c r="AQ85" s="245"/>
      <c r="AR85" s="159"/>
      <c r="AS85" s="159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139" t="s">
        <v>468</v>
      </c>
      <c r="B86" s="808" t="str">
        <f t="shared" ref="B86:W86" si="12">B7</f>
        <v xml:space="preserve">  LPG og petroleum</v>
      </c>
      <c r="C86" s="808" t="str">
        <f t="shared" si="12"/>
        <v xml:space="preserve">  Kul</v>
      </c>
      <c r="D86" s="808" t="str">
        <f t="shared" si="12"/>
        <v xml:space="preserve">  Fuelolie</v>
      </c>
      <c r="E86" s="808" t="str">
        <f t="shared" si="12"/>
        <v xml:space="preserve">  Brændselsolie</v>
      </c>
      <c r="F86" s="808" t="str">
        <f t="shared" si="12"/>
        <v xml:space="preserve">  Dieselolie</v>
      </c>
      <c r="G86" s="808" t="str">
        <f t="shared" si="12"/>
        <v xml:space="preserve">  JP1</v>
      </c>
      <c r="H86" s="808" t="str">
        <f t="shared" si="12"/>
        <v xml:space="preserve">  Benzin</v>
      </c>
      <c r="I86" s="808" t="str">
        <f t="shared" si="12"/>
        <v xml:space="preserve">  Naturgas</v>
      </c>
      <c r="J86" s="808" t="str">
        <f t="shared" si="12"/>
        <v xml:space="preserve">  Vindenergi</v>
      </c>
      <c r="K86" s="808" t="str">
        <f t="shared" si="12"/>
        <v xml:space="preserve">  Vandenergi</v>
      </c>
      <c r="L86" s="808" t="str">
        <f t="shared" si="12"/>
        <v xml:space="preserve">  Solenergi</v>
      </c>
      <c r="M86" s="808" t="str">
        <f t="shared" si="12"/>
        <v xml:space="preserve">  Geotermi</v>
      </c>
      <c r="N86" s="808" t="str">
        <f t="shared" si="12"/>
        <v xml:space="preserve">  Varmekilder til varmepumper</v>
      </c>
      <c r="O86" s="808" t="str">
        <f t="shared" si="12"/>
        <v xml:space="preserve">  Husdyrsgødning</v>
      </c>
      <c r="P86" s="808" t="str">
        <f t="shared" si="12"/>
        <v xml:space="preserve">  Biobrændstof og energiafgrøder</v>
      </c>
      <c r="Q86" s="808" t="str">
        <f t="shared" si="12"/>
        <v xml:space="preserve">  Halm</v>
      </c>
      <c r="R86" s="808" t="str">
        <f t="shared" si="12"/>
        <v xml:space="preserve">  Brænde og træflis</v>
      </c>
      <c r="S86" s="808" t="str">
        <f t="shared" si="12"/>
        <v xml:space="preserve">  Træpiller og træaffald</v>
      </c>
      <c r="T86" s="808" t="str">
        <f t="shared" si="12"/>
        <v xml:space="preserve">  Organisk affald, industri</v>
      </c>
      <c r="U86" s="808" t="str">
        <f t="shared" si="12"/>
        <v xml:space="preserve">  Organisk affald, husholdninger</v>
      </c>
      <c r="V86" s="808" t="str">
        <f t="shared" si="12"/>
        <v xml:space="preserve">  Deponi, slam, renseanlæg</v>
      </c>
      <c r="W86" s="811" t="str">
        <f t="shared" si="12"/>
        <v xml:space="preserve">  Affald, ikke bionedbrydeligt</v>
      </c>
      <c r="X86" s="166"/>
      <c r="Y86" s="166"/>
      <c r="Z86" s="166"/>
      <c r="AA86" s="161"/>
      <c r="AB86" s="166"/>
      <c r="AC86" s="166"/>
      <c r="AD86" s="161"/>
      <c r="AE86" s="161"/>
      <c r="AF86" s="161"/>
      <c r="AG86" s="161"/>
      <c r="AH86" s="161"/>
      <c r="AI86" s="161"/>
      <c r="AJ86" s="161"/>
      <c r="AK86" s="161"/>
      <c r="AL86" s="166"/>
      <c r="AM86" s="166"/>
      <c r="AN86" s="166"/>
      <c r="AO86" s="166"/>
      <c r="AP86" s="166"/>
      <c r="AQ86" s="166"/>
      <c r="AR86" s="52"/>
      <c r="AS86" s="52"/>
      <c r="AT86" s="137"/>
      <c r="AU86" s="137"/>
      <c r="AV86" s="137"/>
      <c r="AW86" s="137"/>
      <c r="AX86" s="137"/>
      <c r="AY86" s="137"/>
    </row>
    <row r="87" spans="1:51" ht="15.75" x14ac:dyDescent="0.25">
      <c r="A87" s="452">
        <v>14</v>
      </c>
      <c r="B87" s="809"/>
      <c r="C87" s="809"/>
      <c r="D87" s="809"/>
      <c r="E87" s="809"/>
      <c r="F87" s="809"/>
      <c r="G87" s="809"/>
      <c r="H87" s="809"/>
      <c r="I87" s="809"/>
      <c r="J87" s="809"/>
      <c r="K87" s="809"/>
      <c r="L87" s="809"/>
      <c r="M87" s="809"/>
      <c r="N87" s="809"/>
      <c r="O87" s="809"/>
      <c r="P87" s="809"/>
      <c r="Q87" s="809"/>
      <c r="R87" s="809"/>
      <c r="S87" s="809"/>
      <c r="T87" s="809"/>
      <c r="U87" s="809"/>
      <c r="V87" s="809"/>
      <c r="W87" s="812"/>
      <c r="X87" s="166"/>
      <c r="Y87" s="166"/>
      <c r="Z87" s="166"/>
      <c r="AA87" s="161"/>
      <c r="AB87" s="166"/>
      <c r="AC87" s="166"/>
      <c r="AD87" s="161"/>
      <c r="AE87" s="161"/>
      <c r="AF87" s="161"/>
      <c r="AG87" s="161"/>
      <c r="AH87" s="161"/>
      <c r="AI87" s="161"/>
      <c r="AJ87" s="161"/>
      <c r="AK87" s="161"/>
      <c r="AL87" s="166"/>
      <c r="AM87" s="166"/>
      <c r="AN87" s="166"/>
      <c r="AO87" s="166"/>
      <c r="AP87" s="166"/>
      <c r="AQ87" s="166"/>
      <c r="AR87" s="52"/>
      <c r="AS87" s="52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221" t="s">
        <v>469</v>
      </c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3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52"/>
      <c r="AS88" s="52"/>
      <c r="AT88" s="137"/>
      <c r="AU88" s="137"/>
      <c r="AV88" s="137"/>
      <c r="AW88" s="137"/>
      <c r="AX88" s="137"/>
      <c r="AY88" s="137"/>
    </row>
    <row r="89" spans="1:51" ht="16.5" thickBot="1" x14ac:dyDescent="0.3">
      <c r="A89" s="228">
        <v>210</v>
      </c>
      <c r="B89" s="222">
        <v>65</v>
      </c>
      <c r="C89" s="222">
        <v>95</v>
      </c>
      <c r="D89" s="222">
        <v>78</v>
      </c>
      <c r="E89" s="222">
        <v>74</v>
      </c>
      <c r="F89" s="222">
        <v>74</v>
      </c>
      <c r="G89" s="222">
        <v>72</v>
      </c>
      <c r="H89" s="222">
        <v>73</v>
      </c>
      <c r="I89" s="222">
        <v>56.69</v>
      </c>
      <c r="J89" s="222"/>
      <c r="K89" s="222"/>
      <c r="L89" s="222"/>
      <c r="M89" s="222"/>
      <c r="N89" s="225"/>
      <c r="O89" s="222"/>
      <c r="P89" s="222"/>
      <c r="Q89" s="222"/>
      <c r="R89" s="222"/>
      <c r="S89" s="222"/>
      <c r="T89" s="222"/>
      <c r="U89" s="222"/>
      <c r="V89" s="225"/>
      <c r="W89" s="225">
        <v>78.88</v>
      </c>
      <c r="X89" s="456" t="s">
        <v>522</v>
      </c>
      <c r="Y89" s="457"/>
      <c r="Z89" s="458"/>
      <c r="AA89" s="458"/>
      <c r="AB89" s="458"/>
      <c r="AC89" s="458"/>
      <c r="AD89" s="458"/>
      <c r="AE89" s="458"/>
      <c r="AF89" s="458"/>
      <c r="AG89" s="458"/>
      <c r="AH89" s="458"/>
      <c r="AI89" s="458"/>
      <c r="AJ89" s="458"/>
      <c r="AK89" s="458"/>
      <c r="AL89" s="458"/>
      <c r="AM89" s="458"/>
      <c r="AN89" s="458"/>
      <c r="AO89" s="458"/>
      <c r="AP89" s="458"/>
      <c r="AQ89" s="458"/>
      <c r="AR89" s="459"/>
      <c r="AS89" s="459"/>
      <c r="AT89" s="140"/>
      <c r="AU89" s="140"/>
      <c r="AV89" s="140"/>
      <c r="AW89" s="140"/>
      <c r="AX89" s="140"/>
      <c r="AY89" s="140"/>
    </row>
    <row r="90" spans="1:51" x14ac:dyDescent="0.25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159"/>
      <c r="AT90" s="137"/>
      <c r="AU90" s="137"/>
      <c r="AV90" s="137"/>
      <c r="AW90" s="137"/>
      <c r="AX90" s="137"/>
      <c r="AY90" s="137"/>
    </row>
    <row r="91" spans="1:51" x14ac:dyDescent="0.25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255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37"/>
      <c r="AU91" s="137"/>
      <c r="AV91" s="137"/>
      <c r="AW91" s="137"/>
      <c r="AX91" s="137"/>
      <c r="AY91" s="137"/>
    </row>
    <row r="92" spans="1:51" x14ac:dyDescent="0.25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245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37"/>
      <c r="AU92" s="137"/>
      <c r="AV92" s="137"/>
      <c r="AW92" s="137"/>
      <c r="AX92" s="137"/>
      <c r="AY92" s="137"/>
    </row>
    <row r="93" spans="1:51" ht="20.25" x14ac:dyDescent="0.3">
      <c r="A93" s="256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255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37"/>
      <c r="AU93" s="137"/>
      <c r="AV93" s="137"/>
      <c r="AW93" s="137"/>
      <c r="AX93" s="137"/>
      <c r="AY93" s="137"/>
    </row>
    <row r="94" spans="1:51" x14ac:dyDescent="0.25">
      <c r="A94" s="159"/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37"/>
      <c r="AU94" s="137"/>
      <c r="AV94" s="137"/>
      <c r="AW94" s="137"/>
      <c r="AX94" s="137"/>
      <c r="AY94" s="137"/>
    </row>
    <row r="95" spans="1:5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5"/>
      <c r="Y95" s="142"/>
      <c r="Z95" s="135"/>
      <c r="AA95" s="135"/>
      <c r="AB95" s="135"/>
      <c r="AC95" s="135"/>
      <c r="AD95" s="135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</row>
    <row r="117" spans="2:2" x14ac:dyDescent="0.25">
      <c r="B117" s="158" t="e">
        <f>' Plan Energi 2009'!AD</f>
        <v>#NAME?</v>
      </c>
    </row>
  </sheetData>
  <mergeCells count="30">
    <mergeCell ref="D1:E1"/>
    <mergeCell ref="Y1:Y2"/>
    <mergeCell ref="Y3:Y4"/>
    <mergeCell ref="A6:X6"/>
    <mergeCell ref="Z6:AC6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</mergeCells>
  <pageMargins left="0.7" right="0.7" top="0.75" bottom="0.75" header="0.3" footer="0.3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Y117"/>
  <sheetViews>
    <sheetView topLeftCell="A43" zoomScale="78" zoomScaleNormal="78" workbookViewId="0">
      <selection activeCell="M68" sqref="M68"/>
    </sheetView>
  </sheetViews>
  <sheetFormatPr defaultRowHeight="15" x14ac:dyDescent="0.25"/>
  <cols>
    <col min="1" max="24" width="9.140625" style="231"/>
    <col min="25" max="25" width="49.5703125" style="231" customWidth="1"/>
    <col min="26" max="29" width="9.140625" style="231"/>
    <col min="30" max="30" width="12.42578125" style="231" customWidth="1"/>
    <col min="31" max="16384" width="9.140625" style="231"/>
  </cols>
  <sheetData>
    <row r="1" spans="1:44" ht="23.25" x14ac:dyDescent="0.25">
      <c r="A1" s="393" t="s">
        <v>433</v>
      </c>
      <c r="B1" s="394"/>
      <c r="C1" s="394"/>
      <c r="D1" s="818">
        <v>49463</v>
      </c>
      <c r="E1" s="819"/>
      <c r="F1" s="395"/>
      <c r="G1" s="395"/>
      <c r="H1" s="395"/>
      <c r="I1" s="395"/>
      <c r="J1" s="310"/>
      <c r="K1" s="39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396"/>
      <c r="W1" s="396"/>
      <c r="X1" s="396"/>
      <c r="Y1" s="817" t="s">
        <v>434</v>
      </c>
      <c r="Z1" s="396"/>
      <c r="AA1" s="396"/>
      <c r="AB1" s="396"/>
      <c r="AC1" s="396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159"/>
    </row>
    <row r="2" spans="1:44" ht="23.25" x14ac:dyDescent="0.25">
      <c r="A2" s="397" t="s">
        <v>435</v>
      </c>
      <c r="B2" s="395"/>
      <c r="C2" s="395"/>
      <c r="D2" s="398">
        <v>92.7</v>
      </c>
      <c r="E2" s="399" t="s">
        <v>436</v>
      </c>
      <c r="F2" s="400"/>
      <c r="G2" s="395"/>
      <c r="H2" s="395"/>
      <c r="I2" s="395"/>
      <c r="J2" s="395"/>
      <c r="K2" s="39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396"/>
      <c r="W2" s="396"/>
      <c r="X2" s="396"/>
      <c r="Y2" s="817"/>
      <c r="Z2" s="396"/>
      <c r="AA2" s="396"/>
      <c r="AB2" s="396"/>
      <c r="AC2" s="396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159"/>
    </row>
    <row r="3" spans="1:44" ht="24" customHeight="1" thickBot="1" x14ac:dyDescent="0.3">
      <c r="A3" s="401" t="s">
        <v>437</v>
      </c>
      <c r="B3" s="402"/>
      <c r="C3" s="403"/>
      <c r="D3" s="402" t="s">
        <v>438</v>
      </c>
      <c r="E3" s="404"/>
      <c r="F3" s="395"/>
      <c r="G3" s="395"/>
      <c r="H3" s="395"/>
      <c r="I3" s="395"/>
      <c r="J3" s="395"/>
      <c r="K3" s="39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396"/>
      <c r="W3" s="396"/>
      <c r="X3" s="396"/>
      <c r="Y3" s="807" t="s">
        <v>784</v>
      </c>
      <c r="Z3" s="396"/>
      <c r="AA3" s="396"/>
      <c r="AB3" s="396"/>
      <c r="AC3" s="396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159"/>
    </row>
    <row r="4" spans="1:44" ht="23.25" customHeight="1" x14ac:dyDescent="0.25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396"/>
      <c r="W4" s="396"/>
      <c r="X4" s="396"/>
      <c r="Y4" s="807"/>
      <c r="Z4" s="396"/>
      <c r="AA4" s="396"/>
      <c r="AB4" s="396"/>
      <c r="AC4" s="396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159"/>
    </row>
    <row r="5" spans="1:44" x14ac:dyDescent="0.25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159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159"/>
    </row>
    <row r="6" spans="1:44" ht="15.75" x14ac:dyDescent="0.25">
      <c r="A6" s="814" t="s">
        <v>439</v>
      </c>
      <c r="B6" s="814"/>
      <c r="C6" s="814"/>
      <c r="D6" s="814"/>
      <c r="E6" s="814"/>
      <c r="F6" s="814"/>
      <c r="G6" s="814"/>
      <c r="H6" s="814"/>
      <c r="I6" s="814"/>
      <c r="J6" s="814"/>
      <c r="K6" s="814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405" t="s">
        <v>440</v>
      </c>
      <c r="Z6" s="814" t="s">
        <v>35</v>
      </c>
      <c r="AA6" s="814"/>
      <c r="AB6" s="814"/>
      <c r="AC6" s="814"/>
      <c r="AD6" s="814" t="s">
        <v>441</v>
      </c>
      <c r="AE6" s="814"/>
      <c r="AF6" s="814" t="s">
        <v>442</v>
      </c>
      <c r="AG6" s="814"/>
      <c r="AH6" s="406"/>
      <c r="AI6" s="814" t="s">
        <v>443</v>
      </c>
      <c r="AJ6" s="814"/>
      <c r="AK6" s="814"/>
      <c r="AL6" s="814"/>
      <c r="AM6" s="814"/>
      <c r="AN6" s="814"/>
      <c r="AO6" s="814"/>
      <c r="AP6" s="814"/>
      <c r="AQ6" s="814"/>
      <c r="AR6" s="159"/>
    </row>
    <row r="7" spans="1:44" ht="171.75" customHeight="1" thickBot="1" x14ac:dyDescent="0.65">
      <c r="A7" s="407" t="s">
        <v>378</v>
      </c>
      <c r="B7" s="408" t="s">
        <v>379</v>
      </c>
      <c r="C7" s="408" t="s">
        <v>380</v>
      </c>
      <c r="D7" s="408" t="s">
        <v>381</v>
      </c>
      <c r="E7" s="409" t="s">
        <v>383</v>
      </c>
      <c r="F7" s="408" t="s">
        <v>384</v>
      </c>
      <c r="G7" s="408" t="s">
        <v>385</v>
      </c>
      <c r="H7" s="409" t="s">
        <v>387</v>
      </c>
      <c r="I7" s="409" t="s">
        <v>549</v>
      </c>
      <c r="J7" s="409" t="s">
        <v>390</v>
      </c>
      <c r="K7" s="409" t="s">
        <v>392</v>
      </c>
      <c r="L7" s="409" t="s">
        <v>393</v>
      </c>
      <c r="M7" s="409" t="s">
        <v>394</v>
      </c>
      <c r="N7" s="409" t="s">
        <v>396</v>
      </c>
      <c r="O7" s="409" t="s">
        <v>397</v>
      </c>
      <c r="P7" s="409" t="s">
        <v>398</v>
      </c>
      <c r="Q7" s="409" t="s">
        <v>400</v>
      </c>
      <c r="R7" s="409" t="s">
        <v>401</v>
      </c>
      <c r="S7" s="409" t="s">
        <v>402</v>
      </c>
      <c r="T7" s="409" t="s">
        <v>403</v>
      </c>
      <c r="U7" s="409" t="s">
        <v>404</v>
      </c>
      <c r="V7" s="409" t="s">
        <v>405</v>
      </c>
      <c r="W7" s="409" t="s">
        <v>406</v>
      </c>
      <c r="X7" s="410" t="s">
        <v>444</v>
      </c>
      <c r="Y7" s="233"/>
      <c r="Z7" s="411" t="s">
        <v>445</v>
      </c>
      <c r="AA7" s="409" t="s">
        <v>446</v>
      </c>
      <c r="AB7" s="409" t="s">
        <v>447</v>
      </c>
      <c r="AC7" s="410" t="s">
        <v>448</v>
      </c>
      <c r="AD7" s="412" t="s">
        <v>449</v>
      </c>
      <c r="AE7" s="410" t="s">
        <v>450</v>
      </c>
      <c r="AF7" s="412" t="s">
        <v>449</v>
      </c>
      <c r="AG7" s="410" t="s">
        <v>450</v>
      </c>
      <c r="AH7" s="413" t="s">
        <v>451</v>
      </c>
      <c r="AI7" s="414" t="s">
        <v>452</v>
      </c>
      <c r="AJ7" s="409" t="s">
        <v>453</v>
      </c>
      <c r="AK7" s="409" t="s">
        <v>454</v>
      </c>
      <c r="AL7" s="409" t="s">
        <v>455</v>
      </c>
      <c r="AM7" s="409" t="s">
        <v>456</v>
      </c>
      <c r="AN7" s="409" t="s">
        <v>457</v>
      </c>
      <c r="AO7" s="415" t="s">
        <v>458</v>
      </c>
      <c r="AP7" s="415" t="s">
        <v>459</v>
      </c>
      <c r="AQ7" s="410" t="s">
        <v>460</v>
      </c>
      <c r="AR7" s="416"/>
    </row>
    <row r="8" spans="1:44" x14ac:dyDescent="0.25">
      <c r="A8" s="19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0"/>
      <c r="O8" s="172"/>
      <c r="P8" s="172"/>
      <c r="Q8" s="172"/>
      <c r="R8" s="172"/>
      <c r="S8" s="172"/>
      <c r="T8" s="172"/>
      <c r="U8" s="172"/>
      <c r="V8" s="172"/>
      <c r="W8" s="172"/>
      <c r="X8" s="173">
        <f t="shared" ref="X8:X64" si="0">SUM(A8:W8)</f>
        <v>0</v>
      </c>
      <c r="Y8" s="234" t="s">
        <v>307</v>
      </c>
      <c r="Z8" s="191"/>
      <c r="AA8" s="172">
        <v>44</v>
      </c>
      <c r="AB8" s="172"/>
      <c r="AC8" s="173"/>
      <c r="AD8" s="187">
        <f t="shared" ref="AD8:AD14" si="1">-AE8/$D$2%</f>
        <v>-47.456562143206909</v>
      </c>
      <c r="AE8" s="188">
        <f>AH8/AA8%</f>
        <v>43.992233106752806</v>
      </c>
      <c r="AF8" s="187"/>
      <c r="AG8" s="188"/>
      <c r="AH8" s="417">
        <f t="shared" ref="AH8:AH14" si="2">SUM(AI8:AQ8)</f>
        <v>19.356582566971234</v>
      </c>
      <c r="AI8" s="69">
        <v>19.356582566971234</v>
      </c>
      <c r="AJ8" s="175"/>
      <c r="AK8" s="175"/>
      <c r="AL8" s="175"/>
      <c r="AM8" s="175"/>
      <c r="AN8" s="175"/>
      <c r="AO8" s="175"/>
      <c r="AP8" s="175"/>
      <c r="AQ8" s="176"/>
      <c r="AR8" s="159"/>
    </row>
    <row r="9" spans="1:44" x14ac:dyDescent="0.25">
      <c r="A9" s="191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0"/>
      <c r="O9" s="172"/>
      <c r="P9" s="172"/>
      <c r="Q9" s="172"/>
      <c r="R9" s="172"/>
      <c r="S9" s="172"/>
      <c r="T9" s="172"/>
      <c r="U9" s="172"/>
      <c r="V9" s="172"/>
      <c r="W9" s="172"/>
      <c r="X9" s="173">
        <f t="shared" si="0"/>
        <v>0</v>
      </c>
      <c r="Y9" s="234" t="s">
        <v>314</v>
      </c>
      <c r="Z9" s="191"/>
      <c r="AA9" s="172"/>
      <c r="AB9" s="172">
        <v>90</v>
      </c>
      <c r="AC9" s="173"/>
      <c r="AD9" s="187">
        <f t="shared" si="1"/>
        <v>-5.8485970607026161</v>
      </c>
      <c r="AE9" s="188">
        <f>AH9/AB9%</f>
        <v>5.4216494752713258</v>
      </c>
      <c r="AF9" s="187"/>
      <c r="AG9" s="188"/>
      <c r="AH9" s="417">
        <f t="shared" si="2"/>
        <v>4.8794845277441929</v>
      </c>
      <c r="AI9" s="174">
        <v>4.8794845277441929</v>
      </c>
      <c r="AJ9" s="175"/>
      <c r="AK9" s="175"/>
      <c r="AL9" s="175"/>
      <c r="AM9" s="175"/>
      <c r="AN9" s="175"/>
      <c r="AO9" s="175"/>
      <c r="AP9" s="175"/>
      <c r="AQ9" s="176"/>
      <c r="AR9" s="159"/>
    </row>
    <row r="10" spans="1:44" x14ac:dyDescent="0.25">
      <c r="A10" s="191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0"/>
      <c r="O10" s="172"/>
      <c r="P10" s="172"/>
      <c r="Q10" s="172"/>
      <c r="R10" s="172"/>
      <c r="S10" s="172"/>
      <c r="T10" s="172"/>
      <c r="U10" s="172"/>
      <c r="V10" s="172"/>
      <c r="W10" s="172"/>
      <c r="X10" s="173">
        <f t="shared" si="0"/>
        <v>0</v>
      </c>
      <c r="Y10" s="234" t="s">
        <v>316</v>
      </c>
      <c r="Z10" s="191"/>
      <c r="AA10" s="172"/>
      <c r="AB10" s="172">
        <v>100</v>
      </c>
      <c r="AC10" s="173"/>
      <c r="AD10" s="187">
        <f t="shared" si="1"/>
        <v>-24.81476181469537</v>
      </c>
      <c r="AE10" s="188">
        <f>AH10/AB10%</f>
        <v>23.003284202222609</v>
      </c>
      <c r="AF10" s="187"/>
      <c r="AG10" s="188"/>
      <c r="AH10" s="417">
        <f t="shared" si="2"/>
        <v>23.003284202222609</v>
      </c>
      <c r="AI10" s="174">
        <v>23.003284202222609</v>
      </c>
      <c r="AJ10" s="175"/>
      <c r="AK10" s="175"/>
      <c r="AL10" s="175"/>
      <c r="AM10" s="175"/>
      <c r="AN10" s="175"/>
      <c r="AO10" s="175"/>
      <c r="AP10" s="175"/>
      <c r="AQ10" s="176"/>
      <c r="AR10" s="159"/>
    </row>
    <row r="11" spans="1:44" x14ac:dyDescent="0.25">
      <c r="A11" s="191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0"/>
      <c r="O11" s="172"/>
      <c r="P11" s="172"/>
      <c r="Q11" s="172"/>
      <c r="R11" s="172"/>
      <c r="S11" s="172"/>
      <c r="T11" s="172"/>
      <c r="U11" s="172"/>
      <c r="V11" s="172"/>
      <c r="W11" s="172"/>
      <c r="X11" s="173">
        <f t="shared" si="0"/>
        <v>0</v>
      </c>
      <c r="Y11" s="234" t="s">
        <v>305</v>
      </c>
      <c r="Z11" s="191"/>
      <c r="AA11" s="172">
        <v>50</v>
      </c>
      <c r="AB11" s="172"/>
      <c r="AC11" s="173"/>
      <c r="AD11" s="187">
        <f t="shared" si="1"/>
        <v>-190.0651590752457</v>
      </c>
      <c r="AE11" s="188">
        <f>AH11/AA11%</f>
        <v>176.19040246275279</v>
      </c>
      <c r="AF11" s="187"/>
      <c r="AG11" s="188"/>
      <c r="AH11" s="417">
        <f t="shared" si="2"/>
        <v>88.095201231376393</v>
      </c>
      <c r="AI11" s="174">
        <v>21.996116553376403</v>
      </c>
      <c r="AJ11" s="175">
        <v>25.523453970000002</v>
      </c>
      <c r="AK11" s="175">
        <v>13.265788500000001</v>
      </c>
      <c r="AL11" s="175">
        <v>13.047443100000001</v>
      </c>
      <c r="AM11" s="175">
        <v>0.39755437199999993</v>
      </c>
      <c r="AN11" s="175">
        <v>12.302786196</v>
      </c>
      <c r="AO11" s="175">
        <v>0.10759985999999999</v>
      </c>
      <c r="AP11" s="175">
        <v>1.4544586800000001</v>
      </c>
      <c r="AQ11" s="176"/>
      <c r="AR11" s="159"/>
    </row>
    <row r="12" spans="1:44" x14ac:dyDescent="0.25">
      <c r="A12" s="191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0"/>
      <c r="O12" s="172"/>
      <c r="P12" s="172"/>
      <c r="Q12" s="172"/>
      <c r="R12" s="172"/>
      <c r="S12" s="172"/>
      <c r="T12" s="172"/>
      <c r="U12" s="172"/>
      <c r="V12" s="172"/>
      <c r="W12" s="172"/>
      <c r="X12" s="173">
        <f t="shared" si="0"/>
        <v>0</v>
      </c>
      <c r="Y12" s="234" t="s">
        <v>309</v>
      </c>
      <c r="Z12" s="191"/>
      <c r="AA12" s="172">
        <v>150</v>
      </c>
      <c r="AB12" s="172"/>
      <c r="AC12" s="173"/>
      <c r="AD12" s="187">
        <f t="shared" si="1"/>
        <v>-156.82120194157892</v>
      </c>
      <c r="AE12" s="188">
        <f>AH12/AA12%</f>
        <v>145.37325419984367</v>
      </c>
      <c r="AF12" s="187"/>
      <c r="AG12" s="188"/>
      <c r="AH12" s="417">
        <f t="shared" si="2"/>
        <v>218.05988129976549</v>
      </c>
      <c r="AI12" s="174">
        <v>77.908825727765461</v>
      </c>
      <c r="AJ12" s="175">
        <v>0</v>
      </c>
      <c r="AK12" s="175">
        <v>44.573049360000006</v>
      </c>
      <c r="AL12" s="175">
        <v>43.839408816000009</v>
      </c>
      <c r="AM12" s="175">
        <v>1.5902174880000002</v>
      </c>
      <c r="AN12" s="175">
        <v>49.211144784000005</v>
      </c>
      <c r="AO12" s="175">
        <v>6.4559915999999995E-2</v>
      </c>
      <c r="AP12" s="175">
        <v>0.87267520799999987</v>
      </c>
      <c r="AQ12" s="176"/>
      <c r="AR12" s="159"/>
    </row>
    <row r="13" spans="1:44" x14ac:dyDescent="0.25">
      <c r="A13" s="191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0"/>
      <c r="O13" s="172"/>
      <c r="P13" s="172"/>
      <c r="Q13" s="172"/>
      <c r="R13" s="172"/>
      <c r="S13" s="172"/>
      <c r="T13" s="172"/>
      <c r="U13" s="172"/>
      <c r="V13" s="172"/>
      <c r="W13" s="172"/>
      <c r="X13" s="173">
        <f t="shared" si="0"/>
        <v>0</v>
      </c>
      <c r="Y13" s="235" t="s">
        <v>290</v>
      </c>
      <c r="Z13" s="191"/>
      <c r="AA13" s="172">
        <v>85</v>
      </c>
      <c r="AB13" s="172"/>
      <c r="AC13" s="173"/>
      <c r="AD13" s="187">
        <f t="shared" si="1"/>
        <v>-822.01248822426612</v>
      </c>
      <c r="AE13" s="188">
        <f>AH13/AA13%</f>
        <v>762.00557658389471</v>
      </c>
      <c r="AF13" s="187"/>
      <c r="AG13" s="188"/>
      <c r="AH13" s="417">
        <f t="shared" si="2"/>
        <v>647.7047400963105</v>
      </c>
      <c r="AI13" s="174">
        <v>122.31259907971048</v>
      </c>
      <c r="AJ13" s="175">
        <v>117.313356951</v>
      </c>
      <c r="AK13" s="175">
        <v>42.397460045999999</v>
      </c>
      <c r="AL13" s="175">
        <v>41.699628147599995</v>
      </c>
      <c r="AM13" s="175">
        <v>9.6870748643999995</v>
      </c>
      <c r="AN13" s="175">
        <v>299.77789030919996</v>
      </c>
      <c r="AO13" s="175">
        <v>0.99996136559999993</v>
      </c>
      <c r="AP13" s="175">
        <v>13.516769332799997</v>
      </c>
      <c r="AQ13" s="176"/>
      <c r="AR13" s="159"/>
    </row>
    <row r="14" spans="1:44" x14ac:dyDescent="0.25">
      <c r="A14" s="191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7">
        <f>AH14-AE14</f>
        <v>0.42400000000000004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3">
        <f t="shared" si="0"/>
        <v>0.42400000000000004</v>
      </c>
      <c r="Y14" s="235" t="s">
        <v>344</v>
      </c>
      <c r="Z14" s="191"/>
      <c r="AA14" s="172"/>
      <c r="AB14" s="172">
        <v>300</v>
      </c>
      <c r="AC14" s="173"/>
      <c r="AD14" s="187">
        <f t="shared" si="1"/>
        <v>-0.22869471413160733</v>
      </c>
      <c r="AE14" s="176">
        <v>0.21199999999999999</v>
      </c>
      <c r="AF14" s="187"/>
      <c r="AG14" s="188"/>
      <c r="AH14" s="417">
        <f t="shared" si="2"/>
        <v>0.63600000000000001</v>
      </c>
      <c r="AI14" s="178">
        <v>0.63600000000000001</v>
      </c>
      <c r="AJ14" s="177"/>
      <c r="AK14" s="177"/>
      <c r="AL14" s="177"/>
      <c r="AM14" s="177"/>
      <c r="AN14" s="177"/>
      <c r="AO14" s="177"/>
      <c r="AP14" s="177"/>
      <c r="AQ14" s="188"/>
      <c r="AR14" s="159"/>
    </row>
    <row r="15" spans="1:44" x14ac:dyDescent="0.25">
      <c r="A15" s="190">
        <f>Z15%*AD15</f>
        <v>612.62574075942723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0"/>
      <c r="O15" s="172"/>
      <c r="P15" s="172"/>
      <c r="Q15" s="172"/>
      <c r="R15" s="172"/>
      <c r="S15" s="172"/>
      <c r="T15" s="172"/>
      <c r="U15" s="172"/>
      <c r="V15" s="172"/>
      <c r="W15" s="172"/>
      <c r="X15" s="173">
        <f t="shared" si="0"/>
        <v>612.62574075942723</v>
      </c>
      <c r="Y15" s="234" t="s">
        <v>461</v>
      </c>
      <c r="Z15" s="191">
        <v>100</v>
      </c>
      <c r="AA15" s="172"/>
      <c r="AB15" s="172"/>
      <c r="AC15" s="173"/>
      <c r="AD15" s="187">
        <f>-SUM(AD16:AD80,AD8:AD14)</f>
        <v>612.62574075942723</v>
      </c>
      <c r="AE15" s="188"/>
      <c r="AF15" s="187"/>
      <c r="AG15" s="188"/>
      <c r="AH15" s="417">
        <f t="shared" ref="AH15:AH52" si="3">SUM(AI15:AQ15)</f>
        <v>0</v>
      </c>
      <c r="AI15" s="187"/>
      <c r="AJ15" s="177"/>
      <c r="AK15" s="177"/>
      <c r="AL15" s="177"/>
      <c r="AM15" s="177"/>
      <c r="AN15" s="177"/>
      <c r="AO15" s="177"/>
      <c r="AP15" s="177"/>
      <c r="AQ15" s="188"/>
      <c r="AR15" s="159"/>
    </row>
    <row r="16" spans="1:44" x14ac:dyDescent="0.25">
      <c r="A16" s="391"/>
      <c r="B16" s="184">
        <v>25.6</v>
      </c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0"/>
      <c r="O16" s="386"/>
      <c r="P16" s="386"/>
      <c r="Q16" s="386"/>
      <c r="R16" s="386"/>
      <c r="S16" s="386"/>
      <c r="T16" s="386"/>
      <c r="U16" s="386"/>
      <c r="V16" s="386"/>
      <c r="W16" s="386"/>
      <c r="X16" s="418">
        <f t="shared" si="0"/>
        <v>25.6</v>
      </c>
      <c r="Y16" s="237" t="s">
        <v>345</v>
      </c>
      <c r="Z16" s="391"/>
      <c r="AA16" s="386"/>
      <c r="AB16" s="386">
        <v>38</v>
      </c>
      <c r="AC16" s="418"/>
      <c r="AD16" s="419"/>
      <c r="AE16" s="420"/>
      <c r="AF16" s="419"/>
      <c r="AG16" s="420"/>
      <c r="AH16" s="417">
        <f t="shared" si="3"/>
        <v>9.7280000000000015</v>
      </c>
      <c r="AI16" s="183">
        <f>X16*AB16/100*0.2</f>
        <v>1.9456000000000004</v>
      </c>
      <c r="AJ16" s="184"/>
      <c r="AK16" s="184"/>
      <c r="AL16" s="184"/>
      <c r="AM16" s="184"/>
      <c r="AN16" s="184">
        <f>X16*AB16/100*0.6</f>
        <v>5.8368000000000011</v>
      </c>
      <c r="AO16" s="184"/>
      <c r="AP16" s="184"/>
      <c r="AQ16" s="185">
        <f>X16*AB16/100*0.2</f>
        <v>1.9456000000000004</v>
      </c>
      <c r="AR16" s="159"/>
    </row>
    <row r="17" spans="1:44" x14ac:dyDescent="0.25">
      <c r="A17" s="191"/>
      <c r="B17" s="175"/>
      <c r="C17" s="175"/>
      <c r="D17" s="175"/>
      <c r="E17" s="175">
        <v>143</v>
      </c>
      <c r="F17" s="175"/>
      <c r="G17" s="175"/>
      <c r="H17" s="175"/>
      <c r="I17" s="175"/>
      <c r="J17" s="175"/>
      <c r="K17" s="175"/>
      <c r="L17" s="175"/>
      <c r="M17" s="175"/>
      <c r="N17" s="177"/>
      <c r="O17" s="175"/>
      <c r="P17" s="175"/>
      <c r="Q17" s="175"/>
      <c r="R17" s="175"/>
      <c r="S17" s="175"/>
      <c r="T17" s="175"/>
      <c r="U17" s="175"/>
      <c r="V17" s="175"/>
      <c r="W17" s="175"/>
      <c r="X17" s="173">
        <f t="shared" si="0"/>
        <v>143</v>
      </c>
      <c r="Y17" s="235" t="s">
        <v>346</v>
      </c>
      <c r="Z17" s="191"/>
      <c r="AA17" s="172"/>
      <c r="AB17" s="172">
        <v>80</v>
      </c>
      <c r="AC17" s="173"/>
      <c r="AD17" s="187"/>
      <c r="AE17" s="188"/>
      <c r="AF17" s="187"/>
      <c r="AG17" s="188"/>
      <c r="AH17" s="417">
        <f t="shared" si="3"/>
        <v>114.4</v>
      </c>
      <c r="AI17" s="178">
        <f t="shared" ref="AI17:AI22" si="4">X17*AB17/100</f>
        <v>114.4</v>
      </c>
      <c r="AJ17" s="177"/>
      <c r="AK17" s="177"/>
      <c r="AL17" s="177"/>
      <c r="AM17" s="177"/>
      <c r="AN17" s="177"/>
      <c r="AO17" s="177"/>
      <c r="AP17" s="177"/>
      <c r="AQ17" s="188"/>
      <c r="AR17" s="159"/>
    </row>
    <row r="18" spans="1:44" x14ac:dyDescent="0.25">
      <c r="A18" s="191"/>
      <c r="B18" s="175"/>
      <c r="C18" s="175"/>
      <c r="D18" s="175"/>
      <c r="E18" s="175"/>
      <c r="F18" s="175"/>
      <c r="G18" s="175"/>
      <c r="H18" s="175"/>
      <c r="I18" s="175">
        <v>0.83899999999999997</v>
      </c>
      <c r="J18" s="175"/>
      <c r="K18" s="175"/>
      <c r="L18" s="175"/>
      <c r="M18" s="175"/>
      <c r="N18" s="177"/>
      <c r="O18" s="175"/>
      <c r="P18" s="175"/>
      <c r="Q18" s="175"/>
      <c r="R18" s="175"/>
      <c r="S18" s="175"/>
      <c r="T18" s="175"/>
      <c r="U18" s="175"/>
      <c r="V18" s="175"/>
      <c r="W18" s="175"/>
      <c r="X18" s="173">
        <f t="shared" si="0"/>
        <v>0.83899999999999997</v>
      </c>
      <c r="Y18" s="235" t="s">
        <v>347</v>
      </c>
      <c r="Z18" s="191"/>
      <c r="AA18" s="172"/>
      <c r="AB18" s="172">
        <v>85</v>
      </c>
      <c r="AC18" s="173"/>
      <c r="AD18" s="187"/>
      <c r="AE18" s="188"/>
      <c r="AF18" s="187"/>
      <c r="AG18" s="188"/>
      <c r="AH18" s="417">
        <f t="shared" si="3"/>
        <v>0.71314999999999995</v>
      </c>
      <c r="AI18" s="178">
        <f t="shared" si="4"/>
        <v>0.71314999999999995</v>
      </c>
      <c r="AJ18" s="177"/>
      <c r="AK18" s="177"/>
      <c r="AL18" s="177"/>
      <c r="AM18" s="177"/>
      <c r="AN18" s="177"/>
      <c r="AO18" s="177"/>
      <c r="AP18" s="177"/>
      <c r="AQ18" s="188"/>
      <c r="AR18" s="159"/>
    </row>
    <row r="19" spans="1:44" x14ac:dyDescent="0.25">
      <c r="A19" s="191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7"/>
      <c r="O19" s="175"/>
      <c r="P19" s="175"/>
      <c r="Q19" s="175"/>
      <c r="R19" s="175"/>
      <c r="S19" s="254">
        <v>42</v>
      </c>
      <c r="T19" s="175"/>
      <c r="U19" s="175"/>
      <c r="V19" s="175"/>
      <c r="W19" s="175"/>
      <c r="X19" s="173">
        <f t="shared" si="0"/>
        <v>42</v>
      </c>
      <c r="Y19" s="235" t="s">
        <v>348</v>
      </c>
      <c r="Z19" s="191"/>
      <c r="AA19" s="172"/>
      <c r="AB19" s="172">
        <v>75</v>
      </c>
      <c r="AC19" s="173"/>
      <c r="AD19" s="187"/>
      <c r="AE19" s="188"/>
      <c r="AF19" s="187"/>
      <c r="AG19" s="188"/>
      <c r="AH19" s="417">
        <f t="shared" si="3"/>
        <v>31.5</v>
      </c>
      <c r="AI19" s="178">
        <f t="shared" si="4"/>
        <v>31.5</v>
      </c>
      <c r="AJ19" s="177"/>
      <c r="AK19" s="177"/>
      <c r="AL19" s="177"/>
      <c r="AM19" s="177"/>
      <c r="AN19" s="177"/>
      <c r="AO19" s="177"/>
      <c r="AP19" s="177"/>
      <c r="AQ19" s="188"/>
      <c r="AR19" s="159"/>
    </row>
    <row r="20" spans="1:44" x14ac:dyDescent="0.25">
      <c r="A20" s="191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7"/>
      <c r="O20" s="175"/>
      <c r="P20" s="175"/>
      <c r="Q20" s="175"/>
      <c r="R20" s="175">
        <v>171</v>
      </c>
      <c r="S20" s="175"/>
      <c r="T20" s="175"/>
      <c r="U20" s="175"/>
      <c r="V20" s="175"/>
      <c r="W20" s="175"/>
      <c r="X20" s="173">
        <f t="shared" si="0"/>
        <v>171</v>
      </c>
      <c r="Y20" s="235" t="s">
        <v>349</v>
      </c>
      <c r="Z20" s="191"/>
      <c r="AA20" s="172"/>
      <c r="AB20" s="172">
        <v>65</v>
      </c>
      <c r="AC20" s="173"/>
      <c r="AD20" s="187"/>
      <c r="AE20" s="188"/>
      <c r="AF20" s="187"/>
      <c r="AG20" s="188"/>
      <c r="AH20" s="417">
        <f t="shared" si="3"/>
        <v>111.15</v>
      </c>
      <c r="AI20" s="178">
        <f t="shared" si="4"/>
        <v>111.15</v>
      </c>
      <c r="AJ20" s="177"/>
      <c r="AK20" s="177"/>
      <c r="AL20" s="177"/>
      <c r="AM20" s="177"/>
      <c r="AN20" s="177"/>
      <c r="AO20" s="177"/>
      <c r="AP20" s="177"/>
      <c r="AQ20" s="188"/>
      <c r="AR20" s="159"/>
    </row>
    <row r="21" spans="1:44" x14ac:dyDescent="0.25">
      <c r="A21" s="191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7"/>
      <c r="O21" s="175"/>
      <c r="P21" s="175"/>
      <c r="Q21" s="175">
        <v>32</v>
      </c>
      <c r="R21" s="175"/>
      <c r="S21" s="175"/>
      <c r="T21" s="175"/>
      <c r="U21" s="175"/>
      <c r="V21" s="175"/>
      <c r="W21" s="175"/>
      <c r="X21" s="173">
        <f t="shared" si="0"/>
        <v>32</v>
      </c>
      <c r="Y21" s="235" t="s">
        <v>350</v>
      </c>
      <c r="Z21" s="191"/>
      <c r="AA21" s="172"/>
      <c r="AB21" s="172">
        <v>65</v>
      </c>
      <c r="AC21" s="173"/>
      <c r="AD21" s="187"/>
      <c r="AE21" s="188"/>
      <c r="AF21" s="187"/>
      <c r="AG21" s="188"/>
      <c r="AH21" s="417">
        <f t="shared" si="3"/>
        <v>20.8</v>
      </c>
      <c r="AI21" s="178">
        <f t="shared" si="4"/>
        <v>20.8</v>
      </c>
      <c r="AJ21" s="177"/>
      <c r="AK21" s="177"/>
      <c r="AL21" s="177"/>
      <c r="AM21" s="177"/>
      <c r="AN21" s="177"/>
      <c r="AO21" s="177"/>
      <c r="AP21" s="177"/>
      <c r="AQ21" s="188"/>
      <c r="AR21" s="159"/>
    </row>
    <row r="22" spans="1:44" x14ac:dyDescent="0.25">
      <c r="A22" s="191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>
        <v>2.6</v>
      </c>
      <c r="M22" s="175"/>
      <c r="N22" s="177"/>
      <c r="O22" s="175"/>
      <c r="P22" s="175"/>
      <c r="Q22" s="175"/>
      <c r="R22" s="175"/>
      <c r="S22" s="175"/>
      <c r="T22" s="175"/>
      <c r="U22" s="175"/>
      <c r="V22" s="175"/>
      <c r="W22" s="175"/>
      <c r="X22" s="173">
        <f t="shared" si="0"/>
        <v>2.6</v>
      </c>
      <c r="Y22" s="234" t="s">
        <v>331</v>
      </c>
      <c r="Z22" s="191"/>
      <c r="AA22" s="172"/>
      <c r="AB22" s="172">
        <v>100</v>
      </c>
      <c r="AC22" s="173"/>
      <c r="AD22" s="187"/>
      <c r="AE22" s="188"/>
      <c r="AF22" s="187"/>
      <c r="AG22" s="188"/>
      <c r="AH22" s="417">
        <f t="shared" si="3"/>
        <v>2.6</v>
      </c>
      <c r="AI22" s="178">
        <f t="shared" si="4"/>
        <v>2.6</v>
      </c>
      <c r="AJ22" s="177"/>
      <c r="AK22" s="177"/>
      <c r="AL22" s="177"/>
      <c r="AM22" s="177"/>
      <c r="AN22" s="177"/>
      <c r="AO22" s="177"/>
      <c r="AP22" s="177"/>
      <c r="AQ22" s="188"/>
      <c r="AR22" s="159"/>
    </row>
    <row r="23" spans="1:44" x14ac:dyDescent="0.25">
      <c r="A23" s="191"/>
      <c r="B23" s="175"/>
      <c r="C23" s="175"/>
      <c r="D23" s="175"/>
      <c r="E23" s="175">
        <v>28</v>
      </c>
      <c r="F23" s="175"/>
      <c r="G23" s="175"/>
      <c r="H23" s="175"/>
      <c r="I23" s="175"/>
      <c r="J23" s="175"/>
      <c r="K23" s="175"/>
      <c r="L23" s="175"/>
      <c r="M23" s="175"/>
      <c r="N23" s="177"/>
      <c r="O23" s="175"/>
      <c r="P23" s="175"/>
      <c r="Q23" s="175"/>
      <c r="R23" s="175"/>
      <c r="S23" s="175"/>
      <c r="T23" s="175"/>
      <c r="U23" s="175"/>
      <c r="V23" s="175"/>
      <c r="W23" s="175"/>
      <c r="X23" s="173">
        <f t="shared" si="0"/>
        <v>28</v>
      </c>
      <c r="Y23" s="235" t="s">
        <v>292</v>
      </c>
      <c r="Z23" s="191"/>
      <c r="AA23" s="172">
        <v>90</v>
      </c>
      <c r="AB23" s="172"/>
      <c r="AC23" s="173"/>
      <c r="AD23" s="187"/>
      <c r="AE23" s="188"/>
      <c r="AF23" s="187"/>
      <c r="AG23" s="188"/>
      <c r="AH23" s="417">
        <f t="shared" si="3"/>
        <v>25.2</v>
      </c>
      <c r="AI23" s="178"/>
      <c r="AJ23" s="177"/>
      <c r="AK23" s="177"/>
      <c r="AL23" s="177"/>
      <c r="AM23" s="177"/>
      <c r="AN23" s="177">
        <f>X23*AA23/100</f>
        <v>25.2</v>
      </c>
      <c r="AO23" s="177"/>
      <c r="AP23" s="177"/>
      <c r="AQ23" s="188"/>
      <c r="AR23" s="159"/>
    </row>
    <row r="24" spans="1:44" x14ac:dyDescent="0.25">
      <c r="A24" s="191"/>
      <c r="B24" s="175"/>
      <c r="C24" s="175"/>
      <c r="D24" s="175"/>
      <c r="E24" s="175"/>
      <c r="F24" s="175"/>
      <c r="G24" s="175"/>
      <c r="H24" s="175"/>
      <c r="I24" s="175">
        <v>295.99200000000002</v>
      </c>
      <c r="J24" s="175"/>
      <c r="K24" s="175"/>
      <c r="L24" s="175"/>
      <c r="M24" s="175"/>
      <c r="N24" s="177"/>
      <c r="O24" s="175"/>
      <c r="P24" s="175"/>
      <c r="Q24" s="175"/>
      <c r="R24" s="175"/>
      <c r="S24" s="175"/>
      <c r="T24" s="175"/>
      <c r="U24" s="175"/>
      <c r="V24" s="175"/>
      <c r="W24" s="175"/>
      <c r="X24" s="173">
        <f t="shared" si="0"/>
        <v>295.99200000000002</v>
      </c>
      <c r="Y24" s="235" t="s">
        <v>294</v>
      </c>
      <c r="Z24" s="191"/>
      <c r="AA24" s="172">
        <v>90</v>
      </c>
      <c r="AB24" s="172"/>
      <c r="AC24" s="173"/>
      <c r="AD24" s="187"/>
      <c r="AE24" s="188"/>
      <c r="AF24" s="187"/>
      <c r="AG24" s="188"/>
      <c r="AH24" s="417">
        <f t="shared" si="3"/>
        <v>266.39280000000002</v>
      </c>
      <c r="AI24" s="178"/>
      <c r="AJ24" s="177"/>
      <c r="AK24" s="177"/>
      <c r="AL24" s="177"/>
      <c r="AM24" s="177"/>
      <c r="AN24" s="177">
        <f>X24*AA24/100</f>
        <v>266.39280000000002</v>
      </c>
      <c r="AO24" s="177"/>
      <c r="AP24" s="177"/>
      <c r="AQ24" s="188"/>
      <c r="AR24" s="159"/>
    </row>
    <row r="25" spans="1:44" x14ac:dyDescent="0.25">
      <c r="A25" s="190"/>
      <c r="B25" s="175"/>
      <c r="C25" s="175"/>
      <c r="D25" s="175"/>
      <c r="E25" s="175"/>
      <c r="F25" s="175"/>
      <c r="G25" s="175"/>
      <c r="H25" s="390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3"/>
      <c r="Y25" s="235" t="s">
        <v>355</v>
      </c>
      <c r="Z25" s="190"/>
      <c r="AA25" s="175">
        <v>90</v>
      </c>
      <c r="AB25" s="175"/>
      <c r="AC25" s="176"/>
      <c r="AD25" s="187"/>
      <c r="AE25" s="188"/>
      <c r="AF25" s="187"/>
      <c r="AG25" s="188"/>
      <c r="AH25" s="417">
        <f t="shared" si="3"/>
        <v>0</v>
      </c>
      <c r="AI25" s="178"/>
      <c r="AJ25" s="177"/>
      <c r="AK25" s="177"/>
      <c r="AL25" s="177"/>
      <c r="AM25" s="177"/>
      <c r="AN25" s="177">
        <f>X25*AA25/100</f>
        <v>0</v>
      </c>
      <c r="AO25" s="177"/>
      <c r="AP25" s="177"/>
      <c r="AQ25" s="188"/>
      <c r="AR25" s="255"/>
    </row>
    <row r="26" spans="1:44" x14ac:dyDescent="0.25">
      <c r="A26" s="191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7"/>
      <c r="O26" s="175"/>
      <c r="P26" s="175"/>
      <c r="Q26" s="175"/>
      <c r="R26" s="175"/>
      <c r="S26" s="175"/>
      <c r="T26" s="175"/>
      <c r="U26" s="175"/>
      <c r="V26" s="175"/>
      <c r="W26" s="175"/>
      <c r="X26" s="173">
        <f t="shared" si="0"/>
        <v>0</v>
      </c>
      <c r="Y26" s="234" t="s">
        <v>131</v>
      </c>
      <c r="Z26" s="175">
        <v>100</v>
      </c>
      <c r="AA26" s="175"/>
      <c r="AB26" s="175"/>
      <c r="AC26" s="176"/>
      <c r="AD26" s="187">
        <f>X26*Z26/100</f>
        <v>0</v>
      </c>
      <c r="AE26" s="188"/>
      <c r="AF26" s="187"/>
      <c r="AG26" s="188"/>
      <c r="AH26" s="417">
        <f t="shared" si="3"/>
        <v>0</v>
      </c>
      <c r="AI26" s="178"/>
      <c r="AJ26" s="177"/>
      <c r="AK26" s="177"/>
      <c r="AL26" s="177"/>
      <c r="AM26" s="177"/>
      <c r="AN26" s="177"/>
      <c r="AO26" s="177"/>
      <c r="AP26" s="177"/>
      <c r="AQ26" s="188"/>
      <c r="AR26" s="159"/>
    </row>
    <row r="27" spans="1:44" x14ac:dyDescent="0.25">
      <c r="A27" s="191"/>
      <c r="B27" s="175"/>
      <c r="C27" s="175"/>
      <c r="D27" s="175"/>
      <c r="E27" s="175"/>
      <c r="F27" s="175"/>
      <c r="G27" s="175"/>
      <c r="H27" s="175"/>
      <c r="I27" s="175"/>
      <c r="J27" s="175">
        <v>16.11</v>
      </c>
      <c r="K27" s="175"/>
      <c r="L27" s="175"/>
      <c r="M27" s="175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3">
        <f t="shared" si="0"/>
        <v>16.11</v>
      </c>
      <c r="Y27" s="235" t="s">
        <v>135</v>
      </c>
      <c r="Z27" s="175">
        <v>100</v>
      </c>
      <c r="AA27" s="175"/>
      <c r="AB27" s="175"/>
      <c r="AC27" s="176"/>
      <c r="AD27" s="187">
        <f>Z27*X27/100</f>
        <v>16.11</v>
      </c>
      <c r="AE27" s="188"/>
      <c r="AF27" s="187"/>
      <c r="AG27" s="188"/>
      <c r="AH27" s="417">
        <f t="shared" si="3"/>
        <v>0</v>
      </c>
      <c r="AI27" s="178"/>
      <c r="AJ27" s="177"/>
      <c r="AK27" s="177"/>
      <c r="AL27" s="177"/>
      <c r="AM27" s="177"/>
      <c r="AN27" s="177"/>
      <c r="AO27" s="177"/>
      <c r="AP27" s="177"/>
      <c r="AQ27" s="188"/>
      <c r="AR27" s="159"/>
    </row>
    <row r="28" spans="1:44" x14ac:dyDescent="0.25">
      <c r="A28" s="191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3">
        <f t="shared" si="0"/>
        <v>0</v>
      </c>
      <c r="Y28" s="235" t="s">
        <v>137</v>
      </c>
      <c r="Z28" s="190">
        <v>100</v>
      </c>
      <c r="AA28" s="175"/>
      <c r="AB28" s="175"/>
      <c r="AC28" s="176"/>
      <c r="AD28" s="187">
        <f>Z28*X28/100</f>
        <v>0</v>
      </c>
      <c r="AE28" s="188"/>
      <c r="AF28" s="187"/>
      <c r="AG28" s="188"/>
      <c r="AH28" s="417">
        <f t="shared" si="3"/>
        <v>0</v>
      </c>
      <c r="AI28" s="178"/>
      <c r="AJ28" s="177"/>
      <c r="AK28" s="177"/>
      <c r="AL28" s="177"/>
      <c r="AM28" s="177"/>
      <c r="AN28" s="177"/>
      <c r="AO28" s="177"/>
      <c r="AP28" s="177"/>
      <c r="AQ28" s="188"/>
      <c r="AR28" s="159"/>
    </row>
    <row r="29" spans="1:44" x14ac:dyDescent="0.25">
      <c r="A29" s="191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3">
        <f t="shared" si="0"/>
        <v>0</v>
      </c>
      <c r="Y29" s="234" t="s">
        <v>139</v>
      </c>
      <c r="Z29" s="175">
        <v>100</v>
      </c>
      <c r="AA29" s="175"/>
      <c r="AB29" s="175"/>
      <c r="AC29" s="176"/>
      <c r="AD29" s="187">
        <f>Z29*X29/100</f>
        <v>0</v>
      </c>
      <c r="AE29" s="188"/>
      <c r="AF29" s="187"/>
      <c r="AG29" s="188"/>
      <c r="AH29" s="417">
        <f t="shared" si="3"/>
        <v>0</v>
      </c>
      <c r="AI29" s="178"/>
      <c r="AJ29" s="177"/>
      <c r="AK29" s="177"/>
      <c r="AL29" s="177"/>
      <c r="AM29" s="177"/>
      <c r="AN29" s="177"/>
      <c r="AO29" s="177"/>
      <c r="AP29" s="177"/>
      <c r="AQ29" s="188"/>
      <c r="AR29" s="159"/>
    </row>
    <row r="30" spans="1:44" x14ac:dyDescent="0.25">
      <c r="A30" s="191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3">
        <f t="shared" si="0"/>
        <v>0</v>
      </c>
      <c r="Y30" s="234" t="s">
        <v>141</v>
      </c>
      <c r="Z30" s="175">
        <v>100</v>
      </c>
      <c r="AA30" s="175"/>
      <c r="AB30" s="175"/>
      <c r="AC30" s="176"/>
      <c r="AD30" s="187">
        <f>Z30*X30/100</f>
        <v>0</v>
      </c>
      <c r="AE30" s="188"/>
      <c r="AF30" s="187"/>
      <c r="AG30" s="188"/>
      <c r="AH30" s="417">
        <f t="shared" si="3"/>
        <v>0</v>
      </c>
      <c r="AI30" s="178"/>
      <c r="AJ30" s="177"/>
      <c r="AK30" s="177"/>
      <c r="AL30" s="177"/>
      <c r="AM30" s="177"/>
      <c r="AN30" s="177"/>
      <c r="AO30" s="177"/>
      <c r="AP30" s="177"/>
      <c r="AQ30" s="188"/>
      <c r="AR30" s="159"/>
    </row>
    <row r="31" spans="1:44" x14ac:dyDescent="0.25">
      <c r="A31" s="189"/>
      <c r="B31" s="170"/>
      <c r="C31" s="170"/>
      <c r="D31" s="170"/>
      <c r="E31" s="170"/>
      <c r="F31" s="170"/>
      <c r="G31" s="170"/>
      <c r="H31" s="170"/>
      <c r="I31" s="177">
        <f>-(O31+T31)*AA31%</f>
        <v>0</v>
      </c>
      <c r="J31" s="238"/>
      <c r="K31" s="175"/>
      <c r="L31" s="175"/>
      <c r="M31" s="175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3">
        <f t="shared" si="0"/>
        <v>0</v>
      </c>
      <c r="Y31" s="239" t="s">
        <v>462</v>
      </c>
      <c r="Z31" s="174"/>
      <c r="AA31" s="175"/>
      <c r="AB31" s="175"/>
      <c r="AC31" s="176"/>
      <c r="AD31" s="190"/>
      <c r="AE31" s="176"/>
      <c r="AF31" s="190"/>
      <c r="AG31" s="176"/>
      <c r="AH31" s="421"/>
      <c r="AI31" s="174"/>
      <c r="AJ31" s="175"/>
      <c r="AK31" s="175"/>
      <c r="AL31" s="175"/>
      <c r="AM31" s="175"/>
      <c r="AN31" s="175"/>
      <c r="AO31" s="175"/>
      <c r="AP31" s="175"/>
      <c r="AQ31" s="176"/>
      <c r="AR31" s="159"/>
    </row>
    <row r="32" spans="1:44" x14ac:dyDescent="0.25">
      <c r="A32" s="172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3">
        <f t="shared" si="0"/>
        <v>0</v>
      </c>
      <c r="Y32" s="239" t="s">
        <v>463</v>
      </c>
      <c r="Z32" s="190"/>
      <c r="AA32" s="175"/>
      <c r="AB32" s="175"/>
      <c r="AC32" s="176"/>
      <c r="AD32" s="187">
        <f>X32*Z32/100</f>
        <v>0</v>
      </c>
      <c r="AE32" s="188"/>
      <c r="AF32" s="187">
        <f>X32*AB32/100</f>
        <v>0</v>
      </c>
      <c r="AG32" s="188"/>
      <c r="AH32" s="417">
        <f>SUM(AI32:AQ32)</f>
        <v>0</v>
      </c>
      <c r="AI32" s="178"/>
      <c r="AJ32" s="175"/>
      <c r="AK32" s="175"/>
      <c r="AL32" s="175"/>
      <c r="AM32" s="175"/>
      <c r="AN32" s="175"/>
      <c r="AO32" s="175"/>
      <c r="AP32" s="175"/>
      <c r="AQ32" s="188"/>
      <c r="AR32" s="159"/>
    </row>
    <row r="33" spans="1:44" x14ac:dyDescent="0.25">
      <c r="A33" s="172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241"/>
      <c r="O33" s="175"/>
      <c r="P33" s="175"/>
      <c r="Q33" s="175"/>
      <c r="R33" s="175"/>
      <c r="S33" s="175"/>
      <c r="T33" s="175"/>
      <c r="U33" s="175"/>
      <c r="V33" s="175"/>
      <c r="W33" s="175"/>
      <c r="X33" s="173">
        <f t="shared" si="0"/>
        <v>0</v>
      </c>
      <c r="Y33" s="234" t="s">
        <v>145</v>
      </c>
      <c r="Z33" s="190"/>
      <c r="AA33" s="175"/>
      <c r="AB33" s="175"/>
      <c r="AC33" s="188"/>
      <c r="AD33" s="187">
        <f>X33*Z33/100</f>
        <v>0</v>
      </c>
      <c r="AE33" s="188"/>
      <c r="AF33" s="187">
        <f>X33*AB33/100</f>
        <v>0</v>
      </c>
      <c r="AG33" s="188"/>
      <c r="AH33" s="417">
        <f t="shared" si="3"/>
        <v>0</v>
      </c>
      <c r="AI33" s="178"/>
      <c r="AJ33" s="177"/>
      <c r="AK33" s="177"/>
      <c r="AL33" s="177"/>
      <c r="AM33" s="177"/>
      <c r="AN33" s="177"/>
      <c r="AO33" s="177"/>
      <c r="AP33" s="177"/>
      <c r="AQ33" s="188"/>
      <c r="AR33" s="159"/>
    </row>
    <row r="34" spans="1:44" x14ac:dyDescent="0.25">
      <c r="A34" s="172"/>
      <c r="B34" s="172"/>
      <c r="C34" s="172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241"/>
      <c r="O34" s="175"/>
      <c r="P34" s="175"/>
      <c r="Q34" s="175"/>
      <c r="R34" s="175"/>
      <c r="S34" s="175"/>
      <c r="T34" s="175"/>
      <c r="U34" s="175"/>
      <c r="V34" s="175"/>
      <c r="W34" s="175"/>
      <c r="X34" s="173">
        <f t="shared" si="0"/>
        <v>0</v>
      </c>
      <c r="Y34" s="234" t="s">
        <v>147</v>
      </c>
      <c r="Z34" s="190"/>
      <c r="AA34" s="175"/>
      <c r="AB34" s="175">
        <v>0</v>
      </c>
      <c r="AC34" s="188"/>
      <c r="AD34" s="187">
        <f>X34*Z34/100</f>
        <v>0</v>
      </c>
      <c r="AE34" s="188"/>
      <c r="AF34" s="187">
        <f>X34*AB34</f>
        <v>0</v>
      </c>
      <c r="AG34" s="188"/>
      <c r="AH34" s="417">
        <f t="shared" si="3"/>
        <v>0</v>
      </c>
      <c r="AI34" s="178"/>
      <c r="AJ34" s="177"/>
      <c r="AK34" s="177"/>
      <c r="AL34" s="177"/>
      <c r="AM34" s="177"/>
      <c r="AN34" s="177"/>
      <c r="AO34" s="177"/>
      <c r="AP34" s="177"/>
      <c r="AQ34" s="188"/>
      <c r="AR34" s="159"/>
    </row>
    <row r="35" spans="1:44" x14ac:dyDescent="0.25">
      <c r="A35" s="172"/>
      <c r="B35" s="172"/>
      <c r="C35" s="172"/>
      <c r="D35" s="175"/>
      <c r="E35" s="193"/>
      <c r="F35" s="175"/>
      <c r="G35" s="175"/>
      <c r="H35" s="175"/>
      <c r="I35" s="175"/>
      <c r="J35" s="175"/>
      <c r="K35" s="175"/>
      <c r="L35" s="175"/>
      <c r="M35" s="175"/>
      <c r="N35" s="241"/>
      <c r="O35" s="175"/>
      <c r="P35" s="175"/>
      <c r="Q35" s="175"/>
      <c r="R35" s="175"/>
      <c r="S35" s="175"/>
      <c r="T35" s="175"/>
      <c r="U35" s="175"/>
      <c r="V35" s="175"/>
      <c r="W35" s="175"/>
      <c r="X35" s="173">
        <f t="shared" si="0"/>
        <v>0</v>
      </c>
      <c r="Y35" s="234" t="s">
        <v>149</v>
      </c>
      <c r="Z35" s="190"/>
      <c r="AA35" s="175"/>
      <c r="AB35" s="175">
        <v>0</v>
      </c>
      <c r="AC35" s="188"/>
      <c r="AD35" s="187">
        <f>X35*Z35/100</f>
        <v>0</v>
      </c>
      <c r="AE35" s="188"/>
      <c r="AF35" s="187">
        <f>X35*AB35</f>
        <v>0</v>
      </c>
      <c r="AG35" s="188"/>
      <c r="AH35" s="417">
        <f t="shared" si="3"/>
        <v>0</v>
      </c>
      <c r="AI35" s="178"/>
      <c r="AJ35" s="177"/>
      <c r="AK35" s="177"/>
      <c r="AL35" s="177"/>
      <c r="AM35" s="177"/>
      <c r="AN35" s="177"/>
      <c r="AO35" s="177"/>
      <c r="AP35" s="177"/>
      <c r="AQ35" s="188"/>
      <c r="AR35" s="159"/>
    </row>
    <row r="36" spans="1:44" x14ac:dyDescent="0.25">
      <c r="A36" s="172"/>
      <c r="B36" s="172"/>
      <c r="C36" s="172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241"/>
      <c r="O36" s="175"/>
      <c r="P36" s="175"/>
      <c r="Q36" s="175"/>
      <c r="R36" s="175"/>
      <c r="S36" s="175"/>
      <c r="T36" s="175"/>
      <c r="U36" s="175"/>
      <c r="V36" s="175"/>
      <c r="W36" s="175"/>
      <c r="X36" s="173">
        <f t="shared" si="0"/>
        <v>0</v>
      </c>
      <c r="Y36" s="234" t="s">
        <v>151</v>
      </c>
      <c r="Z36" s="190"/>
      <c r="AA36" s="175"/>
      <c r="AB36" s="175"/>
      <c r="AC36" s="188"/>
      <c r="AD36" s="187"/>
      <c r="AE36" s="188"/>
      <c r="AF36" s="187">
        <f>X36*AB36/100</f>
        <v>0</v>
      </c>
      <c r="AG36" s="188"/>
      <c r="AH36" s="417">
        <f t="shared" si="3"/>
        <v>0</v>
      </c>
      <c r="AI36" s="178"/>
      <c r="AJ36" s="177"/>
      <c r="AK36" s="177"/>
      <c r="AL36" s="177"/>
      <c r="AM36" s="177"/>
      <c r="AN36" s="177"/>
      <c r="AO36" s="177"/>
      <c r="AP36" s="177"/>
      <c r="AQ36" s="188"/>
      <c r="AR36" s="159"/>
    </row>
    <row r="37" spans="1:44" x14ac:dyDescent="0.25">
      <c r="A37" s="172"/>
      <c r="B37" s="172"/>
      <c r="C37" s="172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7">
        <f>AF37-AE37</f>
        <v>0</v>
      </c>
      <c r="O37" s="175"/>
      <c r="P37" s="175"/>
      <c r="Q37" s="175"/>
      <c r="R37" s="175"/>
      <c r="S37" s="175"/>
      <c r="T37" s="175"/>
      <c r="U37" s="175"/>
      <c r="V37" s="175"/>
      <c r="W37" s="175"/>
      <c r="X37" s="173">
        <f t="shared" si="0"/>
        <v>0</v>
      </c>
      <c r="Y37" s="239" t="s">
        <v>153</v>
      </c>
      <c r="Z37" s="187"/>
      <c r="AA37" s="177"/>
      <c r="AB37" s="177"/>
      <c r="AC37" s="188"/>
      <c r="AD37" s="190">
        <f>-AE37/$D$2%</f>
        <v>0</v>
      </c>
      <c r="AE37" s="194"/>
      <c r="AF37" s="195">
        <f>AE37*AB37%</f>
        <v>0</v>
      </c>
      <c r="AG37" s="176"/>
      <c r="AH37" s="421"/>
      <c r="AI37" s="174"/>
      <c r="AJ37" s="174"/>
      <c r="AK37" s="175"/>
      <c r="AL37" s="175"/>
      <c r="AM37" s="175"/>
      <c r="AN37" s="175"/>
      <c r="AO37" s="175"/>
      <c r="AP37" s="175"/>
      <c r="AQ37" s="176"/>
      <c r="AR37" s="159"/>
    </row>
    <row r="38" spans="1:44" x14ac:dyDescent="0.25">
      <c r="A38" s="172"/>
      <c r="B38" s="172"/>
      <c r="C38" s="172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3">
        <f t="shared" si="0"/>
        <v>0</v>
      </c>
      <c r="Y38" s="239" t="s">
        <v>155</v>
      </c>
      <c r="Z38" s="187"/>
      <c r="AA38" s="177"/>
      <c r="AB38" s="177"/>
      <c r="AC38" s="188"/>
      <c r="AD38" s="190">
        <f>-AE38/$D$2%</f>
        <v>0</v>
      </c>
      <c r="AE38" s="188"/>
      <c r="AF38" s="187">
        <f>AE38*AB38%</f>
        <v>0</v>
      </c>
      <c r="AG38" s="176"/>
      <c r="AH38" s="421"/>
      <c r="AI38" s="174"/>
      <c r="AJ38" s="174"/>
      <c r="AK38" s="175"/>
      <c r="AL38" s="175"/>
      <c r="AM38" s="175"/>
      <c r="AN38" s="175"/>
      <c r="AO38" s="175"/>
      <c r="AP38" s="175"/>
      <c r="AQ38" s="176"/>
      <c r="AR38" s="159"/>
    </row>
    <row r="39" spans="1:44" x14ac:dyDescent="0.25">
      <c r="A39" s="172"/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241"/>
      <c r="O39" s="175"/>
      <c r="P39" s="175"/>
      <c r="Q39" s="175"/>
      <c r="R39" s="175"/>
      <c r="S39" s="175"/>
      <c r="T39" s="175"/>
      <c r="U39" s="175"/>
      <c r="V39" s="175"/>
      <c r="W39" s="175"/>
      <c r="X39" s="173">
        <f t="shared" si="0"/>
        <v>0</v>
      </c>
      <c r="Y39" s="235" t="s">
        <v>157</v>
      </c>
      <c r="Z39" s="190"/>
      <c r="AA39" s="175"/>
      <c r="AB39" s="175"/>
      <c r="AC39" s="176">
        <v>77.2</v>
      </c>
      <c r="AD39" s="187"/>
      <c r="AE39" s="188"/>
      <c r="AF39" s="187">
        <f>-SUM(AF33:AF36)</f>
        <v>0</v>
      </c>
      <c r="AG39" s="188">
        <f>-AF39*AC39/100</f>
        <v>0</v>
      </c>
      <c r="AH39" s="417">
        <f t="shared" si="3"/>
        <v>0</v>
      </c>
      <c r="AI39" s="178"/>
      <c r="AJ39" s="178"/>
      <c r="AK39" s="177"/>
      <c r="AL39" s="177"/>
      <c r="AM39" s="177"/>
      <c r="AN39" s="177"/>
      <c r="AO39" s="177"/>
      <c r="AP39" s="177"/>
      <c r="AQ39" s="188"/>
      <c r="AR39" s="159"/>
    </row>
    <row r="40" spans="1:44" x14ac:dyDescent="0.25">
      <c r="A40" s="172"/>
      <c r="B40" s="172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241"/>
      <c r="O40" s="175"/>
      <c r="P40" s="175"/>
      <c r="Q40" s="175"/>
      <c r="R40" s="175"/>
      <c r="S40" s="175"/>
      <c r="T40" s="175"/>
      <c r="U40" s="175"/>
      <c r="V40" s="175"/>
      <c r="W40" s="175"/>
      <c r="X40" s="173">
        <f t="shared" si="0"/>
        <v>0</v>
      </c>
      <c r="Y40" s="234" t="s">
        <v>163</v>
      </c>
      <c r="Z40" s="190"/>
      <c r="AA40" s="175"/>
      <c r="AB40" s="175"/>
      <c r="AC40" s="176"/>
      <c r="AD40" s="187">
        <f>X40*Z40/100</f>
        <v>0</v>
      </c>
      <c r="AE40" s="188"/>
      <c r="AF40" s="187">
        <f>X40*AB40/100</f>
        <v>0</v>
      </c>
      <c r="AG40" s="188"/>
      <c r="AH40" s="417">
        <f t="shared" si="3"/>
        <v>0</v>
      </c>
      <c r="AI40" s="174"/>
      <c r="AJ40" s="175"/>
      <c r="AK40" s="175"/>
      <c r="AL40" s="175"/>
      <c r="AM40" s="175"/>
      <c r="AN40" s="175"/>
      <c r="AO40" s="175"/>
      <c r="AP40" s="177"/>
      <c r="AQ40" s="188"/>
      <c r="AR40" s="159"/>
    </row>
    <row r="41" spans="1:44" x14ac:dyDescent="0.25">
      <c r="A41" s="172"/>
      <c r="B41" s="172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241"/>
      <c r="O41" s="175"/>
      <c r="P41" s="175"/>
      <c r="Q41" s="175"/>
      <c r="R41" s="175"/>
      <c r="S41" s="175"/>
      <c r="T41" s="175"/>
      <c r="U41" s="175"/>
      <c r="V41" s="175"/>
      <c r="W41" s="175"/>
      <c r="X41" s="173">
        <f t="shared" si="0"/>
        <v>0</v>
      </c>
      <c r="Y41" s="234" t="s">
        <v>165</v>
      </c>
      <c r="Z41" s="190"/>
      <c r="AA41" s="175"/>
      <c r="AB41" s="175"/>
      <c r="AC41" s="176"/>
      <c r="AD41" s="187">
        <f>X41*Z41/100</f>
        <v>0</v>
      </c>
      <c r="AE41" s="188"/>
      <c r="AF41" s="187">
        <f>X41*AB41/100</f>
        <v>0</v>
      </c>
      <c r="AG41" s="188"/>
      <c r="AH41" s="417">
        <f t="shared" si="3"/>
        <v>0</v>
      </c>
      <c r="AI41" s="174"/>
      <c r="AJ41" s="175"/>
      <c r="AK41" s="175"/>
      <c r="AL41" s="175"/>
      <c r="AM41" s="175"/>
      <c r="AN41" s="175"/>
      <c r="AO41" s="175"/>
      <c r="AP41" s="177"/>
      <c r="AQ41" s="188"/>
      <c r="AR41" s="159"/>
    </row>
    <row r="42" spans="1:44" x14ac:dyDescent="0.25">
      <c r="A42" s="172"/>
      <c r="B42" s="172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241"/>
      <c r="O42" s="175"/>
      <c r="P42" s="175"/>
      <c r="Q42" s="175"/>
      <c r="R42" s="175"/>
      <c r="S42" s="175"/>
      <c r="T42" s="175"/>
      <c r="U42" s="175"/>
      <c r="V42" s="175"/>
      <c r="W42" s="175"/>
      <c r="X42" s="173">
        <f t="shared" si="0"/>
        <v>0</v>
      </c>
      <c r="Y42" s="234" t="s">
        <v>167</v>
      </c>
      <c r="Z42" s="190"/>
      <c r="AA42" s="175"/>
      <c r="AB42" s="175"/>
      <c r="AC42" s="176"/>
      <c r="AD42" s="187">
        <f>X42*Z42/100</f>
        <v>0</v>
      </c>
      <c r="AE42" s="188"/>
      <c r="AF42" s="187">
        <f>X42*AB42/100</f>
        <v>0</v>
      </c>
      <c r="AG42" s="188"/>
      <c r="AH42" s="417">
        <f t="shared" si="3"/>
        <v>0</v>
      </c>
      <c r="AI42" s="174"/>
      <c r="AJ42" s="175"/>
      <c r="AK42" s="175"/>
      <c r="AL42" s="175"/>
      <c r="AM42" s="175"/>
      <c r="AN42" s="175"/>
      <c r="AO42" s="175"/>
      <c r="AP42" s="177"/>
      <c r="AQ42" s="188"/>
      <c r="AR42" s="159"/>
    </row>
    <row r="43" spans="1:44" x14ac:dyDescent="0.25">
      <c r="A43" s="172"/>
      <c r="B43" s="172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241"/>
      <c r="O43" s="175"/>
      <c r="P43" s="175"/>
      <c r="Q43" s="175"/>
      <c r="R43" s="175"/>
      <c r="S43" s="175"/>
      <c r="T43" s="175"/>
      <c r="U43" s="175"/>
      <c r="V43" s="175"/>
      <c r="W43" s="175"/>
      <c r="X43" s="173">
        <f t="shared" si="0"/>
        <v>0</v>
      </c>
      <c r="Y43" s="235" t="s">
        <v>169</v>
      </c>
      <c r="Z43" s="190"/>
      <c r="AA43" s="175"/>
      <c r="AB43" s="175"/>
      <c r="AC43" s="176">
        <v>77.2</v>
      </c>
      <c r="AD43" s="187"/>
      <c r="AE43" s="188"/>
      <c r="AF43" s="187">
        <f>-SUM(AF40:AF42)</f>
        <v>0</v>
      </c>
      <c r="AG43" s="188">
        <f>-AF43*AC43/100</f>
        <v>0</v>
      </c>
      <c r="AH43" s="417">
        <f t="shared" si="3"/>
        <v>0</v>
      </c>
      <c r="AI43" s="178"/>
      <c r="AJ43" s="178"/>
      <c r="AK43" s="177"/>
      <c r="AL43" s="177"/>
      <c r="AM43" s="177"/>
      <c r="AN43" s="177"/>
      <c r="AO43" s="177"/>
      <c r="AP43" s="177"/>
      <c r="AQ43" s="188"/>
      <c r="AR43" s="159"/>
    </row>
    <row r="44" spans="1:44" x14ac:dyDescent="0.25">
      <c r="A44" s="172"/>
      <c r="B44" s="172"/>
      <c r="C44" s="422"/>
      <c r="D44" s="175"/>
      <c r="E44" s="422"/>
      <c r="F44" s="175"/>
      <c r="G44" s="175"/>
      <c r="H44" s="175"/>
      <c r="I44" s="138"/>
      <c r="J44" s="175"/>
      <c r="K44" s="175"/>
      <c r="L44" s="175"/>
      <c r="M44" s="175"/>
      <c r="N44" s="241"/>
      <c r="O44" s="175"/>
      <c r="P44" s="175"/>
      <c r="Q44" s="175"/>
      <c r="R44" s="175"/>
      <c r="S44" s="175"/>
      <c r="T44" s="175"/>
      <c r="U44" s="175"/>
      <c r="V44" s="175"/>
      <c r="W44" s="175"/>
      <c r="X44" s="173">
        <f t="shared" si="0"/>
        <v>0</v>
      </c>
      <c r="Y44" s="234" t="s">
        <v>173</v>
      </c>
      <c r="Z44" s="190"/>
      <c r="AA44" s="175"/>
      <c r="AB44" s="175"/>
      <c r="AC44" s="173"/>
      <c r="AD44" s="187">
        <f>X44*Z44/100</f>
        <v>0</v>
      </c>
      <c r="AE44" s="188"/>
      <c r="AF44" s="187">
        <f t="shared" ref="AF44:AF51" si="5">X44*AB44/100</f>
        <v>0</v>
      </c>
      <c r="AG44" s="188"/>
      <c r="AH44" s="417">
        <f t="shared" si="3"/>
        <v>0</v>
      </c>
      <c r="AI44" s="178"/>
      <c r="AJ44" s="177"/>
      <c r="AK44" s="177"/>
      <c r="AL44" s="177"/>
      <c r="AM44" s="177"/>
      <c r="AN44" s="177"/>
      <c r="AO44" s="177"/>
      <c r="AP44" s="177"/>
      <c r="AQ44" s="188"/>
      <c r="AR44" s="159"/>
    </row>
    <row r="45" spans="1:44" x14ac:dyDescent="0.25">
      <c r="A45" s="172"/>
      <c r="B45" s="17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241"/>
      <c r="O45" s="175"/>
      <c r="P45" s="175"/>
      <c r="Q45" s="175"/>
      <c r="R45" s="175"/>
      <c r="S45" s="175"/>
      <c r="T45" s="175"/>
      <c r="U45" s="175"/>
      <c r="V45" s="175"/>
      <c r="W45" s="175"/>
      <c r="X45" s="173">
        <f t="shared" si="0"/>
        <v>0</v>
      </c>
      <c r="Y45" s="234" t="s">
        <v>175</v>
      </c>
      <c r="Z45" s="190"/>
      <c r="AA45" s="175"/>
      <c r="AB45" s="175"/>
      <c r="AC45" s="173"/>
      <c r="AD45" s="187">
        <f>X45*Z45/100</f>
        <v>0</v>
      </c>
      <c r="AE45" s="188"/>
      <c r="AF45" s="187">
        <f t="shared" si="5"/>
        <v>0</v>
      </c>
      <c r="AG45" s="188"/>
      <c r="AH45" s="417">
        <f t="shared" si="3"/>
        <v>0</v>
      </c>
      <c r="AI45" s="178"/>
      <c r="AJ45" s="177"/>
      <c r="AK45" s="177"/>
      <c r="AL45" s="177"/>
      <c r="AM45" s="177"/>
      <c r="AN45" s="177"/>
      <c r="AO45" s="177"/>
      <c r="AP45" s="177"/>
      <c r="AQ45" s="188"/>
      <c r="AR45" s="159"/>
    </row>
    <row r="46" spans="1:44" x14ac:dyDescent="0.25">
      <c r="A46" s="172"/>
      <c r="B46" s="172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241"/>
      <c r="O46" s="175"/>
      <c r="P46" s="175"/>
      <c r="Q46" s="175"/>
      <c r="R46" s="175"/>
      <c r="S46" s="423"/>
      <c r="T46" s="175"/>
      <c r="U46" s="175"/>
      <c r="V46" s="175"/>
      <c r="W46" s="175"/>
      <c r="X46" s="173">
        <f t="shared" si="0"/>
        <v>0</v>
      </c>
      <c r="Y46" s="235" t="s">
        <v>177</v>
      </c>
      <c r="Z46" s="190"/>
      <c r="AA46" s="175"/>
      <c r="AB46" s="175"/>
      <c r="AC46" s="173"/>
      <c r="AD46" s="187">
        <f>X46*Z46/100</f>
        <v>0</v>
      </c>
      <c r="AE46" s="188"/>
      <c r="AF46" s="187">
        <f t="shared" si="5"/>
        <v>0</v>
      </c>
      <c r="AG46" s="188"/>
      <c r="AH46" s="417">
        <f t="shared" si="3"/>
        <v>0</v>
      </c>
      <c r="AI46" s="178"/>
      <c r="AJ46" s="177"/>
      <c r="AK46" s="177"/>
      <c r="AL46" s="177"/>
      <c r="AM46" s="177"/>
      <c r="AN46" s="177"/>
      <c r="AO46" s="177"/>
      <c r="AP46" s="177"/>
      <c r="AQ46" s="188"/>
      <c r="AR46" s="159"/>
    </row>
    <row r="47" spans="1:44" x14ac:dyDescent="0.25">
      <c r="A47" s="172"/>
      <c r="B47" s="172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241"/>
      <c r="O47" s="175"/>
      <c r="P47" s="175"/>
      <c r="Q47" s="175"/>
      <c r="R47" s="175"/>
      <c r="S47" s="175"/>
      <c r="T47" s="175"/>
      <c r="U47" s="175"/>
      <c r="V47" s="175"/>
      <c r="W47" s="175"/>
      <c r="X47" s="173">
        <f t="shared" si="0"/>
        <v>0</v>
      </c>
      <c r="Y47" s="235" t="s">
        <v>179</v>
      </c>
      <c r="Z47" s="190"/>
      <c r="AA47" s="175"/>
      <c r="AB47" s="175"/>
      <c r="AC47" s="173"/>
      <c r="AD47" s="187">
        <f>X47*Z47/100</f>
        <v>0</v>
      </c>
      <c r="AE47" s="188"/>
      <c r="AF47" s="187">
        <f t="shared" si="5"/>
        <v>0</v>
      </c>
      <c r="AG47" s="188"/>
      <c r="AH47" s="417">
        <f t="shared" si="3"/>
        <v>0</v>
      </c>
      <c r="AI47" s="178"/>
      <c r="AJ47" s="177"/>
      <c r="AK47" s="177"/>
      <c r="AL47" s="177"/>
      <c r="AM47" s="177"/>
      <c r="AN47" s="177"/>
      <c r="AO47" s="177"/>
      <c r="AP47" s="177"/>
      <c r="AQ47" s="188"/>
      <c r="AR47" s="159"/>
    </row>
    <row r="48" spans="1:44" x14ac:dyDescent="0.25">
      <c r="A48" s="170"/>
      <c r="B48" s="170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>
        <f>AH48-AE48</f>
        <v>0</v>
      </c>
      <c r="O48" s="177"/>
      <c r="P48" s="177"/>
      <c r="Q48" s="177"/>
      <c r="R48" s="177"/>
      <c r="S48" s="177"/>
      <c r="T48" s="177"/>
      <c r="U48" s="177"/>
      <c r="V48" s="177"/>
      <c r="W48" s="177"/>
      <c r="X48" s="173">
        <f t="shared" si="0"/>
        <v>0</v>
      </c>
      <c r="Y48" s="235" t="s">
        <v>181</v>
      </c>
      <c r="Z48" s="187"/>
      <c r="AA48" s="177"/>
      <c r="AB48" s="177"/>
      <c r="AC48" s="188"/>
      <c r="AD48" s="190">
        <f>-AG48/$D$2%</f>
        <v>0</v>
      </c>
      <c r="AE48" s="176"/>
      <c r="AF48" s="187">
        <f>X48*AB48/100</f>
        <v>0</v>
      </c>
      <c r="AG48" s="176"/>
      <c r="AH48" s="421"/>
      <c r="AI48" s="174"/>
      <c r="AJ48" s="175"/>
      <c r="AK48" s="175"/>
      <c r="AL48" s="175"/>
      <c r="AM48" s="175"/>
      <c r="AN48" s="175"/>
      <c r="AO48" s="175"/>
      <c r="AP48" s="175"/>
      <c r="AQ48" s="176"/>
      <c r="AR48" s="159"/>
    </row>
    <row r="49" spans="1:44" x14ac:dyDescent="0.25">
      <c r="A49" s="170"/>
      <c r="B49" s="170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3">
        <f t="shared" si="0"/>
        <v>0</v>
      </c>
      <c r="Y49" s="235" t="s">
        <v>183</v>
      </c>
      <c r="Z49" s="187"/>
      <c r="AA49" s="177"/>
      <c r="AB49" s="177"/>
      <c r="AC49" s="188"/>
      <c r="AD49" s="190">
        <f>-AG49/$D$2%</f>
        <v>0</v>
      </c>
      <c r="AE49" s="176"/>
      <c r="AF49" s="190">
        <f>X49*AB49/100</f>
        <v>0</v>
      </c>
      <c r="AG49" s="176"/>
      <c r="AH49" s="421"/>
      <c r="AI49" s="174"/>
      <c r="AJ49" s="175"/>
      <c r="AK49" s="175"/>
      <c r="AL49" s="175"/>
      <c r="AM49" s="175"/>
      <c r="AN49" s="175"/>
      <c r="AO49" s="175"/>
      <c r="AP49" s="175"/>
      <c r="AQ49" s="176"/>
      <c r="AR49" s="159"/>
    </row>
    <row r="50" spans="1:44" x14ac:dyDescent="0.25">
      <c r="A50" s="172"/>
      <c r="B50" s="172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3">
        <f t="shared" si="0"/>
        <v>0</v>
      </c>
      <c r="Y50" s="242" t="s">
        <v>185</v>
      </c>
      <c r="Z50" s="190"/>
      <c r="AA50" s="175"/>
      <c r="AB50" s="175"/>
      <c r="AC50" s="173"/>
      <c r="AD50" s="187"/>
      <c r="AE50" s="188"/>
      <c r="AF50" s="187">
        <f t="shared" si="5"/>
        <v>0</v>
      </c>
      <c r="AG50" s="188"/>
      <c r="AH50" s="417">
        <f t="shared" si="3"/>
        <v>0</v>
      </c>
      <c r="AI50" s="178"/>
      <c r="AJ50" s="177"/>
      <c r="AK50" s="177"/>
      <c r="AL50" s="177"/>
      <c r="AM50" s="177"/>
      <c r="AN50" s="177"/>
      <c r="AO50" s="177"/>
      <c r="AP50" s="177"/>
      <c r="AQ50" s="188"/>
      <c r="AR50" s="159"/>
    </row>
    <row r="51" spans="1:44" x14ac:dyDescent="0.25">
      <c r="A51" s="172"/>
      <c r="B51" s="172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3">
        <f t="shared" si="0"/>
        <v>0</v>
      </c>
      <c r="Y51" s="234" t="s">
        <v>187</v>
      </c>
      <c r="Z51" s="190"/>
      <c r="AA51" s="175"/>
      <c r="AB51" s="175"/>
      <c r="AC51" s="173"/>
      <c r="AD51" s="187">
        <f>X51*Z51/100</f>
        <v>0</v>
      </c>
      <c r="AE51" s="188"/>
      <c r="AF51" s="187">
        <f t="shared" si="5"/>
        <v>0</v>
      </c>
      <c r="AG51" s="188"/>
      <c r="AH51" s="417">
        <f t="shared" si="3"/>
        <v>0</v>
      </c>
      <c r="AI51" s="178"/>
      <c r="AJ51" s="177"/>
      <c r="AK51" s="177"/>
      <c r="AL51" s="177"/>
      <c r="AM51" s="177"/>
      <c r="AN51" s="177"/>
      <c r="AO51" s="177"/>
      <c r="AP51" s="177"/>
      <c r="AQ51" s="188"/>
      <c r="AR51" s="159"/>
    </row>
    <row r="52" spans="1:44" x14ac:dyDescent="0.25">
      <c r="A52" s="172"/>
      <c r="B52" s="172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3">
        <f t="shared" si="0"/>
        <v>0</v>
      </c>
      <c r="Y52" s="235" t="s">
        <v>189</v>
      </c>
      <c r="Z52" s="190"/>
      <c r="AA52" s="175"/>
      <c r="AB52" s="175"/>
      <c r="AC52" s="176">
        <v>77.2</v>
      </c>
      <c r="AD52" s="187"/>
      <c r="AE52" s="188"/>
      <c r="AF52" s="187">
        <f>-SUM(AF44:AF51)</f>
        <v>0</v>
      </c>
      <c r="AG52" s="188">
        <f>-AF52*AC52/100</f>
        <v>0</v>
      </c>
      <c r="AH52" s="417">
        <f t="shared" si="3"/>
        <v>0</v>
      </c>
      <c r="AI52" s="178"/>
      <c r="AJ52" s="178"/>
      <c r="AK52" s="177"/>
      <c r="AL52" s="177"/>
      <c r="AM52" s="177"/>
      <c r="AN52" s="177"/>
      <c r="AO52" s="177"/>
      <c r="AP52" s="177"/>
      <c r="AQ52" s="188"/>
      <c r="AR52" s="159"/>
    </row>
    <row r="53" spans="1:44" x14ac:dyDescent="0.25">
      <c r="A53" s="172"/>
      <c r="B53" s="172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>
        <v>3.188904</v>
      </c>
      <c r="W53" s="175"/>
      <c r="X53" s="173">
        <f t="shared" si="0"/>
        <v>3.188904</v>
      </c>
      <c r="Y53" s="234" t="s">
        <v>193</v>
      </c>
      <c r="Z53" s="190">
        <v>26</v>
      </c>
      <c r="AA53" s="175">
        <v>37.4</v>
      </c>
      <c r="AB53" s="175"/>
      <c r="AC53" s="173"/>
      <c r="AD53" s="187">
        <f>X53*Z53/100</f>
        <v>0.82911503999999991</v>
      </c>
      <c r="AE53" s="188"/>
      <c r="AF53" s="187">
        <f>X53*AB53/100</f>
        <v>0</v>
      </c>
      <c r="AG53" s="188"/>
      <c r="AH53" s="417">
        <f>SUM(AI53:AQ53)</f>
        <v>1.1926500959999999</v>
      </c>
      <c r="AI53" s="178"/>
      <c r="AJ53" s="175">
        <f>X53*AA53/100</f>
        <v>1.1926500959999999</v>
      </c>
      <c r="AK53" s="175"/>
      <c r="AL53" s="175"/>
      <c r="AM53" s="175"/>
      <c r="AN53" s="175"/>
      <c r="AO53" s="175"/>
      <c r="AP53" s="175"/>
      <c r="AQ53" s="188"/>
      <c r="AR53" s="159"/>
    </row>
    <row r="54" spans="1:44" x14ac:dyDescent="0.25">
      <c r="A54" s="172"/>
      <c r="B54" s="172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3">
        <f t="shared" si="0"/>
        <v>0</v>
      </c>
      <c r="Y54" s="234" t="s">
        <v>195</v>
      </c>
      <c r="Z54" s="190"/>
      <c r="AA54" s="175"/>
      <c r="AB54" s="175"/>
      <c r="AC54" s="173"/>
      <c r="AD54" s="187">
        <f>X54*Z54/100</f>
        <v>0</v>
      </c>
      <c r="AE54" s="188"/>
      <c r="AF54" s="187">
        <f>X54*AB54/100</f>
        <v>0</v>
      </c>
      <c r="AG54" s="188"/>
      <c r="AH54" s="417">
        <f t="shared" ref="AH54:AH80" si="6">SUM(AI54:AQ54)</f>
        <v>0</v>
      </c>
      <c r="AI54" s="178"/>
      <c r="AJ54" s="175"/>
      <c r="AK54" s="175"/>
      <c r="AL54" s="175"/>
      <c r="AM54" s="175"/>
      <c r="AN54" s="175"/>
      <c r="AO54" s="175"/>
      <c r="AP54" s="175"/>
      <c r="AQ54" s="188"/>
      <c r="AR54" s="159"/>
    </row>
    <row r="55" spans="1:44" x14ac:dyDescent="0.25">
      <c r="A55" s="172"/>
      <c r="B55" s="172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3">
        <f t="shared" si="0"/>
        <v>0</v>
      </c>
      <c r="Y55" s="235" t="s">
        <v>197</v>
      </c>
      <c r="Z55" s="190"/>
      <c r="AA55" s="175"/>
      <c r="AB55" s="175"/>
      <c r="AC55" s="176">
        <v>77.2</v>
      </c>
      <c r="AD55" s="187"/>
      <c r="AE55" s="188"/>
      <c r="AF55" s="187">
        <f>-SUM(AF53:AF54)</f>
        <v>0</v>
      </c>
      <c r="AG55" s="188"/>
      <c r="AH55" s="417">
        <f>SUM(AI55:AQ55)</f>
        <v>0</v>
      </c>
      <c r="AI55" s="178"/>
      <c r="AJ55" s="178"/>
      <c r="AK55" s="177"/>
      <c r="AL55" s="177"/>
      <c r="AM55" s="177"/>
      <c r="AN55" s="177"/>
      <c r="AO55" s="177"/>
      <c r="AP55" s="177"/>
      <c r="AQ55" s="188"/>
      <c r="AR55" s="159"/>
    </row>
    <row r="56" spans="1:44" x14ac:dyDescent="0.25">
      <c r="A56" s="172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3">
        <f t="shared" si="0"/>
        <v>0</v>
      </c>
      <c r="Y56" s="235" t="s">
        <v>201</v>
      </c>
      <c r="Z56" s="190"/>
      <c r="AA56" s="175"/>
      <c r="AB56" s="175"/>
      <c r="AC56" s="173"/>
      <c r="AD56" s="187"/>
      <c r="AE56" s="188"/>
      <c r="AF56" s="187">
        <f>X56*AB56/100</f>
        <v>0</v>
      </c>
      <c r="AG56" s="188"/>
      <c r="AH56" s="417">
        <f t="shared" si="6"/>
        <v>0</v>
      </c>
      <c r="AI56" s="178"/>
      <c r="AJ56" s="177"/>
      <c r="AK56" s="177"/>
      <c r="AL56" s="177"/>
      <c r="AM56" s="177"/>
      <c r="AN56" s="177"/>
      <c r="AO56" s="177"/>
      <c r="AP56" s="177"/>
      <c r="AQ56" s="188"/>
      <c r="AR56" s="159"/>
    </row>
    <row r="57" spans="1:44" x14ac:dyDescent="0.25">
      <c r="A57" s="170"/>
      <c r="B57" s="170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>
        <f>AF57-AE57</f>
        <v>0</v>
      </c>
      <c r="O57" s="177"/>
      <c r="P57" s="177"/>
      <c r="Q57" s="177"/>
      <c r="R57" s="177"/>
      <c r="S57" s="177"/>
      <c r="T57" s="177"/>
      <c r="U57" s="177"/>
      <c r="V57" s="177"/>
      <c r="W57" s="177"/>
      <c r="X57" s="173">
        <f t="shared" si="0"/>
        <v>0</v>
      </c>
      <c r="Y57" s="235" t="s">
        <v>203</v>
      </c>
      <c r="Z57" s="187"/>
      <c r="AA57" s="177"/>
      <c r="AB57" s="177"/>
      <c r="AC57" s="188"/>
      <c r="AD57" s="187">
        <f>-AG57/$D$2%</f>
        <v>0</v>
      </c>
      <c r="AE57" s="188"/>
      <c r="AF57" s="187">
        <f>AE57*AB57%</f>
        <v>0</v>
      </c>
      <c r="AG57" s="188"/>
      <c r="AH57" s="417"/>
      <c r="AI57" s="178"/>
      <c r="AJ57" s="177"/>
      <c r="AK57" s="177"/>
      <c r="AL57" s="177"/>
      <c r="AM57" s="177"/>
      <c r="AN57" s="177"/>
      <c r="AO57" s="177"/>
      <c r="AP57" s="177"/>
      <c r="AQ57" s="188"/>
      <c r="AR57" s="52"/>
    </row>
    <row r="58" spans="1:44" x14ac:dyDescent="0.25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244"/>
      <c r="O58" s="177"/>
      <c r="P58" s="177"/>
      <c r="Q58" s="177"/>
      <c r="R58" s="177"/>
      <c r="S58" s="177"/>
      <c r="T58" s="177"/>
      <c r="U58" s="177"/>
      <c r="V58" s="177"/>
      <c r="W58" s="177"/>
      <c r="X58" s="173">
        <f t="shared" si="0"/>
        <v>0</v>
      </c>
      <c r="Y58" s="235" t="s">
        <v>205</v>
      </c>
      <c r="Z58" s="187"/>
      <c r="AA58" s="177"/>
      <c r="AB58" s="177"/>
      <c r="AC58" s="188"/>
      <c r="AD58" s="187"/>
      <c r="AE58" s="188"/>
      <c r="AF58" s="187">
        <f>X58*AB58/100</f>
        <v>0</v>
      </c>
      <c r="AG58" s="188"/>
      <c r="AH58" s="417"/>
      <c r="AI58" s="178"/>
      <c r="AJ58" s="177"/>
      <c r="AK58" s="177"/>
      <c r="AL58" s="177"/>
      <c r="AM58" s="177"/>
      <c r="AN58" s="177"/>
      <c r="AO58" s="177"/>
      <c r="AP58" s="177"/>
      <c r="AQ58" s="188"/>
      <c r="AR58" s="52"/>
    </row>
    <row r="59" spans="1:44" x14ac:dyDescent="0.25">
      <c r="A59" s="170"/>
      <c r="B59" s="170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244"/>
      <c r="O59" s="177"/>
      <c r="P59" s="177"/>
      <c r="Q59" s="177"/>
      <c r="R59" s="177"/>
      <c r="S59" s="177"/>
      <c r="T59" s="177"/>
      <c r="U59" s="177"/>
      <c r="V59" s="177"/>
      <c r="W59" s="177"/>
      <c r="X59" s="173">
        <f t="shared" si="0"/>
        <v>0</v>
      </c>
      <c r="Y59" s="235" t="s">
        <v>207</v>
      </c>
      <c r="Z59" s="187"/>
      <c r="AA59" s="177"/>
      <c r="AB59" s="177"/>
      <c r="AC59" s="188"/>
      <c r="AD59" s="187"/>
      <c r="AE59" s="188"/>
      <c r="AF59" s="187">
        <f>X59*AB59/100</f>
        <v>0</v>
      </c>
      <c r="AG59" s="188"/>
      <c r="AH59" s="417"/>
      <c r="AI59" s="178"/>
      <c r="AJ59" s="177"/>
      <c r="AK59" s="177"/>
      <c r="AL59" s="177"/>
      <c r="AM59" s="177"/>
      <c r="AN59" s="177"/>
      <c r="AO59" s="177"/>
      <c r="AP59" s="177"/>
      <c r="AQ59" s="188"/>
      <c r="AR59" s="52"/>
    </row>
    <row r="60" spans="1:44" x14ac:dyDescent="0.25">
      <c r="A60" s="172"/>
      <c r="B60" s="172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241"/>
      <c r="O60" s="175"/>
      <c r="P60" s="175"/>
      <c r="Q60" s="175"/>
      <c r="R60" s="175"/>
      <c r="S60" s="175"/>
      <c r="T60" s="175"/>
      <c r="U60" s="175"/>
      <c r="V60" s="175"/>
      <c r="W60" s="175"/>
      <c r="X60" s="173">
        <f t="shared" si="0"/>
        <v>0</v>
      </c>
      <c r="Y60" s="235" t="s">
        <v>362</v>
      </c>
      <c r="Z60" s="190"/>
      <c r="AA60" s="175"/>
      <c r="AB60" s="175"/>
      <c r="AC60" s="176"/>
      <c r="AD60" s="187"/>
      <c r="AE60" s="188"/>
      <c r="AF60" s="187">
        <f>X60*AB60/100</f>
        <v>0</v>
      </c>
      <c r="AG60" s="188"/>
      <c r="AH60" s="417">
        <f t="shared" si="6"/>
        <v>0</v>
      </c>
      <c r="AI60" s="178"/>
      <c r="AJ60" s="177"/>
      <c r="AK60" s="177"/>
      <c r="AL60" s="177"/>
      <c r="AM60" s="177"/>
      <c r="AN60" s="177"/>
      <c r="AO60" s="177"/>
      <c r="AP60" s="177"/>
      <c r="AQ60" s="188"/>
      <c r="AR60" s="159"/>
    </row>
    <row r="61" spans="1:44" x14ac:dyDescent="0.25">
      <c r="A61" s="191"/>
      <c r="B61" s="172">
        <v>1.008E-2</v>
      </c>
      <c r="C61" s="175"/>
      <c r="D61" s="175"/>
      <c r="E61" s="175">
        <v>101.94239999999999</v>
      </c>
      <c r="F61" s="175"/>
      <c r="G61" s="175"/>
      <c r="H61" s="175"/>
      <c r="I61" s="175">
        <v>3200</v>
      </c>
      <c r="J61" s="175"/>
      <c r="K61" s="175"/>
      <c r="L61" s="175"/>
      <c r="M61" s="175"/>
      <c r="N61" s="241"/>
      <c r="O61" s="175"/>
      <c r="P61" s="175"/>
      <c r="Q61" s="175"/>
      <c r="R61" s="175">
        <v>1.5792000000000002</v>
      </c>
      <c r="S61" s="175">
        <v>2.9568000000000003</v>
      </c>
      <c r="T61" s="175"/>
      <c r="U61" s="175">
        <v>241.49664000000001</v>
      </c>
      <c r="V61" s="175">
        <v>10.0464</v>
      </c>
      <c r="W61" s="175">
        <v>197.58815999999999</v>
      </c>
      <c r="X61" s="173">
        <f t="shared" si="0"/>
        <v>3755.6196799999998</v>
      </c>
      <c r="Y61" s="234" t="s">
        <v>159</v>
      </c>
      <c r="Z61" s="190">
        <v>21.5</v>
      </c>
      <c r="AA61" s="175"/>
      <c r="AB61" s="175">
        <v>51.8</v>
      </c>
      <c r="AC61" s="176"/>
      <c r="AD61" s="187">
        <f>X61*Z61%</f>
        <v>807.45823119999989</v>
      </c>
      <c r="AE61" s="188"/>
      <c r="AF61" s="187">
        <f>X61*AB61%</f>
        <v>1945.41099424</v>
      </c>
      <c r="AG61" s="188"/>
      <c r="AH61" s="417">
        <f t="shared" si="6"/>
        <v>0</v>
      </c>
      <c r="AI61" s="178"/>
      <c r="AJ61" s="177"/>
      <c r="AK61" s="177"/>
      <c r="AL61" s="177"/>
      <c r="AM61" s="177"/>
      <c r="AN61" s="177"/>
      <c r="AO61" s="177"/>
      <c r="AP61" s="177"/>
      <c r="AQ61" s="188"/>
      <c r="AR61" s="159"/>
    </row>
    <row r="62" spans="1:44" x14ac:dyDescent="0.25">
      <c r="A62" s="172"/>
      <c r="B62" s="172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240"/>
      <c r="O62" s="175"/>
      <c r="P62" s="175"/>
      <c r="Q62" s="175"/>
      <c r="R62" s="175"/>
      <c r="S62" s="175"/>
      <c r="T62" s="175"/>
      <c r="U62" s="175"/>
      <c r="V62" s="175"/>
      <c r="W62" s="172"/>
      <c r="X62" s="173">
        <f t="shared" si="0"/>
        <v>0</v>
      </c>
      <c r="Y62" s="235" t="s">
        <v>211</v>
      </c>
      <c r="Z62" s="190"/>
      <c r="AA62" s="175"/>
      <c r="AB62" s="175"/>
      <c r="AC62" s="176">
        <v>77.2</v>
      </c>
      <c r="AD62" s="187"/>
      <c r="AE62" s="188"/>
      <c r="AF62" s="190">
        <f>-SUM(AF56:AF61)</f>
        <v>-1945.41099424</v>
      </c>
      <c r="AG62" s="188">
        <f>-AF62*AC62/100</f>
        <v>1501.8572875532802</v>
      </c>
      <c r="AH62" s="417">
        <f t="shared" si="6"/>
        <v>1501.8572875532802</v>
      </c>
      <c r="AI62" s="178">
        <f>AG62*63.5%</f>
        <v>953.67937759633298</v>
      </c>
      <c r="AJ62" s="178">
        <f>AG62*9.3%</f>
        <v>139.67272774245509</v>
      </c>
      <c r="AK62" s="177">
        <f>AG62*12.9%</f>
        <v>193.73959009437314</v>
      </c>
      <c r="AL62" s="177">
        <f>AG62*7.1%</f>
        <v>106.63186741628289</v>
      </c>
      <c r="AM62" s="177">
        <f>AG62*0%</f>
        <v>0</v>
      </c>
      <c r="AN62" s="177">
        <f>AG62*5.2%</f>
        <v>78.096578952770585</v>
      </c>
      <c r="AO62" s="177">
        <f>AG62*2%</f>
        <v>30.037145751065605</v>
      </c>
      <c r="AP62" s="177"/>
      <c r="AQ62" s="188"/>
      <c r="AR62" s="159"/>
    </row>
    <row r="63" spans="1:44" x14ac:dyDescent="0.25">
      <c r="A63" s="172"/>
      <c r="B63" s="172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240"/>
      <c r="O63" s="175"/>
      <c r="P63" s="175"/>
      <c r="Q63" s="175"/>
      <c r="R63" s="175"/>
      <c r="S63" s="175"/>
      <c r="T63" s="175"/>
      <c r="U63" s="175"/>
      <c r="V63" s="175"/>
      <c r="W63" s="172"/>
      <c r="X63" s="173">
        <f t="shared" si="0"/>
        <v>0</v>
      </c>
      <c r="Y63" s="234" t="s">
        <v>215</v>
      </c>
      <c r="Z63" s="190"/>
      <c r="AA63" s="175"/>
      <c r="AB63" s="175"/>
      <c r="AC63" s="173"/>
      <c r="AD63" s="187">
        <f t="shared" ref="AD63:AD68" si="7">Z63/100*X63</f>
        <v>0</v>
      </c>
      <c r="AE63" s="188"/>
      <c r="AF63" s="187">
        <f>X63*AB63/100</f>
        <v>0</v>
      </c>
      <c r="AG63" s="188"/>
      <c r="AH63" s="417">
        <f t="shared" si="6"/>
        <v>0</v>
      </c>
      <c r="AI63" s="178"/>
      <c r="AJ63" s="177"/>
      <c r="AK63" s="177"/>
      <c r="AL63" s="177"/>
      <c r="AM63" s="177"/>
      <c r="AN63" s="177"/>
      <c r="AO63" s="177"/>
      <c r="AP63" s="177"/>
      <c r="AQ63" s="188"/>
      <c r="AR63" s="159"/>
    </row>
    <row r="64" spans="1:44" x14ac:dyDescent="0.25">
      <c r="A64" s="172"/>
      <c r="B64" s="172"/>
      <c r="C64" s="175"/>
      <c r="D64" s="175"/>
      <c r="E64" s="175"/>
      <c r="F64" s="175"/>
      <c r="G64" s="175"/>
      <c r="H64" s="175"/>
      <c r="I64" s="175">
        <v>0.1201464</v>
      </c>
      <c r="J64" s="175"/>
      <c r="K64" s="175"/>
      <c r="L64" s="175"/>
      <c r="M64" s="175"/>
      <c r="N64" s="240"/>
      <c r="O64" s="175"/>
      <c r="P64" s="175"/>
      <c r="Q64" s="175"/>
      <c r="R64" s="175"/>
      <c r="S64" s="175"/>
      <c r="T64" s="175"/>
      <c r="U64" s="175"/>
      <c r="V64" s="175"/>
      <c r="W64" s="172"/>
      <c r="X64" s="173">
        <f t="shared" si="0"/>
        <v>0.1201464</v>
      </c>
      <c r="Y64" s="234" t="s">
        <v>217</v>
      </c>
      <c r="Z64" s="190">
        <v>39.6</v>
      </c>
      <c r="AA64" s="175">
        <v>41.4</v>
      </c>
      <c r="AB64" s="175"/>
      <c r="AC64" s="173"/>
      <c r="AD64" s="187">
        <f t="shared" si="7"/>
        <v>4.75779744E-2</v>
      </c>
      <c r="AE64" s="188"/>
      <c r="AF64" s="187">
        <f>X64*AB64/100</f>
        <v>0</v>
      </c>
      <c r="AG64" s="188"/>
      <c r="AH64" s="417">
        <f t="shared" si="6"/>
        <v>4.9740609599999999E-2</v>
      </c>
      <c r="AI64" s="178"/>
      <c r="AJ64" s="177"/>
      <c r="AK64" s="177"/>
      <c r="AL64" s="177"/>
      <c r="AM64" s="177"/>
      <c r="AN64" s="177">
        <f>X64*AA64/100</f>
        <v>4.9740609599999999E-2</v>
      </c>
      <c r="AO64" s="177"/>
      <c r="AP64" s="177"/>
      <c r="AQ64" s="188"/>
      <c r="AR64" s="159"/>
    </row>
    <row r="65" spans="1:44" x14ac:dyDescent="0.25">
      <c r="A65" s="172"/>
      <c r="B65" s="172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240"/>
      <c r="O65" s="175"/>
      <c r="P65" s="175"/>
      <c r="Q65" s="175"/>
      <c r="R65" s="175"/>
      <c r="S65" s="175"/>
      <c r="T65" s="175"/>
      <c r="U65" s="175"/>
      <c r="V65" s="175"/>
      <c r="W65" s="172"/>
      <c r="X65" s="173"/>
      <c r="Y65" s="234" t="s">
        <v>219</v>
      </c>
      <c r="Z65" s="190"/>
      <c r="AA65" s="175"/>
      <c r="AB65" s="175"/>
      <c r="AC65" s="173"/>
      <c r="AD65" s="187">
        <f t="shared" si="7"/>
        <v>0</v>
      </c>
      <c r="AE65" s="188"/>
      <c r="AF65" s="187">
        <f>X65*AB65/100</f>
        <v>0</v>
      </c>
      <c r="AG65" s="188"/>
      <c r="AH65" s="417">
        <f t="shared" si="6"/>
        <v>0</v>
      </c>
      <c r="AI65" s="178"/>
      <c r="AJ65" s="177"/>
      <c r="AK65" s="177"/>
      <c r="AL65" s="177"/>
      <c r="AM65" s="177"/>
      <c r="AN65" s="177"/>
      <c r="AO65" s="177"/>
      <c r="AP65" s="177"/>
      <c r="AQ65" s="188"/>
      <c r="AR65" s="159"/>
    </row>
    <row r="66" spans="1:44" x14ac:dyDescent="0.25">
      <c r="A66" s="172"/>
      <c r="B66" s="172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0"/>
      <c r="O66" s="175"/>
      <c r="P66" s="175"/>
      <c r="Q66" s="175"/>
      <c r="R66" s="175"/>
      <c r="S66" s="175"/>
      <c r="T66" s="175"/>
      <c r="U66" s="175"/>
      <c r="V66" s="175"/>
      <c r="W66" s="172"/>
      <c r="X66" s="173"/>
      <c r="Y66" s="234" t="s">
        <v>221</v>
      </c>
      <c r="Z66" s="190"/>
      <c r="AA66" s="175"/>
      <c r="AB66" s="175"/>
      <c r="AC66" s="173"/>
      <c r="AD66" s="187">
        <f t="shared" si="7"/>
        <v>0</v>
      </c>
      <c r="AE66" s="188"/>
      <c r="AF66" s="187">
        <f>X66*AB66/100</f>
        <v>0</v>
      </c>
      <c r="AG66" s="188"/>
      <c r="AH66" s="417">
        <f t="shared" si="6"/>
        <v>0</v>
      </c>
      <c r="AI66" s="178"/>
      <c r="AJ66" s="177"/>
      <c r="AK66" s="177"/>
      <c r="AL66" s="177"/>
      <c r="AM66" s="177"/>
      <c r="AN66" s="177"/>
      <c r="AO66" s="177"/>
      <c r="AP66" s="177"/>
      <c r="AQ66" s="188"/>
      <c r="AR66" s="159"/>
    </row>
    <row r="67" spans="1:44" x14ac:dyDescent="0.25">
      <c r="A67" s="172"/>
      <c r="B67" s="172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0"/>
      <c r="O67" s="175"/>
      <c r="P67" s="175"/>
      <c r="Q67" s="175"/>
      <c r="R67" s="175"/>
      <c r="S67" s="175"/>
      <c r="T67" s="175"/>
      <c r="U67" s="175"/>
      <c r="V67" s="175"/>
      <c r="W67" s="172"/>
      <c r="X67" s="173"/>
      <c r="Y67" s="234" t="s">
        <v>223</v>
      </c>
      <c r="Z67" s="190"/>
      <c r="AA67" s="175"/>
      <c r="AB67" s="175"/>
      <c r="AC67" s="173"/>
      <c r="AD67" s="187">
        <f t="shared" si="7"/>
        <v>0</v>
      </c>
      <c r="AE67" s="188"/>
      <c r="AF67" s="187">
        <f>X67*AB67/100</f>
        <v>0</v>
      </c>
      <c r="AG67" s="188"/>
      <c r="AH67" s="417">
        <f t="shared" si="6"/>
        <v>0</v>
      </c>
      <c r="AI67" s="178"/>
      <c r="AJ67" s="177"/>
      <c r="AK67" s="177"/>
      <c r="AL67" s="177"/>
      <c r="AM67" s="177"/>
      <c r="AN67" s="177"/>
      <c r="AO67" s="177"/>
      <c r="AP67" s="177"/>
      <c r="AQ67" s="188"/>
      <c r="AR67" s="159"/>
    </row>
    <row r="68" spans="1:44" x14ac:dyDescent="0.25">
      <c r="A68" s="172"/>
      <c r="B68" s="172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0"/>
      <c r="O68" s="175"/>
      <c r="P68" s="175"/>
      <c r="Q68" s="175"/>
      <c r="R68" s="175"/>
      <c r="S68" s="175"/>
      <c r="T68" s="175"/>
      <c r="U68" s="175"/>
      <c r="V68" s="175"/>
      <c r="W68" s="172"/>
      <c r="X68" s="173"/>
      <c r="Y68" s="234" t="s">
        <v>225</v>
      </c>
      <c r="Z68" s="190"/>
      <c r="AA68" s="175"/>
      <c r="AB68" s="175"/>
      <c r="AC68" s="173"/>
      <c r="AD68" s="187">
        <f t="shared" si="7"/>
        <v>0</v>
      </c>
      <c r="AE68" s="176"/>
      <c r="AF68" s="187">
        <f>(16.55+1172)*0.336</f>
        <v>399.3528</v>
      </c>
      <c r="AG68" s="188"/>
      <c r="AH68" s="417">
        <f t="shared" si="6"/>
        <v>0</v>
      </c>
      <c r="AI68" s="178"/>
      <c r="AJ68" s="177"/>
      <c r="AK68" s="177"/>
      <c r="AL68" s="177"/>
      <c r="AM68" s="177"/>
      <c r="AN68" s="177"/>
      <c r="AO68" s="177"/>
      <c r="AP68" s="177"/>
      <c r="AQ68" s="188"/>
      <c r="AR68" s="159"/>
    </row>
    <row r="69" spans="1:44" x14ac:dyDescent="0.25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0"/>
      <c r="O69" s="172"/>
      <c r="P69" s="172"/>
      <c r="Q69" s="172"/>
      <c r="R69" s="172"/>
      <c r="S69" s="172"/>
      <c r="T69" s="172"/>
      <c r="U69" s="172"/>
      <c r="V69" s="172"/>
      <c r="W69" s="172"/>
      <c r="X69" s="173"/>
      <c r="Y69" s="242" t="s">
        <v>227</v>
      </c>
      <c r="Z69" s="191"/>
      <c r="AA69" s="172"/>
      <c r="AB69" s="172"/>
      <c r="AC69" s="196"/>
      <c r="AD69" s="187">
        <f>-AE69</f>
        <v>-189.82320000000001</v>
      </c>
      <c r="AE69" s="176">
        <f>564.95*0.336</f>
        <v>189.82320000000001</v>
      </c>
      <c r="AF69" s="190"/>
      <c r="AG69" s="188"/>
      <c r="AH69" s="417">
        <f t="shared" si="6"/>
        <v>189.82320000000001</v>
      </c>
      <c r="AI69" s="178"/>
      <c r="AJ69" s="177"/>
      <c r="AK69" s="177"/>
      <c r="AL69" s="177"/>
      <c r="AM69" s="177"/>
      <c r="AN69" s="177">
        <f>AE69</f>
        <v>189.82320000000001</v>
      </c>
      <c r="AO69" s="177"/>
      <c r="AP69" s="177"/>
      <c r="AQ69" s="188"/>
      <c r="AR69" s="159"/>
    </row>
    <row r="70" spans="1:44" x14ac:dyDescent="0.25">
      <c r="A70" s="172"/>
      <c r="B70" s="172"/>
      <c r="C70" s="172"/>
      <c r="D70" s="172"/>
      <c r="E70" s="175"/>
      <c r="F70" s="175"/>
      <c r="G70" s="175"/>
      <c r="H70" s="175"/>
      <c r="I70" s="175"/>
      <c r="J70" s="175"/>
      <c r="K70" s="175"/>
      <c r="L70" s="175"/>
      <c r="M70" s="175"/>
      <c r="N70" s="170"/>
      <c r="O70" s="175"/>
      <c r="P70" s="175"/>
      <c r="Q70" s="175"/>
      <c r="R70" s="172"/>
      <c r="S70" s="172"/>
      <c r="T70" s="172"/>
      <c r="U70" s="172"/>
      <c r="V70" s="172"/>
      <c r="W70" s="172"/>
      <c r="X70" s="173"/>
      <c r="Y70" s="242" t="s">
        <v>229</v>
      </c>
      <c r="Z70" s="191"/>
      <c r="AA70" s="172"/>
      <c r="AB70" s="172"/>
      <c r="AC70" s="173"/>
      <c r="AD70" s="187"/>
      <c r="AE70" s="176"/>
      <c r="AF70" s="190"/>
      <c r="AG70" s="424"/>
      <c r="AH70" s="417">
        <f t="shared" si="6"/>
        <v>0</v>
      </c>
      <c r="AI70" s="178"/>
      <c r="AJ70" s="177"/>
      <c r="AK70" s="177"/>
      <c r="AL70" s="177"/>
      <c r="AM70" s="177"/>
      <c r="AN70" s="177">
        <f>-AF70</f>
        <v>0</v>
      </c>
      <c r="AO70" s="177"/>
      <c r="AP70" s="177"/>
      <c r="AQ70" s="188"/>
      <c r="AR70" s="159"/>
    </row>
    <row r="71" spans="1:44" x14ac:dyDescent="0.25">
      <c r="A71" s="172"/>
      <c r="B71" s="172"/>
      <c r="C71" s="172"/>
      <c r="D71" s="172"/>
      <c r="E71" s="175"/>
      <c r="F71" s="175"/>
      <c r="G71" s="175"/>
      <c r="H71" s="175"/>
      <c r="I71" s="175"/>
      <c r="J71" s="175"/>
      <c r="K71" s="175"/>
      <c r="L71" s="175"/>
      <c r="M71" s="175"/>
      <c r="N71" s="170"/>
      <c r="O71" s="175"/>
      <c r="P71" s="175"/>
      <c r="Q71" s="175"/>
      <c r="R71" s="172"/>
      <c r="S71" s="172"/>
      <c r="T71" s="172"/>
      <c r="U71" s="172"/>
      <c r="V71" s="172"/>
      <c r="W71" s="172"/>
      <c r="X71" s="173"/>
      <c r="Y71" s="235" t="s">
        <v>231</v>
      </c>
      <c r="Z71" s="191"/>
      <c r="AA71" s="172"/>
      <c r="AB71" s="172"/>
      <c r="AC71" s="176">
        <v>77.2</v>
      </c>
      <c r="AD71" s="187"/>
      <c r="AE71" s="188"/>
      <c r="AF71" s="187">
        <f>-SUM(AF63:AF70)</f>
        <v>-399.3528</v>
      </c>
      <c r="AG71" s="188">
        <f>-AF71*AC71/100</f>
        <v>308.30036159999997</v>
      </c>
      <c r="AH71" s="417">
        <f t="shared" si="6"/>
        <v>308.30036159999997</v>
      </c>
      <c r="AI71" s="178">
        <f>AG71*63.5%</f>
        <v>195.77072961599998</v>
      </c>
      <c r="AJ71" s="178">
        <f>AG71*9.3%</f>
        <v>28.671933628800002</v>
      </c>
      <c r="AK71" s="177">
        <f>AG71*12.9%</f>
        <v>39.770746646399999</v>
      </c>
      <c r="AL71" s="177">
        <f>AG71*7.1%</f>
        <v>21.889325673599995</v>
      </c>
      <c r="AM71" s="177">
        <f>AG71*0%</f>
        <v>0</v>
      </c>
      <c r="AN71" s="177">
        <f>AG71*5.2%</f>
        <v>16.031618803200001</v>
      </c>
      <c r="AO71" s="177">
        <f>AG71*2%</f>
        <v>6.1660072319999992</v>
      </c>
      <c r="AP71" s="177"/>
      <c r="AQ71" s="188"/>
      <c r="AR71" s="159"/>
    </row>
    <row r="72" spans="1:44" x14ac:dyDescent="0.25">
      <c r="A72" s="191"/>
      <c r="B72" s="172"/>
      <c r="C72" s="172"/>
      <c r="D72" s="172"/>
      <c r="E72" s="175"/>
      <c r="F72" s="175"/>
      <c r="G72" s="175"/>
      <c r="H72" s="175">
        <v>643.52307600000006</v>
      </c>
      <c r="I72" s="175"/>
      <c r="J72" s="175"/>
      <c r="K72" s="175"/>
      <c r="L72" s="175"/>
      <c r="M72" s="175"/>
      <c r="N72" s="175"/>
      <c r="O72" s="175"/>
      <c r="P72" s="175">
        <v>1.8069240000000002</v>
      </c>
      <c r="Q72" s="175"/>
      <c r="R72" s="172"/>
      <c r="S72" s="172"/>
      <c r="T72" s="172"/>
      <c r="U72" s="172"/>
      <c r="V72" s="172"/>
      <c r="W72" s="172"/>
      <c r="X72" s="173">
        <f>SUM(A72:W72)</f>
        <v>645.33000000000004</v>
      </c>
      <c r="Y72" s="235" t="s">
        <v>241</v>
      </c>
      <c r="Z72" s="169"/>
      <c r="AA72" s="170">
        <v>20</v>
      </c>
      <c r="AB72" s="170"/>
      <c r="AC72" s="171"/>
      <c r="AD72" s="187"/>
      <c r="AE72" s="188"/>
      <c r="AF72" s="187"/>
      <c r="AG72" s="188"/>
      <c r="AH72" s="417">
        <f t="shared" si="6"/>
        <v>129.066</v>
      </c>
      <c r="AI72" s="178"/>
      <c r="AJ72" s="177"/>
      <c r="AK72" s="177"/>
      <c r="AL72" s="177"/>
      <c r="AM72" s="177"/>
      <c r="AN72" s="177"/>
      <c r="AO72" s="177"/>
      <c r="AP72" s="177"/>
      <c r="AQ72" s="188">
        <f>X72*AA72/100</f>
        <v>129.066</v>
      </c>
      <c r="AR72" s="159"/>
    </row>
    <row r="73" spans="1:44" x14ac:dyDescent="0.25">
      <c r="A73" s="191"/>
      <c r="B73" s="172"/>
      <c r="C73" s="172"/>
      <c r="D73" s="172"/>
      <c r="E73" s="175"/>
      <c r="F73" s="175">
        <v>297.29026799999997</v>
      </c>
      <c r="G73" s="175"/>
      <c r="H73" s="175"/>
      <c r="I73" s="175"/>
      <c r="J73" s="175"/>
      <c r="K73" s="175"/>
      <c r="L73" s="175"/>
      <c r="M73" s="175"/>
      <c r="N73" s="175"/>
      <c r="O73" s="175"/>
      <c r="P73" s="175">
        <v>2.9732000000000001E-2</v>
      </c>
      <c r="Q73" s="175"/>
      <c r="R73" s="172"/>
      <c r="S73" s="172"/>
      <c r="T73" s="172"/>
      <c r="U73" s="172"/>
      <c r="V73" s="172"/>
      <c r="W73" s="172"/>
      <c r="X73" s="173">
        <f>SUM(A73:W73)</f>
        <v>297.32</v>
      </c>
      <c r="Y73" s="235" t="s">
        <v>243</v>
      </c>
      <c r="Z73" s="169"/>
      <c r="AA73" s="170">
        <v>25</v>
      </c>
      <c r="AB73" s="170"/>
      <c r="AC73" s="171"/>
      <c r="AD73" s="187"/>
      <c r="AE73" s="188"/>
      <c r="AF73" s="187"/>
      <c r="AG73" s="188"/>
      <c r="AH73" s="417">
        <f t="shared" si="6"/>
        <v>74.33</v>
      </c>
      <c r="AI73" s="178"/>
      <c r="AJ73" s="177"/>
      <c r="AK73" s="177"/>
      <c r="AL73" s="177"/>
      <c r="AM73" s="177"/>
      <c r="AN73" s="177"/>
      <c r="AO73" s="177"/>
      <c r="AP73" s="177"/>
      <c r="AQ73" s="188">
        <f>X73*AA73/100</f>
        <v>74.33</v>
      </c>
      <c r="AR73" s="159"/>
    </row>
    <row r="74" spans="1:44" x14ac:dyDescent="0.25">
      <c r="A74" s="169"/>
      <c r="B74" s="172"/>
      <c r="C74" s="172"/>
      <c r="D74" s="172"/>
      <c r="E74" s="175"/>
      <c r="F74" s="175">
        <f>174.13*(1-0.01%)</f>
        <v>174.11258699999999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>
        <f>174.13*(0.01%)</f>
        <v>1.7413000000000001E-2</v>
      </c>
      <c r="Q74" s="175"/>
      <c r="R74" s="172"/>
      <c r="S74" s="172"/>
      <c r="T74" s="172"/>
      <c r="U74" s="172"/>
      <c r="V74" s="172"/>
      <c r="W74" s="172"/>
      <c r="X74" s="173">
        <f>SUM(A74:W74)</f>
        <v>174.13</v>
      </c>
      <c r="Y74" s="235" t="s">
        <v>244</v>
      </c>
      <c r="Z74" s="169"/>
      <c r="AA74" s="170">
        <v>25</v>
      </c>
      <c r="AB74" s="170"/>
      <c r="AC74" s="171"/>
      <c r="AD74" s="187"/>
      <c r="AE74" s="188"/>
      <c r="AF74" s="187"/>
      <c r="AG74" s="188"/>
      <c r="AH74" s="417">
        <f t="shared" si="6"/>
        <v>43.532499999999999</v>
      </c>
      <c r="AI74" s="178"/>
      <c r="AJ74" s="177"/>
      <c r="AK74" s="177"/>
      <c r="AL74" s="177"/>
      <c r="AM74" s="177"/>
      <c r="AN74" s="177"/>
      <c r="AO74" s="177"/>
      <c r="AP74" s="177"/>
      <c r="AQ74" s="188">
        <f>X74*AA74/100</f>
        <v>43.532499999999999</v>
      </c>
      <c r="AR74" s="159"/>
    </row>
    <row r="75" spans="1:44" x14ac:dyDescent="0.25">
      <c r="A75" s="191"/>
      <c r="B75" s="172"/>
      <c r="C75" s="172"/>
      <c r="D75" s="172"/>
      <c r="E75" s="175"/>
      <c r="F75" s="175">
        <f>16.06*(1-0.01%)</f>
        <v>16.058394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75">
        <f>16.06*(0.01%)</f>
        <v>1.606E-3</v>
      </c>
      <c r="Q75" s="175"/>
      <c r="R75" s="172"/>
      <c r="S75" s="172"/>
      <c r="T75" s="172"/>
      <c r="U75" s="172"/>
      <c r="V75" s="172"/>
      <c r="W75" s="172"/>
      <c r="X75" s="173">
        <f t="shared" ref="X75:X80" si="8">SUM(A75:W75)</f>
        <v>16.059999999999999</v>
      </c>
      <c r="Y75" s="234" t="s">
        <v>246</v>
      </c>
      <c r="Z75" s="169"/>
      <c r="AA75" s="170">
        <v>33</v>
      </c>
      <c r="AB75" s="170"/>
      <c r="AC75" s="171"/>
      <c r="AD75" s="187"/>
      <c r="AE75" s="188"/>
      <c r="AF75" s="187"/>
      <c r="AG75" s="188"/>
      <c r="AH75" s="417">
        <f t="shared" si="6"/>
        <v>5.2997999999999994</v>
      </c>
      <c r="AI75" s="178"/>
      <c r="AJ75" s="177"/>
      <c r="AK75" s="177"/>
      <c r="AL75" s="177"/>
      <c r="AM75" s="177"/>
      <c r="AN75" s="177"/>
      <c r="AO75" s="177"/>
      <c r="AP75" s="177"/>
      <c r="AQ75" s="188">
        <f>X75*AA75/100</f>
        <v>5.2997999999999994</v>
      </c>
      <c r="AR75" s="159"/>
    </row>
    <row r="76" spans="1:44" x14ac:dyDescent="0.25">
      <c r="A76" s="191"/>
      <c r="B76" s="172"/>
      <c r="C76" s="172"/>
      <c r="D76" s="172"/>
      <c r="E76" s="175"/>
      <c r="F76" s="175">
        <v>362.10378600000001</v>
      </c>
      <c r="G76" s="175"/>
      <c r="H76" s="175"/>
      <c r="I76" s="175"/>
      <c r="J76" s="175"/>
      <c r="K76" s="175"/>
      <c r="L76" s="175"/>
      <c r="M76" s="175"/>
      <c r="N76" s="175"/>
      <c r="O76" s="175"/>
      <c r="P76" s="175">
        <v>3.6214000000000003E-2</v>
      </c>
      <c r="Q76" s="175"/>
      <c r="R76" s="172"/>
      <c r="S76" s="172"/>
      <c r="T76" s="172"/>
      <c r="U76" s="172"/>
      <c r="V76" s="172"/>
      <c r="W76" s="172"/>
      <c r="X76" s="173">
        <f t="shared" si="8"/>
        <v>362.14</v>
      </c>
      <c r="Y76" s="235" t="s">
        <v>248</v>
      </c>
      <c r="Z76" s="169"/>
      <c r="AA76" s="170">
        <v>33</v>
      </c>
      <c r="AB76" s="170"/>
      <c r="AC76" s="171"/>
      <c r="AD76" s="187"/>
      <c r="AE76" s="188"/>
      <c r="AF76" s="187"/>
      <c r="AG76" s="188"/>
      <c r="AH76" s="417">
        <f t="shared" si="6"/>
        <v>119.50619999999999</v>
      </c>
      <c r="AI76" s="178"/>
      <c r="AJ76" s="177"/>
      <c r="AK76" s="177"/>
      <c r="AL76" s="177"/>
      <c r="AM76" s="177"/>
      <c r="AN76" s="177"/>
      <c r="AO76" s="177"/>
      <c r="AP76" s="177"/>
      <c r="AQ76" s="188">
        <f>X76*AA76/100</f>
        <v>119.50619999999999</v>
      </c>
      <c r="AR76" s="159"/>
    </row>
    <row r="77" spans="1:44" x14ac:dyDescent="0.25">
      <c r="A77" s="191"/>
      <c r="B77" s="172"/>
      <c r="C77" s="172"/>
      <c r="D77" s="172"/>
      <c r="E77" s="175"/>
      <c r="F77" s="138">
        <v>36.396360000000001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75">
        <v>3.64E-3</v>
      </c>
      <c r="Q77" s="175"/>
      <c r="R77" s="172"/>
      <c r="S77" s="172"/>
      <c r="T77" s="172"/>
      <c r="U77" s="172"/>
      <c r="V77" s="172"/>
      <c r="W77" s="172"/>
      <c r="X77" s="173">
        <f t="shared" si="8"/>
        <v>36.4</v>
      </c>
      <c r="Y77" s="234" t="s">
        <v>285</v>
      </c>
      <c r="Z77" s="169"/>
      <c r="AA77" s="170">
        <v>33</v>
      </c>
      <c r="AB77" s="170"/>
      <c r="AC77" s="171"/>
      <c r="AD77" s="187"/>
      <c r="AE77" s="188"/>
      <c r="AF77" s="187"/>
      <c r="AG77" s="188"/>
      <c r="AH77" s="417">
        <f t="shared" si="6"/>
        <v>12.012</v>
      </c>
      <c r="AI77" s="178"/>
      <c r="AJ77" s="177"/>
      <c r="AK77" s="177"/>
      <c r="AL77" s="177"/>
      <c r="AM77" s="177"/>
      <c r="AN77" s="177"/>
      <c r="AO77" s="177"/>
      <c r="AP77" s="177">
        <f>X77*AA77%</f>
        <v>12.012</v>
      </c>
      <c r="AQ77" s="188"/>
      <c r="AR77" s="159"/>
    </row>
    <row r="78" spans="1:44" x14ac:dyDescent="0.25">
      <c r="A78" s="425"/>
      <c r="B78" s="426"/>
      <c r="C78" s="427"/>
      <c r="D78" s="427"/>
      <c r="E78" s="427"/>
      <c r="F78" s="247">
        <v>28.9</v>
      </c>
      <c r="G78" s="427"/>
      <c r="H78" s="427"/>
      <c r="I78" s="427"/>
      <c r="J78" s="426"/>
      <c r="K78" s="426"/>
      <c r="L78" s="426"/>
      <c r="M78" s="426"/>
      <c r="N78" s="198"/>
      <c r="O78" s="426"/>
      <c r="P78" s="426"/>
      <c r="Q78" s="426"/>
      <c r="R78" s="426"/>
      <c r="S78" s="426"/>
      <c r="T78" s="426"/>
      <c r="U78" s="426"/>
      <c r="V78" s="426"/>
      <c r="W78" s="426"/>
      <c r="X78" s="173">
        <f t="shared" si="8"/>
        <v>28.9</v>
      </c>
      <c r="Y78" s="248" t="s">
        <v>250</v>
      </c>
      <c r="Z78" s="197"/>
      <c r="AA78" s="170">
        <v>33</v>
      </c>
      <c r="AB78" s="198"/>
      <c r="AC78" s="200"/>
      <c r="AD78" s="187">
        <f>-AE78/$D$2%</f>
        <v>0</v>
      </c>
      <c r="AE78" s="201"/>
      <c r="AF78" s="428"/>
      <c r="AG78" s="201"/>
      <c r="AH78" s="417">
        <f t="shared" si="6"/>
        <v>9.536999999999999</v>
      </c>
      <c r="AI78" s="429"/>
      <c r="AJ78" s="199"/>
      <c r="AK78" s="199"/>
      <c r="AL78" s="199"/>
      <c r="AM78" s="199"/>
      <c r="AN78" s="199"/>
      <c r="AO78" s="199"/>
      <c r="AP78" s="199"/>
      <c r="AQ78" s="188">
        <f>X78*AA78/100+AE78*AA78%</f>
        <v>9.536999999999999</v>
      </c>
      <c r="AR78" s="159"/>
    </row>
    <row r="79" spans="1:44" x14ac:dyDescent="0.25">
      <c r="A79" s="425"/>
      <c r="B79" s="426"/>
      <c r="C79" s="427"/>
      <c r="D79" s="427"/>
      <c r="E79" s="427"/>
      <c r="F79" s="427"/>
      <c r="G79" s="249">
        <v>359.1</v>
      </c>
      <c r="H79" s="177">
        <v>0.9</v>
      </c>
      <c r="I79" s="427"/>
      <c r="J79" s="426"/>
      <c r="K79" s="426"/>
      <c r="L79" s="426"/>
      <c r="M79" s="426"/>
      <c r="N79" s="198"/>
      <c r="O79" s="426"/>
      <c r="P79" s="426"/>
      <c r="Q79" s="426"/>
      <c r="R79" s="426"/>
      <c r="S79" s="426"/>
      <c r="T79" s="426"/>
      <c r="U79" s="426"/>
      <c r="V79" s="426"/>
      <c r="W79" s="426"/>
      <c r="X79" s="173">
        <f t="shared" si="8"/>
        <v>360</v>
      </c>
      <c r="Y79" s="248" t="s">
        <v>252</v>
      </c>
      <c r="Z79" s="197"/>
      <c r="AA79" s="170">
        <v>33</v>
      </c>
      <c r="AB79" s="198"/>
      <c r="AC79" s="200"/>
      <c r="AD79" s="428"/>
      <c r="AE79" s="201"/>
      <c r="AF79" s="428"/>
      <c r="AG79" s="201"/>
      <c r="AH79" s="417">
        <f t="shared" si="6"/>
        <v>118.8</v>
      </c>
      <c r="AI79" s="430"/>
      <c r="AJ79" s="199"/>
      <c r="AK79" s="199"/>
      <c r="AL79" s="199"/>
      <c r="AM79" s="199"/>
      <c r="AN79" s="199"/>
      <c r="AO79" s="199"/>
      <c r="AP79" s="199"/>
      <c r="AQ79" s="188">
        <f>X79*AA79/100</f>
        <v>118.8</v>
      </c>
      <c r="AR79" s="159"/>
    </row>
    <row r="80" spans="1:44" ht="15.75" thickBot="1" x14ac:dyDescent="0.3">
      <c r="A80" s="425"/>
      <c r="B80" s="426"/>
      <c r="C80" s="427"/>
      <c r="D80" s="247">
        <v>10.5</v>
      </c>
      <c r="E80" s="427"/>
      <c r="F80" s="247">
        <v>62.8</v>
      </c>
      <c r="G80" s="427"/>
      <c r="H80" s="427"/>
      <c r="I80" s="427"/>
      <c r="J80" s="426"/>
      <c r="K80" s="426"/>
      <c r="L80" s="426"/>
      <c r="M80" s="426"/>
      <c r="N80" s="198"/>
      <c r="O80" s="426"/>
      <c r="P80" s="426"/>
      <c r="Q80" s="426"/>
      <c r="R80" s="426"/>
      <c r="S80" s="426"/>
      <c r="T80" s="426"/>
      <c r="U80" s="426"/>
      <c r="V80" s="426"/>
      <c r="W80" s="426"/>
      <c r="X80" s="431">
        <f t="shared" si="8"/>
        <v>73.3</v>
      </c>
      <c r="Y80" s="250" t="s">
        <v>254</v>
      </c>
      <c r="Z80" s="203"/>
      <c r="AA80" s="170">
        <v>33</v>
      </c>
      <c r="AB80" s="204"/>
      <c r="AC80" s="205"/>
      <c r="AD80" s="432"/>
      <c r="AE80" s="433"/>
      <c r="AF80" s="432"/>
      <c r="AG80" s="433"/>
      <c r="AH80" s="434">
        <f t="shared" si="6"/>
        <v>24.189</v>
      </c>
      <c r="AI80" s="435"/>
      <c r="AJ80" s="436"/>
      <c r="AK80" s="436"/>
      <c r="AL80" s="436"/>
      <c r="AM80" s="436"/>
      <c r="AN80" s="436"/>
      <c r="AO80" s="436"/>
      <c r="AP80" s="436"/>
      <c r="AQ80" s="188">
        <f>X80*AA80/100</f>
        <v>24.189</v>
      </c>
      <c r="AR80" s="159"/>
    </row>
    <row r="81" spans="1:51" ht="15.75" thickBot="1" x14ac:dyDescent="0.3">
      <c r="A81" s="437">
        <f t="shared" ref="A81:W81" si="9">SUM(A8:A80)</f>
        <v>612.62574075942723</v>
      </c>
      <c r="B81" s="438">
        <f t="shared" si="9"/>
        <v>25.61008</v>
      </c>
      <c r="C81" s="438">
        <f t="shared" si="9"/>
        <v>0</v>
      </c>
      <c r="D81" s="438">
        <f t="shared" si="9"/>
        <v>10.5</v>
      </c>
      <c r="E81" s="438">
        <f t="shared" si="9"/>
        <v>272.94240000000002</v>
      </c>
      <c r="F81" s="438">
        <f t="shared" si="9"/>
        <v>977.66139499999986</v>
      </c>
      <c r="G81" s="438">
        <f t="shared" si="9"/>
        <v>359.1</v>
      </c>
      <c r="H81" s="438">
        <f t="shared" si="9"/>
        <v>644.42307600000004</v>
      </c>
      <c r="I81" s="438">
        <f t="shared" si="9"/>
        <v>3496.9511464000002</v>
      </c>
      <c r="J81" s="438">
        <f t="shared" si="9"/>
        <v>16.11</v>
      </c>
      <c r="K81" s="438">
        <f t="shared" si="9"/>
        <v>0</v>
      </c>
      <c r="L81" s="438">
        <f t="shared" si="9"/>
        <v>2.6</v>
      </c>
      <c r="M81" s="438">
        <f t="shared" si="9"/>
        <v>0</v>
      </c>
      <c r="N81" s="438">
        <f t="shared" si="9"/>
        <v>0.42400000000000004</v>
      </c>
      <c r="O81" s="438">
        <f t="shared" si="9"/>
        <v>0</v>
      </c>
      <c r="P81" s="438">
        <f t="shared" si="9"/>
        <v>1.8955290000000002</v>
      </c>
      <c r="Q81" s="438">
        <f t="shared" si="9"/>
        <v>32</v>
      </c>
      <c r="R81" s="438">
        <f t="shared" si="9"/>
        <v>172.57920000000001</v>
      </c>
      <c r="S81" s="438">
        <f t="shared" si="9"/>
        <v>44.956800000000001</v>
      </c>
      <c r="T81" s="438">
        <f t="shared" si="9"/>
        <v>0</v>
      </c>
      <c r="U81" s="438">
        <f t="shared" si="9"/>
        <v>241.49664000000001</v>
      </c>
      <c r="V81" s="438">
        <f t="shared" si="9"/>
        <v>13.235303999999999</v>
      </c>
      <c r="W81" s="438">
        <f t="shared" si="9"/>
        <v>197.58815999999999</v>
      </c>
      <c r="X81" s="439">
        <f>SUM(X8:X80)</f>
        <v>7122.6994711594261</v>
      </c>
      <c r="Y81" s="440" t="s">
        <v>464</v>
      </c>
      <c r="Z81" s="441"/>
      <c r="AA81" s="441"/>
      <c r="AB81" s="441"/>
      <c r="AC81" s="441"/>
      <c r="AD81" s="437">
        <f t="shared" ref="AD81:AQ81" si="10">SUM(AD8:AD80)</f>
        <v>0</v>
      </c>
      <c r="AE81" s="439">
        <f t="shared" si="10"/>
        <v>1346.021600030738</v>
      </c>
      <c r="AF81" s="437">
        <f t="shared" si="10"/>
        <v>0</v>
      </c>
      <c r="AG81" s="439">
        <f t="shared" si="10"/>
        <v>1810.1576491532801</v>
      </c>
      <c r="AH81" s="440">
        <f t="shared" si="10"/>
        <v>4121.7148637832706</v>
      </c>
      <c r="AI81" s="442">
        <f t="shared" si="10"/>
        <v>1702.6517498701235</v>
      </c>
      <c r="AJ81" s="438">
        <f t="shared" si="10"/>
        <v>312.3741223882551</v>
      </c>
      <c r="AK81" s="438">
        <f t="shared" si="10"/>
        <v>333.74663464677315</v>
      </c>
      <c r="AL81" s="438">
        <f t="shared" si="10"/>
        <v>227.10767315348286</v>
      </c>
      <c r="AM81" s="438">
        <f t="shared" si="10"/>
        <v>11.6748467244</v>
      </c>
      <c r="AN81" s="438">
        <f t="shared" si="10"/>
        <v>942.72255965477063</v>
      </c>
      <c r="AO81" s="438">
        <f t="shared" si="10"/>
        <v>37.375274124665602</v>
      </c>
      <c r="AP81" s="438">
        <f t="shared" si="10"/>
        <v>27.855903220799998</v>
      </c>
      <c r="AQ81" s="439">
        <f t="shared" si="10"/>
        <v>526.20609999999999</v>
      </c>
      <c r="AR81" s="159"/>
    </row>
    <row r="82" spans="1:51" x14ac:dyDescent="0.25">
      <c r="A82" s="391">
        <f>A81*A89/1000</f>
        <v>132.32716000403627</v>
      </c>
      <c r="B82" s="386">
        <f t="shared" ref="B82:W82" si="11">B81*B89/1000</f>
        <v>1.6646551999999999</v>
      </c>
      <c r="C82" s="386">
        <f t="shared" si="11"/>
        <v>0</v>
      </c>
      <c r="D82" s="386">
        <f t="shared" si="11"/>
        <v>0.81899999999999995</v>
      </c>
      <c r="E82" s="386">
        <f t="shared" si="11"/>
        <v>20.1977376</v>
      </c>
      <c r="F82" s="386">
        <f t="shared" si="11"/>
        <v>72.346943229999994</v>
      </c>
      <c r="G82" s="386">
        <f t="shared" si="11"/>
        <v>25.8552</v>
      </c>
      <c r="H82" s="386">
        <f t="shared" si="11"/>
        <v>47.042884548000004</v>
      </c>
      <c r="I82" s="386">
        <f t="shared" si="11"/>
        <v>198.52191658112804</v>
      </c>
      <c r="J82" s="386">
        <f t="shared" si="11"/>
        <v>0</v>
      </c>
      <c r="K82" s="386">
        <f t="shared" si="11"/>
        <v>0</v>
      </c>
      <c r="L82" s="386">
        <f t="shared" si="11"/>
        <v>0</v>
      </c>
      <c r="M82" s="386">
        <f t="shared" si="11"/>
        <v>0</v>
      </c>
      <c r="N82" s="386">
        <f t="shared" si="11"/>
        <v>0</v>
      </c>
      <c r="O82" s="386">
        <f t="shared" si="11"/>
        <v>0</v>
      </c>
      <c r="P82" s="386">
        <f t="shared" si="11"/>
        <v>0</v>
      </c>
      <c r="Q82" s="386">
        <f t="shared" si="11"/>
        <v>0</v>
      </c>
      <c r="R82" s="386">
        <f t="shared" si="11"/>
        <v>0</v>
      </c>
      <c r="S82" s="386">
        <f t="shared" si="11"/>
        <v>0</v>
      </c>
      <c r="T82" s="386">
        <f t="shared" si="11"/>
        <v>0</v>
      </c>
      <c r="U82" s="386">
        <f t="shared" si="11"/>
        <v>0</v>
      </c>
      <c r="V82" s="386">
        <f t="shared" si="11"/>
        <v>0</v>
      </c>
      <c r="W82" s="386">
        <f t="shared" si="11"/>
        <v>15.585754060799998</v>
      </c>
      <c r="X82" s="418">
        <f>SUM(A82:W82)</f>
        <v>514.36125122396425</v>
      </c>
      <c r="Y82" s="443" t="s">
        <v>521</v>
      </c>
      <c r="Z82" s="444">
        <f>X82*1000/D1</f>
        <v>10.398909310473774</v>
      </c>
      <c r="AA82" s="445" t="s">
        <v>465</v>
      </c>
      <c r="AB82" s="445"/>
      <c r="AC82" s="446"/>
      <c r="AD82" s="447"/>
      <c r="AE82" s="447"/>
      <c r="AF82" s="447"/>
      <c r="AG82" s="447"/>
      <c r="AH82" s="447"/>
      <c r="AI82" s="447"/>
      <c r="AJ82" s="447"/>
      <c r="AK82" s="447"/>
      <c r="AL82" s="196"/>
      <c r="AM82" s="196"/>
      <c r="AN82" s="196"/>
      <c r="AO82" s="196"/>
      <c r="AP82" s="196"/>
      <c r="AQ82" s="196"/>
      <c r="AR82" s="159"/>
      <c r="AS82" s="137"/>
      <c r="AT82" s="137"/>
      <c r="AU82" s="137"/>
      <c r="AV82" s="137"/>
      <c r="AW82" s="137"/>
      <c r="AX82" s="137"/>
      <c r="AY82" s="137"/>
    </row>
    <row r="83" spans="1:51" x14ac:dyDescent="0.25">
      <c r="A83" s="191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5">
        <v>229.66365161464361</v>
      </c>
      <c r="P83" s="175">
        <v>674.58061439999994</v>
      </c>
      <c r="Q83" s="175">
        <v>690.99633108414662</v>
      </c>
      <c r="R83" s="175">
        <v>438.65263353147589</v>
      </c>
      <c r="S83" s="172"/>
      <c r="T83" s="172"/>
      <c r="U83" s="172"/>
      <c r="V83" s="172"/>
      <c r="W83" s="172"/>
      <c r="X83" s="173">
        <f>SUM(A83:W83)</f>
        <v>2033.8932306302661</v>
      </c>
      <c r="Y83" s="192" t="s">
        <v>466</v>
      </c>
      <c r="Z83" s="251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8.1298648188919529</v>
      </c>
      <c r="AA83" s="74" t="s">
        <v>550</v>
      </c>
      <c r="AB83" s="217"/>
      <c r="AC83" s="218"/>
      <c r="AD83" s="447"/>
      <c r="AE83" s="447"/>
      <c r="AF83" s="447"/>
      <c r="AG83" s="447"/>
      <c r="AH83" s="447"/>
      <c r="AI83" s="447"/>
      <c r="AJ83" s="447"/>
      <c r="AK83" s="447"/>
      <c r="AL83" s="196"/>
      <c r="AM83" s="196"/>
      <c r="AN83" s="196"/>
      <c r="AO83" s="196"/>
      <c r="AP83" s="196"/>
      <c r="AQ83" s="196"/>
      <c r="AR83" s="159"/>
      <c r="AS83" s="137"/>
      <c r="AT83" s="137"/>
      <c r="AU83" s="137"/>
      <c r="AV83" s="137"/>
      <c r="AW83" s="137"/>
      <c r="AX83" s="137"/>
      <c r="AY83" s="137"/>
    </row>
    <row r="84" spans="1:51" ht="15.75" thickBot="1" x14ac:dyDescent="0.3">
      <c r="A84" s="448"/>
      <c r="B84" s="449"/>
      <c r="C84" s="449"/>
      <c r="D84" s="449"/>
      <c r="E84" s="449"/>
      <c r="F84" s="449"/>
      <c r="G84" s="449"/>
      <c r="H84" s="449"/>
      <c r="I84" s="449"/>
      <c r="J84" s="449" t="s">
        <v>783</v>
      </c>
      <c r="K84" s="449" t="s">
        <v>783</v>
      </c>
      <c r="L84" s="449" t="s">
        <v>783</v>
      </c>
      <c r="M84" s="449" t="s">
        <v>783</v>
      </c>
      <c r="N84" s="449" t="s">
        <v>783</v>
      </c>
      <c r="O84" s="449">
        <v>0</v>
      </c>
      <c r="P84" s="449">
        <v>0.27817431452118535</v>
      </c>
      <c r="Q84" s="449">
        <v>4.6309941978697964</v>
      </c>
      <c r="R84" s="449">
        <v>39.343021518099803</v>
      </c>
      <c r="S84" s="449" t="s">
        <v>783</v>
      </c>
      <c r="T84" s="449" t="s">
        <v>783</v>
      </c>
      <c r="U84" s="449" t="s">
        <v>783</v>
      </c>
      <c r="V84" s="449" t="s">
        <v>783</v>
      </c>
      <c r="W84" s="449" t="s">
        <v>783</v>
      </c>
      <c r="X84" s="450">
        <f>SUMIF(J83:W83,"&gt;0",J81:W81)/SUM(J83:W83)%</f>
        <v>10.151699503715705</v>
      </c>
      <c r="Y84" s="451" t="s">
        <v>467</v>
      </c>
      <c r="Z84" s="252"/>
      <c r="AA84" s="253"/>
      <c r="AB84" s="219"/>
      <c r="AC84" s="220"/>
      <c r="AD84" s="447"/>
      <c r="AE84" s="447"/>
      <c r="AF84" s="447"/>
      <c r="AG84" s="447"/>
      <c r="AH84" s="447"/>
      <c r="AI84" s="447"/>
      <c r="AJ84" s="447"/>
      <c r="AK84" s="447"/>
      <c r="AL84" s="196"/>
      <c r="AM84" s="196"/>
      <c r="AN84" s="196"/>
      <c r="AO84" s="196"/>
      <c r="AP84" s="196"/>
      <c r="AQ84" s="196"/>
      <c r="AR84" s="159"/>
      <c r="AS84" s="137"/>
      <c r="AT84" s="137"/>
      <c r="AU84" s="137"/>
      <c r="AV84" s="137"/>
      <c r="AW84" s="137"/>
      <c r="AX84" s="137"/>
      <c r="AY84" s="137"/>
    </row>
    <row r="85" spans="1:51" ht="15.75" thickBot="1" x14ac:dyDescent="0.3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166"/>
      <c r="Z85" s="166"/>
      <c r="AA85" s="161"/>
      <c r="AB85" s="166"/>
      <c r="AC85" s="166"/>
      <c r="AD85" s="395"/>
      <c r="AE85" s="395"/>
      <c r="AF85" s="395"/>
      <c r="AG85" s="395"/>
      <c r="AH85" s="395"/>
      <c r="AI85" s="395"/>
      <c r="AJ85" s="395"/>
      <c r="AK85" s="395"/>
      <c r="AL85" s="245"/>
      <c r="AM85" s="245"/>
      <c r="AN85" s="245"/>
      <c r="AO85" s="245"/>
      <c r="AP85" s="245"/>
      <c r="AQ85" s="245"/>
      <c r="AR85" s="159"/>
      <c r="AS85" s="137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139" t="s">
        <v>468</v>
      </c>
      <c r="B86" s="808" t="str">
        <f t="shared" ref="B86:W86" si="12">B7</f>
        <v xml:space="preserve">  LPG og petroleum</v>
      </c>
      <c r="C86" s="808" t="str">
        <f t="shared" si="12"/>
        <v xml:space="preserve">  Kul</v>
      </c>
      <c r="D86" s="808" t="str">
        <f t="shared" si="12"/>
        <v xml:space="preserve">  Fuelolie</v>
      </c>
      <c r="E86" s="808" t="str">
        <f t="shared" si="12"/>
        <v xml:space="preserve">  Brændselsolie</v>
      </c>
      <c r="F86" s="808" t="str">
        <f t="shared" si="12"/>
        <v xml:space="preserve">  Dieselolie</v>
      </c>
      <c r="G86" s="808" t="str">
        <f t="shared" si="12"/>
        <v xml:space="preserve">  JP1</v>
      </c>
      <c r="H86" s="808" t="str">
        <f t="shared" si="12"/>
        <v xml:space="preserve">  Benzin</v>
      </c>
      <c r="I86" s="808" t="str">
        <f t="shared" si="12"/>
        <v xml:space="preserve">  Naturgas</v>
      </c>
      <c r="J86" s="808" t="str">
        <f t="shared" si="12"/>
        <v xml:space="preserve">  Vindenergi</v>
      </c>
      <c r="K86" s="808" t="str">
        <f t="shared" si="12"/>
        <v xml:space="preserve">  Vandenergi</v>
      </c>
      <c r="L86" s="808" t="str">
        <f t="shared" si="12"/>
        <v xml:space="preserve">  Solenergi</v>
      </c>
      <c r="M86" s="808" t="str">
        <f t="shared" si="12"/>
        <v xml:space="preserve">  Geotermi</v>
      </c>
      <c r="N86" s="808" t="str">
        <f t="shared" si="12"/>
        <v xml:space="preserve">  Varmekilder til varmepumper</v>
      </c>
      <c r="O86" s="808" t="str">
        <f t="shared" si="12"/>
        <v xml:space="preserve">  Husdyrsgødning</v>
      </c>
      <c r="P86" s="808" t="str">
        <f t="shared" si="12"/>
        <v xml:space="preserve">  Biobrændstof og energiafgrøder</v>
      </c>
      <c r="Q86" s="808" t="str">
        <f t="shared" si="12"/>
        <v xml:space="preserve">  Halm</v>
      </c>
      <c r="R86" s="808" t="str">
        <f t="shared" si="12"/>
        <v xml:space="preserve">  Brænde og træflis</v>
      </c>
      <c r="S86" s="808" t="str">
        <f t="shared" si="12"/>
        <v xml:space="preserve">  Træpiller og træaffald</v>
      </c>
      <c r="T86" s="808" t="str">
        <f t="shared" si="12"/>
        <v xml:space="preserve">  Organisk affald, industri</v>
      </c>
      <c r="U86" s="808" t="str">
        <f t="shared" si="12"/>
        <v xml:space="preserve">  Organisk affald, husholdninger</v>
      </c>
      <c r="V86" s="808" t="str">
        <f t="shared" si="12"/>
        <v xml:space="preserve">  Deponi, slam, renseanlæg</v>
      </c>
      <c r="W86" s="811" t="str">
        <f t="shared" si="12"/>
        <v xml:space="preserve">  Affald, ikke bionedbrydeligt</v>
      </c>
      <c r="X86" s="166"/>
      <c r="Y86" s="166"/>
      <c r="Z86" s="166"/>
      <c r="AA86" s="161"/>
      <c r="AB86" s="166"/>
      <c r="AC86" s="166"/>
      <c r="AD86" s="161"/>
      <c r="AE86" s="161"/>
      <c r="AF86" s="161"/>
      <c r="AG86" s="161"/>
      <c r="AH86" s="161"/>
      <c r="AI86" s="161"/>
      <c r="AJ86" s="161"/>
      <c r="AK86" s="161"/>
      <c r="AL86" s="166"/>
      <c r="AM86" s="166"/>
      <c r="AN86" s="166"/>
      <c r="AO86" s="166"/>
      <c r="AP86" s="166"/>
      <c r="AQ86" s="166"/>
      <c r="AR86" s="52"/>
      <c r="AS86" s="137"/>
      <c r="AT86" s="137"/>
      <c r="AU86" s="137"/>
      <c r="AV86" s="137"/>
      <c r="AW86" s="137"/>
      <c r="AX86" s="137"/>
      <c r="AY86" s="137"/>
    </row>
    <row r="87" spans="1:51" ht="15.75" x14ac:dyDescent="0.25">
      <c r="A87" s="452">
        <v>12</v>
      </c>
      <c r="B87" s="809"/>
      <c r="C87" s="809"/>
      <c r="D87" s="809"/>
      <c r="E87" s="809"/>
      <c r="F87" s="809"/>
      <c r="G87" s="809"/>
      <c r="H87" s="809"/>
      <c r="I87" s="809"/>
      <c r="J87" s="809"/>
      <c r="K87" s="809"/>
      <c r="L87" s="809"/>
      <c r="M87" s="809"/>
      <c r="N87" s="809"/>
      <c r="O87" s="809"/>
      <c r="P87" s="809"/>
      <c r="Q87" s="809"/>
      <c r="R87" s="809"/>
      <c r="S87" s="809"/>
      <c r="T87" s="809"/>
      <c r="U87" s="809"/>
      <c r="V87" s="809"/>
      <c r="W87" s="812"/>
      <c r="X87" s="166"/>
      <c r="Y87" s="166"/>
      <c r="Z87" s="166"/>
      <c r="AA87" s="161"/>
      <c r="AB87" s="166"/>
      <c r="AC87" s="166"/>
      <c r="AD87" s="161"/>
      <c r="AE87" s="161"/>
      <c r="AF87" s="161"/>
      <c r="AG87" s="161"/>
      <c r="AH87" s="161"/>
      <c r="AI87" s="161"/>
      <c r="AJ87" s="161"/>
      <c r="AK87" s="161"/>
      <c r="AL87" s="166"/>
      <c r="AM87" s="166"/>
      <c r="AN87" s="166"/>
      <c r="AO87" s="166"/>
      <c r="AP87" s="166"/>
      <c r="AQ87" s="166"/>
      <c r="AR87" s="52"/>
      <c r="AS87" s="137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221" t="s">
        <v>469</v>
      </c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3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52"/>
      <c r="AS88" s="137"/>
      <c r="AT88" s="137"/>
      <c r="AU88" s="137"/>
      <c r="AV88" s="137"/>
      <c r="AW88" s="137"/>
      <c r="AX88" s="137"/>
      <c r="AY88" s="137"/>
    </row>
    <row r="89" spans="1:51" ht="16.5" thickBot="1" x14ac:dyDescent="0.3">
      <c r="A89" s="453">
        <v>216</v>
      </c>
      <c r="B89" s="454">
        <v>65</v>
      </c>
      <c r="C89" s="454">
        <v>95</v>
      </c>
      <c r="D89" s="454">
        <v>78</v>
      </c>
      <c r="E89" s="454">
        <v>74</v>
      </c>
      <c r="F89" s="454">
        <v>74</v>
      </c>
      <c r="G89" s="454">
        <v>72</v>
      </c>
      <c r="H89" s="454">
        <v>73</v>
      </c>
      <c r="I89" s="454">
        <v>56.77</v>
      </c>
      <c r="J89" s="454"/>
      <c r="K89" s="454"/>
      <c r="L89" s="454"/>
      <c r="M89" s="454"/>
      <c r="N89" s="455"/>
      <c r="O89" s="454"/>
      <c r="P89" s="454"/>
      <c r="Q89" s="454"/>
      <c r="R89" s="454"/>
      <c r="S89" s="454"/>
      <c r="T89" s="454"/>
      <c r="U89" s="454"/>
      <c r="V89" s="455"/>
      <c r="W89" s="455">
        <v>78.88</v>
      </c>
      <c r="X89" s="456" t="s">
        <v>522</v>
      </c>
      <c r="Y89" s="457"/>
      <c r="Z89" s="458"/>
      <c r="AA89" s="458"/>
      <c r="AB89" s="458"/>
      <c r="AC89" s="458"/>
      <c r="AD89" s="458"/>
      <c r="AE89" s="458"/>
      <c r="AF89" s="458"/>
      <c r="AG89" s="458"/>
      <c r="AH89" s="458"/>
      <c r="AI89" s="458"/>
      <c r="AJ89" s="458"/>
      <c r="AK89" s="458"/>
      <c r="AL89" s="458"/>
      <c r="AM89" s="458"/>
      <c r="AN89" s="458"/>
      <c r="AO89" s="458"/>
      <c r="AP89" s="458"/>
      <c r="AQ89" s="458"/>
      <c r="AR89" s="459"/>
      <c r="AS89" s="140"/>
      <c r="AT89" s="140"/>
      <c r="AU89" s="140"/>
      <c r="AV89" s="140"/>
      <c r="AW89" s="140"/>
      <c r="AX89" s="140"/>
      <c r="AY89" s="140"/>
    </row>
    <row r="90" spans="1:51" x14ac:dyDescent="0.25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68"/>
      <c r="AS90" s="137"/>
      <c r="AT90" s="137"/>
      <c r="AU90" s="137"/>
      <c r="AV90" s="137"/>
      <c r="AW90" s="137"/>
      <c r="AX90" s="137"/>
      <c r="AY90" s="137"/>
    </row>
    <row r="91" spans="1:51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68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137"/>
      <c r="AT91" s="137"/>
      <c r="AU91" s="137"/>
      <c r="AV91" s="137"/>
      <c r="AW91" s="137"/>
      <c r="AX91" s="137"/>
      <c r="AY91" s="137"/>
    </row>
    <row r="92" spans="1:51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166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137"/>
      <c r="AT92" s="137"/>
      <c r="AU92" s="137"/>
      <c r="AV92" s="137"/>
      <c r="AW92" s="137"/>
      <c r="AX92" s="137"/>
      <c r="AY92" s="137"/>
    </row>
    <row r="93" spans="1:51" ht="20.25" x14ac:dyDescent="0.3">
      <c r="A93" s="141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5"/>
      <c r="Y93" s="142"/>
      <c r="Z93" s="135"/>
      <c r="AA93" s="135"/>
      <c r="AB93" s="135"/>
      <c r="AC93" s="135"/>
      <c r="AD93" s="135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</row>
    <row r="94" spans="1:5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5"/>
      <c r="Y94" s="135"/>
      <c r="Z94" s="135"/>
      <c r="AA94" s="135"/>
      <c r="AB94" s="135"/>
      <c r="AC94" s="135"/>
      <c r="AD94" s="135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</row>
    <row r="95" spans="1:5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5"/>
      <c r="Y95" s="142"/>
      <c r="Z95" s="135"/>
      <c r="AA95" s="135"/>
      <c r="AB95" s="135"/>
      <c r="AC95" s="135"/>
      <c r="AD95" s="135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</row>
    <row r="117" spans="2:2" x14ac:dyDescent="0.25">
      <c r="B117" s="231" t="e">
        <f>' Plan Energi 2008'!AD</f>
        <v>#NAME?</v>
      </c>
    </row>
  </sheetData>
  <mergeCells count="30">
    <mergeCell ref="D1:E1"/>
    <mergeCell ref="Y1:Y2"/>
    <mergeCell ref="Y3:Y4"/>
    <mergeCell ref="A6:X6"/>
    <mergeCell ref="Z6:AC6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</mergeCells>
  <pageMargins left="0.7" right="0.7" top="0.75" bottom="0.75" header="0.3" footer="0.3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Y117"/>
  <sheetViews>
    <sheetView topLeftCell="A52" zoomScale="78" zoomScaleNormal="78" workbookViewId="0">
      <selection activeCell="I62" sqref="I62"/>
    </sheetView>
  </sheetViews>
  <sheetFormatPr defaultRowHeight="15" x14ac:dyDescent="0.25"/>
  <cols>
    <col min="1" max="24" width="9.140625" style="231"/>
    <col min="25" max="25" width="49.5703125" style="231" customWidth="1"/>
    <col min="26" max="29" width="9.140625" style="231"/>
    <col min="30" max="30" width="12.42578125" style="231" customWidth="1"/>
    <col min="31" max="16384" width="9.140625" style="231"/>
  </cols>
  <sheetData>
    <row r="1" spans="1:44" ht="23.25" x14ac:dyDescent="0.25">
      <c r="A1" s="50" t="s">
        <v>433</v>
      </c>
      <c r="B1" s="160"/>
      <c r="C1" s="160"/>
      <c r="D1" s="820">
        <v>49252</v>
      </c>
      <c r="E1" s="821"/>
      <c r="F1" s="161"/>
      <c r="G1" s="161"/>
      <c r="H1" s="161"/>
      <c r="I1" s="161"/>
      <c r="J1" s="165"/>
      <c r="K1" s="161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51"/>
      <c r="W1" s="51"/>
      <c r="X1" s="51"/>
      <c r="Y1" s="806" t="s">
        <v>434</v>
      </c>
      <c r="Z1" s="51"/>
      <c r="AA1" s="51"/>
      <c r="AB1" s="51"/>
      <c r="AC1" s="51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52"/>
    </row>
    <row r="2" spans="1:44" ht="23.25" x14ac:dyDescent="0.25">
      <c r="A2" s="53" t="s">
        <v>435</v>
      </c>
      <c r="B2" s="161"/>
      <c r="C2" s="161"/>
      <c r="D2" s="162">
        <v>92.7</v>
      </c>
      <c r="E2" s="54" t="s">
        <v>436</v>
      </c>
      <c r="F2" s="55"/>
      <c r="G2" s="161"/>
      <c r="H2" s="161"/>
      <c r="I2" s="161"/>
      <c r="J2" s="161"/>
      <c r="K2" s="161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51"/>
      <c r="W2" s="51"/>
      <c r="X2" s="51"/>
      <c r="Y2" s="806"/>
      <c r="Z2" s="51"/>
      <c r="AA2" s="51"/>
      <c r="AB2" s="51"/>
      <c r="AC2" s="51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52"/>
    </row>
    <row r="3" spans="1:44" ht="24" customHeight="1" thickBot="1" x14ac:dyDescent="0.3">
      <c r="A3" s="56" t="s">
        <v>437</v>
      </c>
      <c r="B3" s="163"/>
      <c r="C3" s="57"/>
      <c r="D3" s="163" t="s">
        <v>438</v>
      </c>
      <c r="E3" s="164"/>
      <c r="F3" s="161"/>
      <c r="G3" s="161"/>
      <c r="H3" s="161"/>
      <c r="I3" s="161"/>
      <c r="J3" s="161"/>
      <c r="K3" s="161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51"/>
      <c r="W3" s="51"/>
      <c r="X3" s="51"/>
      <c r="Y3" s="807" t="s">
        <v>782</v>
      </c>
      <c r="Z3" s="51"/>
      <c r="AA3" s="51"/>
      <c r="AB3" s="51"/>
      <c r="AC3" s="51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52"/>
    </row>
    <row r="4" spans="1:44" ht="23.25" customHeight="1" x14ac:dyDescent="0.25">
      <c r="A4" s="166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51"/>
      <c r="W4" s="51"/>
      <c r="X4" s="51"/>
      <c r="Y4" s="807"/>
      <c r="Z4" s="51"/>
      <c r="AA4" s="51"/>
      <c r="AB4" s="51"/>
      <c r="AC4" s="51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52"/>
    </row>
    <row r="5" spans="1:44" x14ac:dyDescent="0.25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52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52"/>
    </row>
    <row r="6" spans="1:44" ht="15.75" x14ac:dyDescent="0.25">
      <c r="A6" s="797" t="s">
        <v>439</v>
      </c>
      <c r="B6" s="797"/>
      <c r="C6" s="797"/>
      <c r="D6" s="797"/>
      <c r="E6" s="797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97"/>
      <c r="Q6" s="797"/>
      <c r="R6" s="797"/>
      <c r="S6" s="797"/>
      <c r="T6" s="797"/>
      <c r="U6" s="797"/>
      <c r="V6" s="797"/>
      <c r="W6" s="797"/>
      <c r="X6" s="797"/>
      <c r="Y6" s="385" t="s">
        <v>440</v>
      </c>
      <c r="Z6" s="797" t="s">
        <v>35</v>
      </c>
      <c r="AA6" s="797"/>
      <c r="AB6" s="797"/>
      <c r="AC6" s="797"/>
      <c r="AD6" s="797" t="s">
        <v>441</v>
      </c>
      <c r="AE6" s="797"/>
      <c r="AF6" s="797" t="s">
        <v>442</v>
      </c>
      <c r="AG6" s="797"/>
      <c r="AH6" s="58"/>
      <c r="AI6" s="797" t="s">
        <v>443</v>
      </c>
      <c r="AJ6" s="797"/>
      <c r="AK6" s="797"/>
      <c r="AL6" s="797"/>
      <c r="AM6" s="797"/>
      <c r="AN6" s="797"/>
      <c r="AO6" s="797"/>
      <c r="AP6" s="797"/>
      <c r="AQ6" s="797"/>
      <c r="AR6" s="52"/>
    </row>
    <row r="7" spans="1:44" ht="171.75" customHeight="1" thickBot="1" x14ac:dyDescent="0.65">
      <c r="A7" s="167" t="s">
        <v>378</v>
      </c>
      <c r="B7" s="168" t="s">
        <v>379</v>
      </c>
      <c r="C7" s="168" t="s">
        <v>380</v>
      </c>
      <c r="D7" s="168" t="s">
        <v>381</v>
      </c>
      <c r="E7" s="59" t="s">
        <v>383</v>
      </c>
      <c r="F7" s="168" t="s">
        <v>384</v>
      </c>
      <c r="G7" s="168" t="s">
        <v>385</v>
      </c>
      <c r="H7" s="59" t="s">
        <v>387</v>
      </c>
      <c r="I7" s="59" t="s">
        <v>549</v>
      </c>
      <c r="J7" s="59" t="s">
        <v>390</v>
      </c>
      <c r="K7" s="59" t="s">
        <v>392</v>
      </c>
      <c r="L7" s="59" t="s">
        <v>393</v>
      </c>
      <c r="M7" s="59" t="s">
        <v>394</v>
      </c>
      <c r="N7" s="59" t="s">
        <v>396</v>
      </c>
      <c r="O7" s="59" t="s">
        <v>397</v>
      </c>
      <c r="P7" s="59" t="s">
        <v>398</v>
      </c>
      <c r="Q7" s="59" t="s">
        <v>400</v>
      </c>
      <c r="R7" s="59" t="s">
        <v>401</v>
      </c>
      <c r="S7" s="59" t="s">
        <v>402</v>
      </c>
      <c r="T7" s="59" t="s">
        <v>403</v>
      </c>
      <c r="U7" s="59" t="s">
        <v>404</v>
      </c>
      <c r="V7" s="59" t="s">
        <v>405</v>
      </c>
      <c r="W7" s="59" t="s">
        <v>406</v>
      </c>
      <c r="X7" s="60" t="s">
        <v>444</v>
      </c>
      <c r="Y7" s="233"/>
      <c r="Z7" s="61" t="s">
        <v>445</v>
      </c>
      <c r="AA7" s="59" t="s">
        <v>446</v>
      </c>
      <c r="AB7" s="59" t="s">
        <v>447</v>
      </c>
      <c r="AC7" s="60" t="s">
        <v>448</v>
      </c>
      <c r="AD7" s="62" t="s">
        <v>449</v>
      </c>
      <c r="AE7" s="60" t="s">
        <v>450</v>
      </c>
      <c r="AF7" s="62" t="s">
        <v>449</v>
      </c>
      <c r="AG7" s="60" t="s">
        <v>450</v>
      </c>
      <c r="AH7" s="63" t="s">
        <v>451</v>
      </c>
      <c r="AI7" s="64" t="s">
        <v>452</v>
      </c>
      <c r="AJ7" s="59" t="s">
        <v>453</v>
      </c>
      <c r="AK7" s="59" t="s">
        <v>454</v>
      </c>
      <c r="AL7" s="59" t="s">
        <v>455</v>
      </c>
      <c r="AM7" s="59" t="s">
        <v>456</v>
      </c>
      <c r="AN7" s="59" t="s">
        <v>457</v>
      </c>
      <c r="AO7" s="65" t="s">
        <v>458</v>
      </c>
      <c r="AP7" s="65" t="s">
        <v>459</v>
      </c>
      <c r="AQ7" s="60" t="s">
        <v>460</v>
      </c>
      <c r="AR7" s="66"/>
    </row>
    <row r="8" spans="1:44" x14ac:dyDescent="0.25">
      <c r="A8" s="169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1">
        <v>0</v>
      </c>
      <c r="Y8" s="234" t="s">
        <v>307</v>
      </c>
      <c r="Z8" s="169"/>
      <c r="AA8" s="170">
        <v>44</v>
      </c>
      <c r="AB8" s="170"/>
      <c r="AC8" s="171"/>
      <c r="AD8" s="169">
        <f t="shared" ref="AD8:AD14" si="0">-AE8/$D$2%</f>
        <v>-47.232325227412055</v>
      </c>
      <c r="AE8" s="171">
        <f>AH8/AA8%</f>
        <v>43.78436548581098</v>
      </c>
      <c r="AF8" s="169"/>
      <c r="AG8" s="171"/>
      <c r="AH8" s="67">
        <f>SUM(AI8:AQ8)</f>
        <v>19.26512081375683</v>
      </c>
      <c r="AI8" s="69">
        <v>19.26512081375683</v>
      </c>
      <c r="AJ8" s="172"/>
      <c r="AK8" s="172"/>
      <c r="AL8" s="172"/>
      <c r="AM8" s="172"/>
      <c r="AN8" s="172"/>
      <c r="AO8" s="172"/>
      <c r="AP8" s="172"/>
      <c r="AQ8" s="173"/>
      <c r="AR8" s="52"/>
    </row>
    <row r="9" spans="1:44" x14ac:dyDescent="0.25">
      <c r="A9" s="169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1">
        <v>0</v>
      </c>
      <c r="Y9" s="234" t="s">
        <v>314</v>
      </c>
      <c r="Z9" s="169"/>
      <c r="AA9" s="170"/>
      <c r="AB9" s="170">
        <v>90</v>
      </c>
      <c r="AC9" s="171"/>
      <c r="AD9" s="169">
        <f t="shared" si="0"/>
        <v>-5.8572961897982321</v>
      </c>
      <c r="AE9" s="171">
        <f>AH9/AB9%</f>
        <v>5.4297135679429616</v>
      </c>
      <c r="AF9" s="169"/>
      <c r="AG9" s="171"/>
      <c r="AH9" s="67">
        <f t="shared" ref="AH9:AH14" si="1">SUM(AI9:AQ9)</f>
        <v>4.8867422111486656</v>
      </c>
      <c r="AI9" s="174">
        <v>4.8867422111486656</v>
      </c>
      <c r="AJ9" s="172"/>
      <c r="AK9" s="172"/>
      <c r="AL9" s="172"/>
      <c r="AM9" s="172"/>
      <c r="AN9" s="172"/>
      <c r="AO9" s="172"/>
      <c r="AP9" s="172"/>
      <c r="AQ9" s="173"/>
      <c r="AR9" s="52"/>
    </row>
    <row r="10" spans="1:44" x14ac:dyDescent="0.25">
      <c r="A10" s="169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1">
        <v>0</v>
      </c>
      <c r="Y10" s="234" t="s">
        <v>316</v>
      </c>
      <c r="Z10" s="169"/>
      <c r="AA10" s="170"/>
      <c r="AB10" s="170">
        <v>100</v>
      </c>
      <c r="AC10" s="171"/>
      <c r="AD10" s="169">
        <f t="shared" si="0"/>
        <v>-24.851670976715347</v>
      </c>
      <c r="AE10" s="171">
        <f>AH10/AB10%</f>
        <v>23.037498995415127</v>
      </c>
      <c r="AF10" s="169"/>
      <c r="AG10" s="171"/>
      <c r="AH10" s="67">
        <f t="shared" si="1"/>
        <v>23.037498995415127</v>
      </c>
      <c r="AI10" s="174">
        <v>23.037498995415127</v>
      </c>
      <c r="AJ10" s="172"/>
      <c r="AK10" s="172"/>
      <c r="AL10" s="172"/>
      <c r="AM10" s="172"/>
      <c r="AN10" s="172"/>
      <c r="AO10" s="172"/>
      <c r="AP10" s="172"/>
      <c r="AQ10" s="173"/>
      <c r="AR10" s="52"/>
    </row>
    <row r="11" spans="1:44" x14ac:dyDescent="0.25">
      <c r="A11" s="169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1">
        <v>0</v>
      </c>
      <c r="Y11" s="234" t="s">
        <v>305</v>
      </c>
      <c r="Z11" s="169"/>
      <c r="AA11" s="170">
        <v>50</v>
      </c>
      <c r="AB11" s="170"/>
      <c r="AC11" s="171"/>
      <c r="AD11" s="169">
        <f t="shared" si="0"/>
        <v>-186.66073206236351</v>
      </c>
      <c r="AE11" s="171">
        <f>AH11/AA11%</f>
        <v>173.03449862181097</v>
      </c>
      <c r="AF11" s="169"/>
      <c r="AG11" s="171"/>
      <c r="AH11" s="67">
        <f t="shared" si="1"/>
        <v>86.517249310905484</v>
      </c>
      <c r="AI11" s="174">
        <v>21.892182742905486</v>
      </c>
      <c r="AJ11" s="175">
        <v>24.958188342000003</v>
      </c>
      <c r="AK11" s="175">
        <v>12.14939745</v>
      </c>
      <c r="AL11" s="175">
        <v>13.294704599999999</v>
      </c>
      <c r="AM11" s="175">
        <v>0.41280505200000001</v>
      </c>
      <c r="AN11" s="175">
        <v>12.280865003999999</v>
      </c>
      <c r="AO11" s="175">
        <v>0.10235888999999999</v>
      </c>
      <c r="AP11" s="175">
        <v>1.4267472300000001</v>
      </c>
      <c r="AQ11" s="176"/>
      <c r="AR11" s="52"/>
    </row>
    <row r="12" spans="1:44" x14ac:dyDescent="0.25">
      <c r="A12" s="169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1">
        <v>0</v>
      </c>
      <c r="Y12" s="234" t="s">
        <v>309</v>
      </c>
      <c r="Z12" s="169"/>
      <c r="AA12" s="170">
        <v>150</v>
      </c>
      <c r="AB12" s="170"/>
      <c r="AC12" s="171"/>
      <c r="AD12" s="169">
        <f t="shared" si="0"/>
        <v>-154.42288792555527</v>
      </c>
      <c r="AE12" s="171">
        <f>AH12/AA12%</f>
        <v>143.15001710698974</v>
      </c>
      <c r="AF12" s="169"/>
      <c r="AG12" s="171"/>
      <c r="AH12" s="67">
        <f t="shared" si="1"/>
        <v>214.72502566048462</v>
      </c>
      <c r="AI12" s="174">
        <v>77.540698876484612</v>
      </c>
      <c r="AJ12" s="175">
        <v>0</v>
      </c>
      <c r="AK12" s="175">
        <v>40.821975432000009</v>
      </c>
      <c r="AL12" s="175">
        <v>44.670207456</v>
      </c>
      <c r="AM12" s="175">
        <v>1.6512202080000002</v>
      </c>
      <c r="AN12" s="175">
        <v>49.12346001600001</v>
      </c>
      <c r="AO12" s="175">
        <v>6.1415333999999995E-2</v>
      </c>
      <c r="AP12" s="175">
        <v>0.85604833800000002</v>
      </c>
      <c r="AQ12" s="176"/>
      <c r="AR12" s="52"/>
    </row>
    <row r="13" spans="1:44" x14ac:dyDescent="0.25">
      <c r="A13" s="169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1">
        <v>0</v>
      </c>
      <c r="Y13" s="235" t="s">
        <v>290</v>
      </c>
      <c r="Z13" s="169"/>
      <c r="AA13" s="170">
        <v>85</v>
      </c>
      <c r="AB13" s="170"/>
      <c r="AC13" s="171"/>
      <c r="AD13" s="169">
        <f t="shared" si="0"/>
        <v>-813.86148706925667</v>
      </c>
      <c r="AE13" s="171">
        <f>AH13/AA13%</f>
        <v>754.44959851320095</v>
      </c>
      <c r="AF13" s="169"/>
      <c r="AG13" s="171"/>
      <c r="AH13" s="67">
        <f t="shared" si="1"/>
        <v>641.28215873622082</v>
      </c>
      <c r="AI13" s="174">
        <v>121.7346600394209</v>
      </c>
      <c r="AJ13" s="175">
        <v>114.7152286386</v>
      </c>
      <c r="AK13" s="175">
        <v>38.829474250200001</v>
      </c>
      <c r="AL13" s="175">
        <v>42.489875901600001</v>
      </c>
      <c r="AM13" s="175">
        <v>10.0586831004</v>
      </c>
      <c r="AN13" s="175">
        <v>299.24374393080001</v>
      </c>
      <c r="AO13" s="175">
        <v>0.95125528439999985</v>
      </c>
      <c r="AP13" s="175">
        <v>13.2592375908</v>
      </c>
      <c r="AQ13" s="176"/>
      <c r="AR13" s="52"/>
    </row>
    <row r="14" spans="1:44" x14ac:dyDescent="0.25">
      <c r="A14" s="169"/>
      <c r="B14" s="177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>
        <f>AH14-AE14</f>
        <v>0.36199999999999993</v>
      </c>
      <c r="O14" s="170"/>
      <c r="P14" s="170"/>
      <c r="Q14" s="170"/>
      <c r="R14" s="170"/>
      <c r="S14" s="170"/>
      <c r="T14" s="170"/>
      <c r="U14" s="170"/>
      <c r="V14" s="170"/>
      <c r="W14" s="170"/>
      <c r="X14" s="171">
        <v>0.36199999999999993</v>
      </c>
      <c r="Y14" s="235" t="s">
        <v>344</v>
      </c>
      <c r="Z14" s="169"/>
      <c r="AA14" s="170"/>
      <c r="AB14" s="172">
        <v>300</v>
      </c>
      <c r="AC14" s="171"/>
      <c r="AD14" s="169">
        <f t="shared" si="0"/>
        <v>-0.19525350593311758</v>
      </c>
      <c r="AE14" s="176">
        <v>0.18099999999999999</v>
      </c>
      <c r="AF14" s="169"/>
      <c r="AG14" s="171"/>
      <c r="AH14" s="67">
        <f t="shared" si="1"/>
        <v>0.54299999999999993</v>
      </c>
      <c r="AI14" s="178">
        <v>0.54299999999999993</v>
      </c>
      <c r="AJ14" s="170"/>
      <c r="AK14" s="170"/>
      <c r="AL14" s="170"/>
      <c r="AM14" s="170"/>
      <c r="AN14" s="170"/>
      <c r="AO14" s="170"/>
      <c r="AP14" s="170"/>
      <c r="AQ14" s="171"/>
      <c r="AR14" s="52"/>
    </row>
    <row r="15" spans="1:44" x14ac:dyDescent="0.25">
      <c r="A15" s="169">
        <f>Z15%*AD15</f>
        <v>411.11631919703404</v>
      </c>
      <c r="B15" s="177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1">
        <v>411.11631919703404</v>
      </c>
      <c r="Y15" s="234" t="s">
        <v>461</v>
      </c>
      <c r="Z15" s="169">
        <v>100</v>
      </c>
      <c r="AA15" s="170"/>
      <c r="AB15" s="172"/>
      <c r="AC15" s="171"/>
      <c r="AD15" s="169">
        <f>-SUM(AD16:AD80,AD8:AD14)</f>
        <v>411.11631919703404</v>
      </c>
      <c r="AE15" s="171"/>
      <c r="AF15" s="169"/>
      <c r="AG15" s="171"/>
      <c r="AH15" s="67">
        <f t="shared" ref="AH15:AH52" si="2">SUM(AI15:AQ15)</f>
        <v>0</v>
      </c>
      <c r="AI15" s="169"/>
      <c r="AJ15" s="170"/>
      <c r="AK15" s="170"/>
      <c r="AL15" s="170"/>
      <c r="AM15" s="170"/>
      <c r="AN15" s="170"/>
      <c r="AO15" s="170"/>
      <c r="AP15" s="170"/>
      <c r="AQ15" s="171"/>
      <c r="AR15" s="52"/>
    </row>
    <row r="16" spans="1:44" x14ac:dyDescent="0.25">
      <c r="A16" s="179"/>
      <c r="B16" s="236">
        <v>31.9</v>
      </c>
      <c r="C16" s="180"/>
      <c r="D16" s="180"/>
      <c r="E16" s="181"/>
      <c r="F16" s="181"/>
      <c r="G16" s="181"/>
      <c r="H16" s="181"/>
      <c r="I16" s="181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2">
        <v>31.9</v>
      </c>
      <c r="Y16" s="237" t="s">
        <v>345</v>
      </c>
      <c r="Z16" s="179"/>
      <c r="AA16" s="180"/>
      <c r="AB16" s="386">
        <v>38</v>
      </c>
      <c r="AC16" s="182"/>
      <c r="AD16" s="179"/>
      <c r="AE16" s="182"/>
      <c r="AF16" s="179"/>
      <c r="AG16" s="182"/>
      <c r="AH16" s="67">
        <f t="shared" si="2"/>
        <v>12.122</v>
      </c>
      <c r="AI16" s="183">
        <f>X16*AB16/100*0.2</f>
        <v>2.4244000000000003</v>
      </c>
      <c r="AJ16" s="184"/>
      <c r="AK16" s="184"/>
      <c r="AL16" s="184"/>
      <c r="AM16" s="184"/>
      <c r="AN16" s="184">
        <f>X16*AB16/100*0.6</f>
        <v>7.2731999999999992</v>
      </c>
      <c r="AO16" s="184"/>
      <c r="AP16" s="184"/>
      <c r="AQ16" s="185">
        <f>X16*AB16/100*0.2</f>
        <v>2.4244000000000003</v>
      </c>
      <c r="AR16" s="52"/>
    </row>
    <row r="17" spans="1:44" x14ac:dyDescent="0.25">
      <c r="A17" s="169"/>
      <c r="B17" s="177"/>
      <c r="C17" s="170"/>
      <c r="D17" s="170"/>
      <c r="E17" s="175">
        <v>166</v>
      </c>
      <c r="F17" s="177"/>
      <c r="G17" s="177"/>
      <c r="H17" s="177"/>
      <c r="I17" s="177"/>
      <c r="J17" s="170"/>
      <c r="K17" s="170"/>
      <c r="L17" s="170"/>
      <c r="M17" s="170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1">
        <v>166</v>
      </c>
      <c r="Y17" s="235" t="s">
        <v>346</v>
      </c>
      <c r="Z17" s="169"/>
      <c r="AA17" s="170"/>
      <c r="AB17" s="172">
        <v>80</v>
      </c>
      <c r="AC17" s="171"/>
      <c r="AD17" s="169"/>
      <c r="AE17" s="171"/>
      <c r="AF17" s="169"/>
      <c r="AG17" s="171"/>
      <c r="AH17" s="67">
        <f t="shared" si="2"/>
        <v>132.80000000000001</v>
      </c>
      <c r="AI17" s="186">
        <f t="shared" ref="AI17:AI22" si="3">X17*AB17/100</f>
        <v>132.80000000000001</v>
      </c>
      <c r="AJ17" s="170"/>
      <c r="AK17" s="170"/>
      <c r="AL17" s="170"/>
      <c r="AM17" s="170"/>
      <c r="AN17" s="170"/>
      <c r="AO17" s="170"/>
      <c r="AP17" s="170"/>
      <c r="AQ17" s="171"/>
      <c r="AR17" s="52"/>
    </row>
    <row r="18" spans="1:44" x14ac:dyDescent="0.25">
      <c r="A18" s="169"/>
      <c r="B18" s="177"/>
      <c r="C18" s="170"/>
      <c r="D18" s="170"/>
      <c r="E18" s="177"/>
      <c r="F18" s="177"/>
      <c r="G18" s="177"/>
      <c r="H18" s="177"/>
      <c r="I18" s="175">
        <v>0.63</v>
      </c>
      <c r="J18" s="170"/>
      <c r="K18" s="170"/>
      <c r="L18" s="170"/>
      <c r="M18" s="170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1">
        <v>0.63</v>
      </c>
      <c r="Y18" s="235" t="s">
        <v>347</v>
      </c>
      <c r="Z18" s="169"/>
      <c r="AA18" s="170"/>
      <c r="AB18" s="172">
        <v>85</v>
      </c>
      <c r="AC18" s="171"/>
      <c r="AD18" s="169"/>
      <c r="AE18" s="171"/>
      <c r="AF18" s="169"/>
      <c r="AG18" s="171"/>
      <c r="AH18" s="67">
        <f t="shared" si="2"/>
        <v>0.53549999999999998</v>
      </c>
      <c r="AI18" s="186">
        <f t="shared" si="3"/>
        <v>0.53549999999999998</v>
      </c>
      <c r="AJ18" s="170"/>
      <c r="AK18" s="170"/>
      <c r="AL18" s="170"/>
      <c r="AM18" s="170"/>
      <c r="AN18" s="170"/>
      <c r="AO18" s="170"/>
      <c r="AP18" s="170"/>
      <c r="AQ18" s="171"/>
      <c r="AR18" s="52"/>
    </row>
    <row r="19" spans="1:44" x14ac:dyDescent="0.25">
      <c r="A19" s="169"/>
      <c r="B19" s="170"/>
      <c r="C19" s="170"/>
      <c r="D19" s="170"/>
      <c r="E19" s="170"/>
      <c r="F19" s="170"/>
      <c r="G19" s="170"/>
      <c r="H19" s="170"/>
      <c r="I19" s="172"/>
      <c r="J19" s="170"/>
      <c r="K19" s="170"/>
      <c r="L19" s="170"/>
      <c r="M19" s="170"/>
      <c r="N19" s="177"/>
      <c r="O19" s="177"/>
      <c r="P19" s="177"/>
      <c r="Q19" s="175"/>
      <c r="R19" s="175"/>
      <c r="S19" s="175">
        <v>32</v>
      </c>
      <c r="T19" s="177"/>
      <c r="U19" s="177"/>
      <c r="V19" s="177"/>
      <c r="W19" s="177"/>
      <c r="X19" s="171">
        <v>32</v>
      </c>
      <c r="Y19" s="235" t="s">
        <v>348</v>
      </c>
      <c r="Z19" s="169"/>
      <c r="AA19" s="170"/>
      <c r="AB19" s="172">
        <v>75</v>
      </c>
      <c r="AC19" s="171"/>
      <c r="AD19" s="169"/>
      <c r="AE19" s="171"/>
      <c r="AF19" s="169"/>
      <c r="AG19" s="171"/>
      <c r="AH19" s="67">
        <f t="shared" si="2"/>
        <v>24</v>
      </c>
      <c r="AI19" s="186">
        <f t="shared" si="3"/>
        <v>24</v>
      </c>
      <c r="AJ19" s="170"/>
      <c r="AK19" s="170"/>
      <c r="AL19" s="170"/>
      <c r="AM19" s="170"/>
      <c r="AN19" s="170"/>
      <c r="AO19" s="170"/>
      <c r="AP19" s="170"/>
      <c r="AQ19" s="171"/>
      <c r="AR19" s="52"/>
    </row>
    <row r="20" spans="1:44" x14ac:dyDescent="0.25">
      <c r="A20" s="169"/>
      <c r="B20" s="170"/>
      <c r="C20" s="170"/>
      <c r="D20" s="170"/>
      <c r="E20" s="170"/>
      <c r="F20" s="170"/>
      <c r="G20" s="170"/>
      <c r="H20" s="170"/>
      <c r="I20" s="172"/>
      <c r="J20" s="170"/>
      <c r="K20" s="170"/>
      <c r="L20" s="170"/>
      <c r="M20" s="170"/>
      <c r="N20" s="177"/>
      <c r="O20" s="177"/>
      <c r="P20" s="177"/>
      <c r="Q20" s="175"/>
      <c r="R20" s="175">
        <v>174</v>
      </c>
      <c r="S20" s="175"/>
      <c r="T20" s="177"/>
      <c r="U20" s="177"/>
      <c r="V20" s="177"/>
      <c r="W20" s="177"/>
      <c r="X20" s="171">
        <v>174</v>
      </c>
      <c r="Y20" s="235" t="s">
        <v>349</v>
      </c>
      <c r="Z20" s="169"/>
      <c r="AA20" s="170"/>
      <c r="AB20" s="172">
        <v>65</v>
      </c>
      <c r="AC20" s="171"/>
      <c r="AD20" s="169"/>
      <c r="AE20" s="171"/>
      <c r="AF20" s="169"/>
      <c r="AG20" s="171"/>
      <c r="AH20" s="67">
        <f t="shared" si="2"/>
        <v>113.1</v>
      </c>
      <c r="AI20" s="186">
        <f t="shared" si="3"/>
        <v>113.1</v>
      </c>
      <c r="AJ20" s="170"/>
      <c r="AK20" s="170"/>
      <c r="AL20" s="170"/>
      <c r="AM20" s="170"/>
      <c r="AN20" s="170"/>
      <c r="AO20" s="170"/>
      <c r="AP20" s="170"/>
      <c r="AQ20" s="171"/>
      <c r="AR20" s="52"/>
    </row>
    <row r="21" spans="1:44" x14ac:dyDescent="0.25">
      <c r="A21" s="169"/>
      <c r="B21" s="170"/>
      <c r="C21" s="170"/>
      <c r="D21" s="170"/>
      <c r="E21" s="170"/>
      <c r="F21" s="170"/>
      <c r="G21" s="170"/>
      <c r="H21" s="170"/>
      <c r="I21" s="172"/>
      <c r="J21" s="170"/>
      <c r="K21" s="170"/>
      <c r="L21" s="170"/>
      <c r="M21" s="170"/>
      <c r="N21" s="177"/>
      <c r="O21" s="177"/>
      <c r="P21" s="177"/>
      <c r="Q21" s="175">
        <v>39</v>
      </c>
      <c r="R21" s="175"/>
      <c r="S21" s="175"/>
      <c r="T21" s="177"/>
      <c r="U21" s="177"/>
      <c r="V21" s="177"/>
      <c r="W21" s="177"/>
      <c r="X21" s="171">
        <v>39</v>
      </c>
      <c r="Y21" s="235" t="s">
        <v>350</v>
      </c>
      <c r="Z21" s="169"/>
      <c r="AA21" s="170"/>
      <c r="AB21" s="172">
        <v>65</v>
      </c>
      <c r="AC21" s="171"/>
      <c r="AD21" s="169"/>
      <c r="AE21" s="171"/>
      <c r="AF21" s="169"/>
      <c r="AG21" s="171"/>
      <c r="AH21" s="67">
        <f t="shared" si="2"/>
        <v>25.35</v>
      </c>
      <c r="AI21" s="186">
        <f t="shared" si="3"/>
        <v>25.35</v>
      </c>
      <c r="AJ21" s="170"/>
      <c r="AK21" s="170"/>
      <c r="AL21" s="170"/>
      <c r="AM21" s="170"/>
      <c r="AN21" s="170"/>
      <c r="AO21" s="170"/>
      <c r="AP21" s="170"/>
      <c r="AQ21" s="171"/>
      <c r="AR21" s="52"/>
    </row>
    <row r="22" spans="1:44" x14ac:dyDescent="0.25">
      <c r="A22" s="169"/>
      <c r="B22" s="170"/>
      <c r="C22" s="170"/>
      <c r="D22" s="170"/>
      <c r="E22" s="170"/>
      <c r="F22" s="170"/>
      <c r="G22" s="170"/>
      <c r="H22" s="170"/>
      <c r="I22" s="172"/>
      <c r="J22" s="170"/>
      <c r="K22" s="170"/>
      <c r="L22" s="175">
        <v>2.4</v>
      </c>
      <c r="M22" s="170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1">
        <v>2.4</v>
      </c>
      <c r="Y22" s="234" t="s">
        <v>331</v>
      </c>
      <c r="Z22" s="169"/>
      <c r="AA22" s="170"/>
      <c r="AB22" s="172">
        <v>100</v>
      </c>
      <c r="AC22" s="171"/>
      <c r="AD22" s="169"/>
      <c r="AE22" s="171"/>
      <c r="AF22" s="169"/>
      <c r="AG22" s="171"/>
      <c r="AH22" s="67">
        <f t="shared" si="2"/>
        <v>2.4</v>
      </c>
      <c r="AI22" s="186">
        <f t="shared" si="3"/>
        <v>2.4</v>
      </c>
      <c r="AJ22" s="170"/>
      <c r="AK22" s="170"/>
      <c r="AL22" s="170"/>
      <c r="AM22" s="170"/>
      <c r="AN22" s="170"/>
      <c r="AO22" s="170"/>
      <c r="AP22" s="170"/>
      <c r="AQ22" s="171"/>
      <c r="AR22" s="52"/>
    </row>
    <row r="23" spans="1:44" x14ac:dyDescent="0.25">
      <c r="A23" s="169"/>
      <c r="B23" s="170"/>
      <c r="C23" s="170"/>
      <c r="D23" s="170"/>
      <c r="E23" s="175">
        <v>27</v>
      </c>
      <c r="F23" s="170"/>
      <c r="G23" s="170"/>
      <c r="H23" s="170"/>
      <c r="I23" s="172"/>
      <c r="J23" s="170"/>
      <c r="K23" s="170"/>
      <c r="L23" s="170"/>
      <c r="M23" s="170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1">
        <v>27</v>
      </c>
      <c r="Y23" s="235" t="s">
        <v>292</v>
      </c>
      <c r="Z23" s="169"/>
      <c r="AA23" s="170">
        <v>90</v>
      </c>
      <c r="AB23" s="170"/>
      <c r="AC23" s="171"/>
      <c r="AD23" s="169"/>
      <c r="AE23" s="171"/>
      <c r="AF23" s="169"/>
      <c r="AG23" s="171"/>
      <c r="AH23" s="67">
        <f t="shared" si="2"/>
        <v>24.3</v>
      </c>
      <c r="AI23" s="186"/>
      <c r="AJ23" s="170"/>
      <c r="AK23" s="170"/>
      <c r="AL23" s="170"/>
      <c r="AM23" s="170"/>
      <c r="AN23" s="170">
        <f>X23*AA23/100</f>
        <v>24.3</v>
      </c>
      <c r="AO23" s="170"/>
      <c r="AP23" s="170"/>
      <c r="AQ23" s="171"/>
      <c r="AR23" s="52"/>
    </row>
    <row r="24" spans="1:44" x14ac:dyDescent="0.25">
      <c r="A24" s="169"/>
      <c r="B24" s="170"/>
      <c r="C24" s="170"/>
      <c r="D24" s="170"/>
      <c r="E24" s="170"/>
      <c r="F24" s="170"/>
      <c r="G24" s="170"/>
      <c r="H24" s="170"/>
      <c r="I24" s="175">
        <v>347.98200000000003</v>
      </c>
      <c r="J24" s="170"/>
      <c r="K24" s="170"/>
      <c r="L24" s="170"/>
      <c r="M24" s="170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1">
        <v>347.98200000000003</v>
      </c>
      <c r="Y24" s="235" t="s">
        <v>294</v>
      </c>
      <c r="Z24" s="169"/>
      <c r="AA24" s="170">
        <v>90</v>
      </c>
      <c r="AB24" s="170"/>
      <c r="AC24" s="171"/>
      <c r="AD24" s="169"/>
      <c r="AE24" s="171"/>
      <c r="AF24" s="169"/>
      <c r="AG24" s="171"/>
      <c r="AH24" s="67">
        <f t="shared" si="2"/>
        <v>313.18380000000002</v>
      </c>
      <c r="AI24" s="186"/>
      <c r="AJ24" s="170"/>
      <c r="AK24" s="170"/>
      <c r="AL24" s="170"/>
      <c r="AM24" s="170"/>
      <c r="AN24" s="170">
        <f>X24*AA24/100</f>
        <v>313.18380000000002</v>
      </c>
      <c r="AO24" s="170"/>
      <c r="AP24" s="170"/>
      <c r="AQ24" s="171"/>
      <c r="AR24" s="52"/>
    </row>
    <row r="25" spans="1:44" x14ac:dyDescent="0.25">
      <c r="A25" s="169"/>
      <c r="B25" s="170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1"/>
      <c r="Y25" s="235" t="s">
        <v>355</v>
      </c>
      <c r="Z25" s="169"/>
      <c r="AA25" s="170">
        <v>90</v>
      </c>
      <c r="AB25" s="170"/>
      <c r="AC25" s="171"/>
      <c r="AD25" s="169"/>
      <c r="AE25" s="171"/>
      <c r="AF25" s="169"/>
      <c r="AG25" s="171"/>
      <c r="AH25" s="67">
        <f t="shared" si="2"/>
        <v>0</v>
      </c>
      <c r="AI25" s="186"/>
      <c r="AJ25" s="170"/>
      <c r="AK25" s="170"/>
      <c r="AL25" s="170"/>
      <c r="AM25" s="170"/>
      <c r="AN25" s="170">
        <f>X25*AA25/100</f>
        <v>0</v>
      </c>
      <c r="AO25" s="170"/>
      <c r="AP25" s="170"/>
      <c r="AQ25" s="171"/>
      <c r="AR25" s="68"/>
    </row>
    <row r="26" spans="1:44" x14ac:dyDescent="0.25">
      <c r="A26" s="169"/>
      <c r="B26" s="170"/>
      <c r="C26" s="170"/>
      <c r="D26" s="170"/>
      <c r="E26" s="170"/>
      <c r="F26" s="170"/>
      <c r="G26" s="170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1">
        <v>0</v>
      </c>
      <c r="Y26" s="234" t="s">
        <v>131</v>
      </c>
      <c r="Z26" s="170">
        <v>100</v>
      </c>
      <c r="AA26" s="170"/>
      <c r="AB26" s="170"/>
      <c r="AC26" s="171"/>
      <c r="AD26" s="169">
        <f>X26*Z26/100</f>
        <v>0</v>
      </c>
      <c r="AE26" s="171"/>
      <c r="AF26" s="169"/>
      <c r="AG26" s="171"/>
      <c r="AH26" s="67">
        <f t="shared" si="2"/>
        <v>0</v>
      </c>
      <c r="AI26" s="186"/>
      <c r="AJ26" s="170"/>
      <c r="AK26" s="170"/>
      <c r="AL26" s="170"/>
      <c r="AM26" s="170"/>
      <c r="AN26" s="170"/>
      <c r="AO26" s="170"/>
      <c r="AP26" s="170"/>
      <c r="AQ26" s="171"/>
      <c r="AR26" s="52"/>
    </row>
    <row r="27" spans="1:44" x14ac:dyDescent="0.25">
      <c r="A27" s="169"/>
      <c r="B27" s="170"/>
      <c r="C27" s="170"/>
      <c r="D27" s="170"/>
      <c r="E27" s="170"/>
      <c r="F27" s="170"/>
      <c r="G27" s="170"/>
      <c r="H27" s="177"/>
      <c r="I27" s="177"/>
      <c r="J27" s="238">
        <v>13.507999999999999</v>
      </c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1">
        <v>13.507999999999999</v>
      </c>
      <c r="Y27" s="235" t="s">
        <v>135</v>
      </c>
      <c r="Z27" s="170">
        <v>100</v>
      </c>
      <c r="AA27" s="170"/>
      <c r="AB27" s="170"/>
      <c r="AC27" s="171"/>
      <c r="AD27" s="169">
        <f>Z27*X27/100</f>
        <v>13.507999999999999</v>
      </c>
      <c r="AE27" s="171"/>
      <c r="AF27" s="169"/>
      <c r="AG27" s="171"/>
      <c r="AH27" s="67">
        <f t="shared" si="2"/>
        <v>0</v>
      </c>
      <c r="AI27" s="186"/>
      <c r="AJ27" s="170"/>
      <c r="AK27" s="170"/>
      <c r="AL27" s="170"/>
      <c r="AM27" s="170"/>
      <c r="AN27" s="170"/>
      <c r="AO27" s="170"/>
      <c r="AP27" s="170"/>
      <c r="AQ27" s="171"/>
      <c r="AR27" s="52"/>
    </row>
    <row r="28" spans="1:44" x14ac:dyDescent="0.25">
      <c r="A28" s="169"/>
      <c r="B28" s="170"/>
      <c r="C28" s="170"/>
      <c r="D28" s="170"/>
      <c r="E28" s="170"/>
      <c r="F28" s="170"/>
      <c r="G28" s="170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1">
        <v>0</v>
      </c>
      <c r="Y28" s="235" t="s">
        <v>137</v>
      </c>
      <c r="Z28" s="169">
        <v>100</v>
      </c>
      <c r="AA28" s="170"/>
      <c r="AB28" s="170"/>
      <c r="AC28" s="171"/>
      <c r="AD28" s="187">
        <f>Z28*X28/100</f>
        <v>0</v>
      </c>
      <c r="AE28" s="188"/>
      <c r="AF28" s="169"/>
      <c r="AG28" s="171"/>
      <c r="AH28" s="67">
        <f t="shared" si="2"/>
        <v>0</v>
      </c>
      <c r="AI28" s="186"/>
      <c r="AJ28" s="170"/>
      <c r="AK28" s="170"/>
      <c r="AL28" s="170"/>
      <c r="AM28" s="170"/>
      <c r="AN28" s="170"/>
      <c r="AO28" s="170"/>
      <c r="AP28" s="170"/>
      <c r="AQ28" s="171"/>
      <c r="AR28" s="52"/>
    </row>
    <row r="29" spans="1:44" x14ac:dyDescent="0.25">
      <c r="A29" s="169"/>
      <c r="B29" s="170"/>
      <c r="C29" s="170"/>
      <c r="D29" s="170"/>
      <c r="E29" s="170"/>
      <c r="F29" s="170"/>
      <c r="G29" s="170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1">
        <v>0</v>
      </c>
      <c r="Y29" s="234" t="s">
        <v>139</v>
      </c>
      <c r="Z29" s="170">
        <v>100</v>
      </c>
      <c r="AA29" s="170"/>
      <c r="AB29" s="170"/>
      <c r="AC29" s="171"/>
      <c r="AD29" s="187">
        <f>Z29*X29/100</f>
        <v>0</v>
      </c>
      <c r="AE29" s="188"/>
      <c r="AF29" s="169"/>
      <c r="AG29" s="171"/>
      <c r="AH29" s="67">
        <f t="shared" si="2"/>
        <v>0</v>
      </c>
      <c r="AI29" s="186"/>
      <c r="AJ29" s="170"/>
      <c r="AK29" s="170"/>
      <c r="AL29" s="170"/>
      <c r="AM29" s="170"/>
      <c r="AN29" s="170"/>
      <c r="AO29" s="170"/>
      <c r="AP29" s="170"/>
      <c r="AQ29" s="171"/>
      <c r="AR29" s="52"/>
    </row>
    <row r="30" spans="1:44" x14ac:dyDescent="0.25">
      <c r="A30" s="169"/>
      <c r="B30" s="170"/>
      <c r="C30" s="170"/>
      <c r="D30" s="170"/>
      <c r="E30" s="170"/>
      <c r="F30" s="170"/>
      <c r="G30" s="170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1">
        <v>0</v>
      </c>
      <c r="Y30" s="234" t="s">
        <v>141</v>
      </c>
      <c r="Z30" s="177">
        <v>100</v>
      </c>
      <c r="AA30" s="177"/>
      <c r="AB30" s="177"/>
      <c r="AC30" s="188"/>
      <c r="AD30" s="187">
        <f>Z30*X30/100</f>
        <v>0</v>
      </c>
      <c r="AE30" s="188"/>
      <c r="AF30" s="169"/>
      <c r="AG30" s="171"/>
      <c r="AH30" s="67">
        <f t="shared" si="2"/>
        <v>0</v>
      </c>
      <c r="AI30" s="186"/>
      <c r="AJ30" s="170"/>
      <c r="AK30" s="170"/>
      <c r="AL30" s="170"/>
      <c r="AM30" s="170"/>
      <c r="AN30" s="170"/>
      <c r="AO30" s="170"/>
      <c r="AP30" s="170"/>
      <c r="AQ30" s="171"/>
      <c r="AR30" s="52"/>
    </row>
    <row r="31" spans="1:44" x14ac:dyDescent="0.25">
      <c r="A31" s="189"/>
      <c r="B31" s="170"/>
      <c r="C31" s="170"/>
      <c r="D31" s="170"/>
      <c r="E31" s="170"/>
      <c r="F31" s="170"/>
      <c r="G31" s="170"/>
      <c r="H31" s="177"/>
      <c r="I31" s="177">
        <f>-(O31+T31)*AA31%</f>
        <v>0</v>
      </c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5"/>
      <c r="V31" s="175"/>
      <c r="W31" s="175"/>
      <c r="X31" s="171">
        <f t="shared" ref="X31:X80" si="4">SUM(A31:W31)</f>
        <v>0</v>
      </c>
      <c r="Y31" s="239" t="s">
        <v>462</v>
      </c>
      <c r="Z31" s="174"/>
      <c r="AA31" s="175"/>
      <c r="AB31" s="175"/>
      <c r="AC31" s="176"/>
      <c r="AD31" s="190"/>
      <c r="AE31" s="176"/>
      <c r="AF31" s="191"/>
      <c r="AG31" s="173"/>
      <c r="AH31" s="192"/>
      <c r="AI31" s="189"/>
      <c r="AJ31" s="172"/>
      <c r="AK31" s="172"/>
      <c r="AL31" s="172"/>
      <c r="AM31" s="172"/>
      <c r="AN31" s="172"/>
      <c r="AO31" s="172"/>
      <c r="AP31" s="172"/>
      <c r="AQ31" s="173"/>
      <c r="AR31" s="159"/>
    </row>
    <row r="32" spans="1:44" x14ac:dyDescent="0.25">
      <c r="A32" s="170"/>
      <c r="B32" s="170"/>
      <c r="C32" s="240"/>
      <c r="D32" s="240"/>
      <c r="E32" s="240"/>
      <c r="F32" s="240"/>
      <c r="G32" s="240"/>
      <c r="H32" s="241"/>
      <c r="I32" s="241"/>
      <c r="J32" s="241"/>
      <c r="K32" s="241"/>
      <c r="L32" s="241"/>
      <c r="M32" s="241"/>
      <c r="N32" s="175"/>
      <c r="O32" s="241"/>
      <c r="P32" s="241"/>
      <c r="Q32" s="241"/>
      <c r="R32" s="241"/>
      <c r="S32" s="241"/>
      <c r="T32" s="241"/>
      <c r="U32" s="241"/>
      <c r="V32" s="241"/>
      <c r="W32" s="241"/>
      <c r="X32" s="171"/>
      <c r="Y32" s="239" t="s">
        <v>463</v>
      </c>
      <c r="Z32" s="190"/>
      <c r="AA32" s="175"/>
      <c r="AB32" s="175"/>
      <c r="AC32" s="176"/>
      <c r="AD32" s="187">
        <f>X32*Z32/100</f>
        <v>0</v>
      </c>
      <c r="AE32" s="188"/>
      <c r="AF32" s="187">
        <f>X32*AB32/100</f>
        <v>0</v>
      </c>
      <c r="AG32" s="188"/>
      <c r="AH32" s="67">
        <f>SUM(AI32:AQ32)</f>
        <v>0</v>
      </c>
      <c r="AI32" s="186"/>
      <c r="AJ32" s="175"/>
      <c r="AK32" s="172"/>
      <c r="AL32" s="172"/>
      <c r="AM32" s="172"/>
      <c r="AN32" s="172"/>
      <c r="AO32" s="172"/>
      <c r="AP32" s="175"/>
      <c r="AQ32" s="171"/>
      <c r="AR32" s="52"/>
    </row>
    <row r="33" spans="1:44" x14ac:dyDescent="0.25">
      <c r="A33" s="170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241"/>
      <c r="O33" s="177"/>
      <c r="P33" s="177"/>
      <c r="Q33" s="177"/>
      <c r="R33" s="177"/>
      <c r="S33" s="177"/>
      <c r="T33" s="177"/>
      <c r="U33" s="177"/>
      <c r="V33" s="177"/>
      <c r="W33" s="177"/>
      <c r="X33" s="171">
        <f t="shared" ref="X33:X50" si="5">SUM(A33:W33)</f>
        <v>0</v>
      </c>
      <c r="Y33" s="234" t="s">
        <v>145</v>
      </c>
      <c r="Z33" s="190">
        <v>38.700000000000003</v>
      </c>
      <c r="AA33" s="175"/>
      <c r="AB33" s="175">
        <v>53</v>
      </c>
      <c r="AC33" s="188"/>
      <c r="AD33" s="187">
        <f>X33*Z33/100</f>
        <v>0</v>
      </c>
      <c r="AE33" s="188"/>
      <c r="AF33" s="169">
        <f>X33*AB33/100</f>
        <v>0</v>
      </c>
      <c r="AG33" s="171"/>
      <c r="AH33" s="67">
        <f t="shared" si="2"/>
        <v>0</v>
      </c>
      <c r="AI33" s="186"/>
      <c r="AJ33" s="170"/>
      <c r="AK33" s="170"/>
      <c r="AL33" s="170"/>
      <c r="AM33" s="170"/>
      <c r="AN33" s="170"/>
      <c r="AO33" s="170"/>
      <c r="AP33" s="170"/>
      <c r="AQ33" s="171"/>
      <c r="AR33" s="52"/>
    </row>
    <row r="34" spans="1:44" x14ac:dyDescent="0.25">
      <c r="A34" s="170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241"/>
      <c r="O34" s="177"/>
      <c r="P34" s="177"/>
      <c r="Q34" s="177"/>
      <c r="R34" s="177"/>
      <c r="S34" s="177"/>
      <c r="T34" s="177"/>
      <c r="U34" s="177"/>
      <c r="V34" s="177"/>
      <c r="W34" s="177"/>
      <c r="X34" s="171">
        <f t="shared" si="5"/>
        <v>0</v>
      </c>
      <c r="Y34" s="234" t="s">
        <v>147</v>
      </c>
      <c r="Z34" s="190"/>
      <c r="AA34" s="175"/>
      <c r="AB34" s="175"/>
      <c r="AC34" s="188"/>
      <c r="AD34" s="187">
        <f>X34*Z34/100</f>
        <v>0</v>
      </c>
      <c r="AE34" s="188"/>
      <c r="AF34" s="169">
        <f>X34*AB34</f>
        <v>0</v>
      </c>
      <c r="AG34" s="171"/>
      <c r="AH34" s="67">
        <f t="shared" si="2"/>
        <v>0</v>
      </c>
      <c r="AI34" s="186"/>
      <c r="AJ34" s="170"/>
      <c r="AK34" s="170"/>
      <c r="AL34" s="170"/>
      <c r="AM34" s="170"/>
      <c r="AN34" s="170"/>
      <c r="AO34" s="170"/>
      <c r="AP34" s="170"/>
      <c r="AQ34" s="171"/>
      <c r="AR34" s="52"/>
    </row>
    <row r="35" spans="1:44" x14ac:dyDescent="0.25">
      <c r="A35" s="170"/>
      <c r="B35" s="177"/>
      <c r="C35" s="177"/>
      <c r="D35" s="177"/>
      <c r="E35" s="387"/>
      <c r="F35" s="177"/>
      <c r="G35" s="177"/>
      <c r="H35" s="177"/>
      <c r="I35" s="177"/>
      <c r="J35" s="177"/>
      <c r="K35" s="177"/>
      <c r="L35" s="177"/>
      <c r="M35" s="177"/>
      <c r="N35" s="241"/>
      <c r="O35" s="177"/>
      <c r="P35" s="177"/>
      <c r="Q35" s="177"/>
      <c r="R35" s="177"/>
      <c r="S35" s="177"/>
      <c r="T35" s="177"/>
      <c r="U35" s="177"/>
      <c r="V35" s="177"/>
      <c r="W35" s="177"/>
      <c r="X35" s="171">
        <f t="shared" si="5"/>
        <v>0</v>
      </c>
      <c r="Y35" s="234" t="s">
        <v>149</v>
      </c>
      <c r="Z35" s="190"/>
      <c r="AA35" s="175"/>
      <c r="AB35" s="175"/>
      <c r="AC35" s="188"/>
      <c r="AD35" s="187">
        <f>X35*Z35/100</f>
        <v>0</v>
      </c>
      <c r="AE35" s="188"/>
      <c r="AF35" s="169">
        <f>X35*AB35</f>
        <v>0</v>
      </c>
      <c r="AG35" s="171"/>
      <c r="AH35" s="67">
        <f t="shared" si="2"/>
        <v>0</v>
      </c>
      <c r="AI35" s="186"/>
      <c r="AJ35" s="170"/>
      <c r="AK35" s="170"/>
      <c r="AL35" s="170"/>
      <c r="AM35" s="170"/>
      <c r="AN35" s="170"/>
      <c r="AO35" s="170"/>
      <c r="AP35" s="170"/>
      <c r="AQ35" s="171"/>
      <c r="AR35" s="52"/>
    </row>
    <row r="36" spans="1:44" x14ac:dyDescent="0.25">
      <c r="A36" s="170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241"/>
      <c r="O36" s="177"/>
      <c r="P36" s="177"/>
      <c r="Q36" s="177"/>
      <c r="R36" s="177"/>
      <c r="S36" s="177"/>
      <c r="T36" s="177"/>
      <c r="U36" s="177"/>
      <c r="V36" s="177"/>
      <c r="W36" s="177"/>
      <c r="X36" s="171">
        <f t="shared" si="5"/>
        <v>0</v>
      </c>
      <c r="Y36" s="234" t="s">
        <v>151</v>
      </c>
      <c r="Z36" s="190"/>
      <c r="AA36" s="175"/>
      <c r="AB36" s="175"/>
      <c r="AC36" s="188"/>
      <c r="AD36" s="187"/>
      <c r="AE36" s="188"/>
      <c r="AF36" s="169">
        <f>X36*AB36/100</f>
        <v>0</v>
      </c>
      <c r="AG36" s="171"/>
      <c r="AH36" s="67">
        <f t="shared" si="2"/>
        <v>0</v>
      </c>
      <c r="AI36" s="186"/>
      <c r="AJ36" s="170"/>
      <c r="AK36" s="170"/>
      <c r="AL36" s="170"/>
      <c r="AM36" s="170"/>
      <c r="AN36" s="170"/>
      <c r="AO36" s="170"/>
      <c r="AP36" s="170"/>
      <c r="AQ36" s="171"/>
      <c r="AR36" s="52"/>
    </row>
    <row r="37" spans="1:44" x14ac:dyDescent="0.25">
      <c r="A37" s="170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>
        <f>AF37-AE37</f>
        <v>0</v>
      </c>
      <c r="O37" s="177"/>
      <c r="P37" s="177"/>
      <c r="Q37" s="177"/>
      <c r="R37" s="177"/>
      <c r="S37" s="177"/>
      <c r="T37" s="177"/>
      <c r="U37" s="177"/>
      <c r="V37" s="177"/>
      <c r="W37" s="177"/>
      <c r="X37" s="171">
        <f t="shared" si="5"/>
        <v>0</v>
      </c>
      <c r="Y37" s="239" t="s">
        <v>153</v>
      </c>
      <c r="Z37" s="187"/>
      <c r="AA37" s="177"/>
      <c r="AB37" s="177"/>
      <c r="AC37" s="188"/>
      <c r="AD37" s="190">
        <f>-AE37/$D$2%</f>
        <v>0</v>
      </c>
      <c r="AE37" s="194"/>
      <c r="AF37" s="195">
        <f>AE37*AB37%</f>
        <v>0</v>
      </c>
      <c r="AG37" s="173"/>
      <c r="AH37" s="192"/>
      <c r="AI37" s="189"/>
      <c r="AJ37" s="189"/>
      <c r="AK37" s="172"/>
      <c r="AL37" s="172"/>
      <c r="AM37" s="172"/>
      <c r="AN37" s="172"/>
      <c r="AO37" s="172"/>
      <c r="AP37" s="172"/>
      <c r="AQ37" s="173"/>
      <c r="AR37" s="159"/>
    </row>
    <row r="38" spans="1:44" x14ac:dyDescent="0.25">
      <c r="A38" s="170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5"/>
      <c r="O38" s="177"/>
      <c r="P38" s="177"/>
      <c r="Q38" s="177"/>
      <c r="R38" s="177"/>
      <c r="S38" s="177"/>
      <c r="T38" s="177"/>
      <c r="U38" s="177"/>
      <c r="V38" s="177"/>
      <c r="W38" s="177"/>
      <c r="X38" s="171">
        <f t="shared" si="5"/>
        <v>0</v>
      </c>
      <c r="Y38" s="239" t="s">
        <v>155</v>
      </c>
      <c r="Z38" s="187"/>
      <c r="AA38" s="177"/>
      <c r="AB38" s="177"/>
      <c r="AC38" s="188"/>
      <c r="AD38" s="190">
        <f>-AE38/$D$2%</f>
        <v>0</v>
      </c>
      <c r="AE38" s="188"/>
      <c r="AF38" s="187">
        <f>AE38*AB38%</f>
        <v>0</v>
      </c>
      <c r="AG38" s="173"/>
      <c r="AH38" s="192"/>
      <c r="AI38" s="189"/>
      <c r="AJ38" s="189"/>
      <c r="AK38" s="172"/>
      <c r="AL38" s="172"/>
      <c r="AM38" s="172"/>
      <c r="AN38" s="172"/>
      <c r="AO38" s="172"/>
      <c r="AP38" s="172"/>
      <c r="AQ38" s="173"/>
      <c r="AR38" s="52"/>
    </row>
    <row r="39" spans="1:44" x14ac:dyDescent="0.25">
      <c r="A39" s="170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241"/>
      <c r="O39" s="177"/>
      <c r="P39" s="177"/>
      <c r="Q39" s="177"/>
      <c r="R39" s="177"/>
      <c r="S39" s="177"/>
      <c r="T39" s="177"/>
      <c r="U39" s="177"/>
      <c r="V39" s="177"/>
      <c r="W39" s="177"/>
      <c r="X39" s="171">
        <f t="shared" si="5"/>
        <v>0</v>
      </c>
      <c r="Y39" s="235" t="s">
        <v>157</v>
      </c>
      <c r="Z39" s="190"/>
      <c r="AA39" s="175"/>
      <c r="AB39" s="175"/>
      <c r="AC39" s="176">
        <v>77.2</v>
      </c>
      <c r="AD39" s="187"/>
      <c r="AE39" s="188"/>
      <c r="AF39" s="169">
        <f>-SUM(AF33:AF36)</f>
        <v>0</v>
      </c>
      <c r="AG39" s="171">
        <f>-AF39*AC39/100</f>
        <v>0</v>
      </c>
      <c r="AH39" s="67">
        <f>SUM(AI39:AQ39)</f>
        <v>0</v>
      </c>
      <c r="AI39" s="186">
        <f>AG39*62.71%</f>
        <v>0</v>
      </c>
      <c r="AJ39" s="186">
        <f>AG39*9.72%</f>
        <v>0</v>
      </c>
      <c r="AK39" s="170">
        <f>AG39*12.13%</f>
        <v>0</v>
      </c>
      <c r="AL39" s="170">
        <f>AG39*7.13%</f>
        <v>0</v>
      </c>
      <c r="AM39" s="170">
        <f>AG39*0%</f>
        <v>0</v>
      </c>
      <c r="AN39" s="170">
        <f>AG39*6.34%</f>
        <v>0</v>
      </c>
      <c r="AO39" s="170">
        <f>AG39*1.97%</f>
        <v>0</v>
      </c>
      <c r="AP39" s="170"/>
      <c r="AQ39" s="171"/>
      <c r="AR39" s="216"/>
    </row>
    <row r="40" spans="1:44" x14ac:dyDescent="0.25">
      <c r="A40" s="170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241"/>
      <c r="O40" s="177"/>
      <c r="P40" s="177"/>
      <c r="Q40" s="177"/>
      <c r="R40" s="177"/>
      <c r="S40" s="177"/>
      <c r="T40" s="177"/>
      <c r="U40" s="177"/>
      <c r="V40" s="177"/>
      <c r="W40" s="177"/>
      <c r="X40" s="171">
        <f t="shared" si="5"/>
        <v>0</v>
      </c>
      <c r="Y40" s="234" t="s">
        <v>163</v>
      </c>
      <c r="Z40" s="190"/>
      <c r="AA40" s="175"/>
      <c r="AB40" s="175"/>
      <c r="AC40" s="176"/>
      <c r="AD40" s="187">
        <f>X40*Z40/100</f>
        <v>0</v>
      </c>
      <c r="AE40" s="188"/>
      <c r="AF40" s="169">
        <f>X40*AB40/100</f>
        <v>0</v>
      </c>
      <c r="AG40" s="171"/>
      <c r="AH40" s="67">
        <f t="shared" si="2"/>
        <v>0</v>
      </c>
      <c r="AI40" s="189"/>
      <c r="AJ40" s="172"/>
      <c r="AK40" s="172"/>
      <c r="AL40" s="172"/>
      <c r="AM40" s="172"/>
      <c r="AN40" s="172"/>
      <c r="AO40" s="172"/>
      <c r="AP40" s="170"/>
      <c r="AQ40" s="171"/>
      <c r="AR40" s="52"/>
    </row>
    <row r="41" spans="1:44" x14ac:dyDescent="0.25">
      <c r="A41" s="170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241"/>
      <c r="O41" s="177"/>
      <c r="P41" s="177"/>
      <c r="Q41" s="177"/>
      <c r="R41" s="177"/>
      <c r="S41" s="177"/>
      <c r="T41" s="177"/>
      <c r="U41" s="177"/>
      <c r="V41" s="177"/>
      <c r="W41" s="177"/>
      <c r="X41" s="171">
        <f t="shared" si="5"/>
        <v>0</v>
      </c>
      <c r="Y41" s="234" t="s">
        <v>165</v>
      </c>
      <c r="Z41" s="190"/>
      <c r="AA41" s="175"/>
      <c r="AB41" s="175"/>
      <c r="AC41" s="176"/>
      <c r="AD41" s="187">
        <f>X41*Z41/100</f>
        <v>0</v>
      </c>
      <c r="AE41" s="188"/>
      <c r="AF41" s="169">
        <f>X41*AB41/100</f>
        <v>0</v>
      </c>
      <c r="AG41" s="171"/>
      <c r="AH41" s="67">
        <f t="shared" si="2"/>
        <v>0</v>
      </c>
      <c r="AI41" s="189"/>
      <c r="AJ41" s="172"/>
      <c r="AK41" s="172"/>
      <c r="AL41" s="172"/>
      <c r="AM41" s="172"/>
      <c r="AN41" s="172"/>
      <c r="AO41" s="172"/>
      <c r="AP41" s="170"/>
      <c r="AQ41" s="171"/>
      <c r="AR41" s="52"/>
    </row>
    <row r="42" spans="1:44" x14ac:dyDescent="0.25">
      <c r="A42" s="170"/>
      <c r="B42" s="177"/>
      <c r="C42" s="388"/>
      <c r="D42" s="177"/>
      <c r="E42" s="388"/>
      <c r="F42" s="177"/>
      <c r="G42" s="177"/>
      <c r="H42" s="177"/>
      <c r="I42" s="69"/>
      <c r="J42" s="177"/>
      <c r="K42" s="177"/>
      <c r="L42" s="177"/>
      <c r="M42" s="177"/>
      <c r="N42" s="241"/>
      <c r="O42" s="177"/>
      <c r="P42" s="177"/>
      <c r="Q42" s="388"/>
      <c r="R42" s="177"/>
      <c r="S42" s="177"/>
      <c r="T42" s="177"/>
      <c r="U42" s="177"/>
      <c r="V42" s="177"/>
      <c r="W42" s="177"/>
      <c r="X42" s="171">
        <f t="shared" si="5"/>
        <v>0</v>
      </c>
      <c r="Y42" s="234" t="s">
        <v>167</v>
      </c>
      <c r="Z42" s="190"/>
      <c r="AA42" s="175"/>
      <c r="AB42" s="175"/>
      <c r="AC42" s="176"/>
      <c r="AD42" s="187">
        <f>X42*Z42/100</f>
        <v>0</v>
      </c>
      <c r="AE42" s="188"/>
      <c r="AF42" s="169">
        <f>X42*AB42/100</f>
        <v>0</v>
      </c>
      <c r="AG42" s="171"/>
      <c r="AH42" s="67">
        <f t="shared" si="2"/>
        <v>0</v>
      </c>
      <c r="AI42" s="189"/>
      <c r="AJ42" s="172"/>
      <c r="AK42" s="172"/>
      <c r="AL42" s="172"/>
      <c r="AM42" s="172"/>
      <c r="AN42" s="172"/>
      <c r="AO42" s="172"/>
      <c r="AP42" s="170"/>
      <c r="AQ42" s="171"/>
      <c r="AR42" s="52"/>
    </row>
    <row r="43" spans="1:44" x14ac:dyDescent="0.25">
      <c r="A43" s="170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241"/>
      <c r="O43" s="177"/>
      <c r="P43" s="177"/>
      <c r="Q43" s="177"/>
      <c r="R43" s="177"/>
      <c r="S43" s="177"/>
      <c r="T43" s="177"/>
      <c r="U43" s="177"/>
      <c r="V43" s="177"/>
      <c r="W43" s="177"/>
      <c r="X43" s="171">
        <f t="shared" si="5"/>
        <v>0</v>
      </c>
      <c r="Y43" s="235" t="s">
        <v>169</v>
      </c>
      <c r="Z43" s="190"/>
      <c r="AA43" s="175"/>
      <c r="AB43" s="175"/>
      <c r="AC43" s="176">
        <v>77.2</v>
      </c>
      <c r="AD43" s="187"/>
      <c r="AE43" s="188"/>
      <c r="AF43" s="169">
        <f>-SUM(AF40:AF42)</f>
        <v>0</v>
      </c>
      <c r="AG43" s="171">
        <f>-AF43*AC43/100</f>
        <v>0</v>
      </c>
      <c r="AH43" s="67">
        <f t="shared" si="2"/>
        <v>0</v>
      </c>
      <c r="AI43" s="186">
        <f>AG43*62.71%</f>
        <v>0</v>
      </c>
      <c r="AJ43" s="186">
        <f>AG43*9.72%</f>
        <v>0</v>
      </c>
      <c r="AK43" s="170">
        <f>AG43*12.13%</f>
        <v>0</v>
      </c>
      <c r="AL43" s="170">
        <f>AG43*7.13%</f>
        <v>0</v>
      </c>
      <c r="AM43" s="170">
        <f>AG43*0%</f>
        <v>0</v>
      </c>
      <c r="AN43" s="170">
        <f>AG43*6.34%</f>
        <v>0</v>
      </c>
      <c r="AO43" s="170">
        <f>AG43*1.97%</f>
        <v>0</v>
      </c>
      <c r="AP43" s="170"/>
      <c r="AQ43" s="171"/>
      <c r="AR43" s="52"/>
    </row>
    <row r="44" spans="1:44" x14ac:dyDescent="0.25">
      <c r="A44" s="170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241"/>
      <c r="O44" s="177"/>
      <c r="P44" s="177"/>
      <c r="Q44" s="177"/>
      <c r="R44" s="177"/>
      <c r="S44" s="389"/>
      <c r="T44" s="177"/>
      <c r="U44" s="177"/>
      <c r="V44" s="177"/>
      <c r="W44" s="177"/>
      <c r="X44" s="171">
        <f t="shared" si="5"/>
        <v>0</v>
      </c>
      <c r="Y44" s="234" t="s">
        <v>173</v>
      </c>
      <c r="Z44" s="190"/>
      <c r="AA44" s="175"/>
      <c r="AB44" s="175"/>
      <c r="AC44" s="173"/>
      <c r="AD44" s="169">
        <f>X44*Z44/100</f>
        <v>0</v>
      </c>
      <c r="AE44" s="171"/>
      <c r="AF44" s="169">
        <f t="shared" ref="AF44:AF51" si="6">X44*AB44/100</f>
        <v>0</v>
      </c>
      <c r="AG44" s="171"/>
      <c r="AH44" s="67">
        <f t="shared" si="2"/>
        <v>0</v>
      </c>
      <c r="AI44" s="186"/>
      <c r="AJ44" s="170"/>
      <c r="AK44" s="170"/>
      <c r="AL44" s="170"/>
      <c r="AM44" s="170"/>
      <c r="AN44" s="170"/>
      <c r="AO44" s="170"/>
      <c r="AP44" s="170"/>
      <c r="AQ44" s="171"/>
      <c r="AR44" s="52"/>
    </row>
    <row r="45" spans="1:44" x14ac:dyDescent="0.25">
      <c r="A45" s="170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241"/>
      <c r="O45" s="177"/>
      <c r="P45" s="177"/>
      <c r="Q45" s="177"/>
      <c r="R45" s="177"/>
      <c r="S45" s="177"/>
      <c r="T45" s="177"/>
      <c r="U45" s="177"/>
      <c r="V45" s="177"/>
      <c r="W45" s="177"/>
      <c r="X45" s="171">
        <f t="shared" si="5"/>
        <v>0</v>
      </c>
      <c r="Y45" s="234" t="s">
        <v>175</v>
      </c>
      <c r="Z45" s="190"/>
      <c r="AA45" s="175"/>
      <c r="AB45" s="175"/>
      <c r="AC45" s="173"/>
      <c r="AD45" s="169">
        <f>X45*Z45/100</f>
        <v>0</v>
      </c>
      <c r="AE45" s="171"/>
      <c r="AF45" s="169">
        <f t="shared" si="6"/>
        <v>0</v>
      </c>
      <c r="AG45" s="171"/>
      <c r="AH45" s="67">
        <f t="shared" si="2"/>
        <v>0</v>
      </c>
      <c r="AI45" s="186"/>
      <c r="AJ45" s="170"/>
      <c r="AK45" s="170"/>
      <c r="AL45" s="170"/>
      <c r="AM45" s="170"/>
      <c r="AN45" s="170"/>
      <c r="AO45" s="170"/>
      <c r="AP45" s="170"/>
      <c r="AQ45" s="171"/>
      <c r="AR45" s="52"/>
    </row>
    <row r="46" spans="1:44" x14ac:dyDescent="0.25">
      <c r="A46" s="172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241"/>
      <c r="O46" s="175"/>
      <c r="P46" s="175"/>
      <c r="Q46" s="175"/>
      <c r="R46" s="175"/>
      <c r="S46" s="390"/>
      <c r="T46" s="175"/>
      <c r="U46" s="175"/>
      <c r="V46" s="175"/>
      <c r="W46" s="175"/>
      <c r="X46" s="171">
        <f t="shared" si="5"/>
        <v>0</v>
      </c>
      <c r="Y46" s="235" t="s">
        <v>177</v>
      </c>
      <c r="Z46" s="190"/>
      <c r="AA46" s="175"/>
      <c r="AB46" s="175"/>
      <c r="AC46" s="173"/>
      <c r="AD46" s="169">
        <f>X46*Z46/100</f>
        <v>0</v>
      </c>
      <c r="AE46" s="171"/>
      <c r="AF46" s="169">
        <f t="shared" si="6"/>
        <v>0</v>
      </c>
      <c r="AG46" s="171"/>
      <c r="AH46" s="67">
        <f t="shared" si="2"/>
        <v>0</v>
      </c>
      <c r="AI46" s="186"/>
      <c r="AJ46" s="170"/>
      <c r="AK46" s="170"/>
      <c r="AL46" s="170"/>
      <c r="AM46" s="170"/>
      <c r="AN46" s="170"/>
      <c r="AO46" s="170"/>
      <c r="AP46" s="170"/>
      <c r="AQ46" s="171"/>
      <c r="AR46" s="52"/>
    </row>
    <row r="47" spans="1:44" x14ac:dyDescent="0.25">
      <c r="A47" s="172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241"/>
      <c r="O47" s="175"/>
      <c r="P47" s="175"/>
      <c r="Q47" s="175"/>
      <c r="R47" s="175"/>
      <c r="S47" s="390"/>
      <c r="T47" s="175"/>
      <c r="U47" s="175"/>
      <c r="V47" s="175"/>
      <c r="W47" s="175"/>
      <c r="X47" s="171">
        <f t="shared" si="5"/>
        <v>0</v>
      </c>
      <c r="Y47" s="235" t="s">
        <v>179</v>
      </c>
      <c r="Z47" s="190"/>
      <c r="AA47" s="175"/>
      <c r="AB47" s="175"/>
      <c r="AC47" s="173"/>
      <c r="AD47" s="169">
        <f>X47*Z47/100</f>
        <v>0</v>
      </c>
      <c r="AE47" s="171"/>
      <c r="AF47" s="169">
        <f t="shared" si="6"/>
        <v>0</v>
      </c>
      <c r="AG47" s="171"/>
      <c r="AH47" s="67">
        <f t="shared" si="2"/>
        <v>0</v>
      </c>
      <c r="AI47" s="186"/>
      <c r="AJ47" s="170"/>
      <c r="AK47" s="170"/>
      <c r="AL47" s="170"/>
      <c r="AM47" s="170"/>
      <c r="AN47" s="170"/>
      <c r="AO47" s="170"/>
      <c r="AP47" s="170"/>
      <c r="AQ47" s="171"/>
      <c r="AR47" s="52"/>
    </row>
    <row r="48" spans="1:44" x14ac:dyDescent="0.25">
      <c r="A48" s="170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>
        <f>AH48-AE48</f>
        <v>0</v>
      </c>
      <c r="O48" s="177"/>
      <c r="P48" s="177"/>
      <c r="Q48" s="177"/>
      <c r="R48" s="177"/>
      <c r="S48" s="177"/>
      <c r="T48" s="177"/>
      <c r="U48" s="177"/>
      <c r="V48" s="177"/>
      <c r="W48" s="177"/>
      <c r="X48" s="171">
        <f t="shared" si="5"/>
        <v>0</v>
      </c>
      <c r="Y48" s="235" t="s">
        <v>181</v>
      </c>
      <c r="Z48" s="187"/>
      <c r="AA48" s="177"/>
      <c r="AB48" s="177"/>
      <c r="AC48" s="188"/>
      <c r="AD48" s="190">
        <f>-AG48/$D$2%</f>
        <v>0</v>
      </c>
      <c r="AE48" s="176"/>
      <c r="AF48" s="187">
        <f>X48*AB48/100</f>
        <v>0</v>
      </c>
      <c r="AG48" s="176"/>
      <c r="AH48" s="192"/>
      <c r="AI48" s="189"/>
      <c r="AJ48" s="172"/>
      <c r="AK48" s="172"/>
      <c r="AL48" s="172"/>
      <c r="AM48" s="172"/>
      <c r="AN48" s="172"/>
      <c r="AO48" s="172"/>
      <c r="AP48" s="172"/>
      <c r="AQ48" s="173"/>
      <c r="AR48" s="159"/>
    </row>
    <row r="49" spans="1:44" x14ac:dyDescent="0.25">
      <c r="A49" s="170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1">
        <f t="shared" si="5"/>
        <v>0</v>
      </c>
      <c r="Y49" s="235" t="s">
        <v>183</v>
      </c>
      <c r="Z49" s="187"/>
      <c r="AA49" s="177"/>
      <c r="AB49" s="177"/>
      <c r="AC49" s="188"/>
      <c r="AD49" s="190">
        <f>-AG49/$D$2%</f>
        <v>0</v>
      </c>
      <c r="AE49" s="176"/>
      <c r="AF49" s="190">
        <f>X49*AB49/100</f>
        <v>0</v>
      </c>
      <c r="AG49" s="176"/>
      <c r="AH49" s="192"/>
      <c r="AI49" s="189"/>
      <c r="AJ49" s="172"/>
      <c r="AK49" s="172"/>
      <c r="AL49" s="172"/>
      <c r="AM49" s="172"/>
      <c r="AN49" s="172"/>
      <c r="AO49" s="172"/>
      <c r="AP49" s="172"/>
      <c r="AQ49" s="173"/>
      <c r="AR49" s="159"/>
    </row>
    <row r="50" spans="1:44" x14ac:dyDescent="0.25">
      <c r="A50" s="170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5"/>
      <c r="O50" s="177"/>
      <c r="P50" s="177"/>
      <c r="Q50" s="177"/>
      <c r="R50" s="177"/>
      <c r="S50" s="177"/>
      <c r="T50" s="177"/>
      <c r="U50" s="177"/>
      <c r="V50" s="177"/>
      <c r="W50" s="177"/>
      <c r="X50" s="171">
        <f t="shared" si="5"/>
        <v>0</v>
      </c>
      <c r="Y50" s="242" t="s">
        <v>185</v>
      </c>
      <c r="Z50" s="190"/>
      <c r="AA50" s="175"/>
      <c r="AB50" s="175"/>
      <c r="AC50" s="173"/>
      <c r="AD50" s="169"/>
      <c r="AE50" s="171"/>
      <c r="AF50" s="169">
        <f t="shared" si="6"/>
        <v>0</v>
      </c>
      <c r="AG50" s="171"/>
      <c r="AH50" s="67">
        <f t="shared" si="2"/>
        <v>0</v>
      </c>
      <c r="AI50" s="186"/>
      <c r="AJ50" s="170"/>
      <c r="AK50" s="170"/>
      <c r="AL50" s="170"/>
      <c r="AM50" s="170"/>
      <c r="AN50" s="170"/>
      <c r="AO50" s="170"/>
      <c r="AP50" s="170"/>
      <c r="AQ50" s="171"/>
      <c r="AR50" s="52"/>
    </row>
    <row r="51" spans="1:44" x14ac:dyDescent="0.25">
      <c r="A51" s="170"/>
      <c r="B51" s="17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175"/>
      <c r="O51" s="241"/>
      <c r="P51" s="241"/>
      <c r="Q51" s="241"/>
      <c r="R51" s="241"/>
      <c r="S51" s="241"/>
      <c r="T51" s="241"/>
      <c r="U51" s="241"/>
      <c r="V51" s="241"/>
      <c r="W51" s="241"/>
      <c r="X51" s="171">
        <f t="shared" si="4"/>
        <v>0</v>
      </c>
      <c r="Y51" s="234" t="s">
        <v>187</v>
      </c>
      <c r="Z51" s="190"/>
      <c r="AA51" s="175"/>
      <c r="AB51" s="175"/>
      <c r="AC51" s="173"/>
      <c r="AD51" s="169">
        <f>X51*Z51/100</f>
        <v>0</v>
      </c>
      <c r="AE51" s="171"/>
      <c r="AF51" s="169">
        <f t="shared" si="6"/>
        <v>0</v>
      </c>
      <c r="AG51" s="171"/>
      <c r="AH51" s="67">
        <f t="shared" si="2"/>
        <v>0</v>
      </c>
      <c r="AI51" s="186"/>
      <c r="AJ51" s="170"/>
      <c r="AK51" s="170"/>
      <c r="AL51" s="170"/>
      <c r="AM51" s="170"/>
      <c r="AN51" s="170"/>
      <c r="AO51" s="170"/>
      <c r="AP51" s="170"/>
      <c r="AQ51" s="171"/>
      <c r="AR51" s="52"/>
    </row>
    <row r="52" spans="1:44" x14ac:dyDescent="0.25">
      <c r="A52" s="170"/>
      <c r="B52" s="170"/>
      <c r="C52" s="240"/>
      <c r="D52" s="240"/>
      <c r="E52" s="240"/>
      <c r="F52" s="240"/>
      <c r="G52" s="240"/>
      <c r="H52" s="240"/>
      <c r="I52" s="240"/>
      <c r="J52" s="240"/>
      <c r="K52" s="240"/>
      <c r="L52" s="240"/>
      <c r="M52" s="240"/>
      <c r="N52" s="175"/>
      <c r="O52" s="241"/>
      <c r="P52" s="241"/>
      <c r="Q52" s="241"/>
      <c r="R52" s="241"/>
      <c r="S52" s="241"/>
      <c r="T52" s="241"/>
      <c r="U52" s="241"/>
      <c r="V52" s="241"/>
      <c r="W52" s="241"/>
      <c r="X52" s="171">
        <f t="shared" si="4"/>
        <v>0</v>
      </c>
      <c r="Y52" s="235" t="s">
        <v>189</v>
      </c>
      <c r="Z52" s="190"/>
      <c r="AA52" s="175"/>
      <c r="AB52" s="175"/>
      <c r="AC52" s="176">
        <v>77.2</v>
      </c>
      <c r="AD52" s="187"/>
      <c r="AE52" s="188"/>
      <c r="AF52" s="187">
        <f>-SUM(AF44:AF51)</f>
        <v>0</v>
      </c>
      <c r="AG52" s="188">
        <f>-AF52*AC52/100</f>
        <v>0</v>
      </c>
      <c r="AH52" s="67">
        <f t="shared" si="2"/>
        <v>0</v>
      </c>
      <c r="AI52" s="186">
        <f>AG52*62.71%</f>
        <v>0</v>
      </c>
      <c r="AJ52" s="186">
        <f>AG52*9.72%</f>
        <v>0</v>
      </c>
      <c r="AK52" s="170">
        <f>AG52*12.13%</f>
        <v>0</v>
      </c>
      <c r="AL52" s="170">
        <f>AG52*7.13%</f>
        <v>0</v>
      </c>
      <c r="AM52" s="170">
        <f>AG52*0%</f>
        <v>0</v>
      </c>
      <c r="AN52" s="170">
        <f>AG52*6.34%</f>
        <v>0</v>
      </c>
      <c r="AO52" s="170">
        <f>AG52*1.97%</f>
        <v>0</v>
      </c>
      <c r="AP52" s="170"/>
      <c r="AQ52" s="171"/>
      <c r="AR52" s="52"/>
    </row>
    <row r="53" spans="1:44" x14ac:dyDescent="0.25">
      <c r="A53" s="170"/>
      <c r="B53" s="170"/>
      <c r="C53" s="240"/>
      <c r="D53" s="240"/>
      <c r="E53" s="240"/>
      <c r="F53" s="240"/>
      <c r="G53" s="240"/>
      <c r="H53" s="240"/>
      <c r="I53" s="241"/>
      <c r="J53" s="240"/>
      <c r="K53" s="240"/>
      <c r="L53" s="240"/>
      <c r="M53" s="240"/>
      <c r="N53" s="175"/>
      <c r="O53" s="241"/>
      <c r="P53" s="241"/>
      <c r="Q53" s="241"/>
      <c r="R53" s="241"/>
      <c r="S53" s="241"/>
      <c r="T53" s="241"/>
      <c r="U53" s="241"/>
      <c r="V53" s="175">
        <v>9.1999999999999993</v>
      </c>
      <c r="W53" s="241"/>
      <c r="X53" s="171">
        <f t="shared" si="4"/>
        <v>9.1999999999999993</v>
      </c>
      <c r="Y53" s="234" t="s">
        <v>193</v>
      </c>
      <c r="Z53" s="190">
        <v>31</v>
      </c>
      <c r="AA53" s="175">
        <v>44.6</v>
      </c>
      <c r="AB53" s="175"/>
      <c r="AC53" s="173"/>
      <c r="AD53" s="187">
        <f>X53*Z53/100</f>
        <v>2.8519999999999999</v>
      </c>
      <c r="AE53" s="188"/>
      <c r="AF53" s="187">
        <f>X53*AB53/100</f>
        <v>0</v>
      </c>
      <c r="AG53" s="188"/>
      <c r="AH53" s="67">
        <f t="shared" ref="AH53:AH80" si="7">SUM(AI53:AQ53)</f>
        <v>4.1032000000000002</v>
      </c>
      <c r="AI53" s="186"/>
      <c r="AJ53" s="175">
        <f>X53*AA53/100</f>
        <v>4.1032000000000002</v>
      </c>
      <c r="AK53" s="172"/>
      <c r="AL53" s="172"/>
      <c r="AM53" s="172"/>
      <c r="AN53" s="172"/>
      <c r="AO53" s="172"/>
      <c r="AP53" s="172"/>
      <c r="AQ53" s="171"/>
      <c r="AR53" s="52"/>
    </row>
    <row r="54" spans="1:44" x14ac:dyDescent="0.25">
      <c r="A54" s="170"/>
      <c r="B54" s="17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175"/>
      <c r="O54" s="241"/>
      <c r="P54" s="241"/>
      <c r="Q54" s="241"/>
      <c r="R54" s="241"/>
      <c r="S54" s="241"/>
      <c r="T54" s="241"/>
      <c r="U54" s="241"/>
      <c r="V54" s="241"/>
      <c r="W54" s="241"/>
      <c r="X54" s="171">
        <f t="shared" si="4"/>
        <v>0</v>
      </c>
      <c r="Y54" s="234" t="s">
        <v>195</v>
      </c>
      <c r="Z54" s="190"/>
      <c r="AA54" s="175"/>
      <c r="AB54" s="175"/>
      <c r="AC54" s="173"/>
      <c r="AD54" s="187">
        <f>X54*Z54/100</f>
        <v>0</v>
      </c>
      <c r="AE54" s="188"/>
      <c r="AF54" s="187">
        <f>X54*AB54/100</f>
        <v>0</v>
      </c>
      <c r="AG54" s="188"/>
      <c r="AH54" s="67">
        <f t="shared" si="7"/>
        <v>0</v>
      </c>
      <c r="AI54" s="186"/>
      <c r="AJ54" s="175"/>
      <c r="AK54" s="172"/>
      <c r="AL54" s="172"/>
      <c r="AM54" s="172"/>
      <c r="AN54" s="172"/>
      <c r="AO54" s="172"/>
      <c r="AP54" s="172"/>
      <c r="AQ54" s="171"/>
      <c r="AR54" s="52"/>
    </row>
    <row r="55" spans="1:44" x14ac:dyDescent="0.25">
      <c r="A55" s="170"/>
      <c r="B55" s="17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175"/>
      <c r="O55" s="241"/>
      <c r="P55" s="241"/>
      <c r="Q55" s="241"/>
      <c r="R55" s="241"/>
      <c r="S55" s="241"/>
      <c r="T55" s="241"/>
      <c r="U55" s="241"/>
      <c r="V55" s="241"/>
      <c r="W55" s="241"/>
      <c r="X55" s="171">
        <f t="shared" si="4"/>
        <v>0</v>
      </c>
      <c r="Y55" s="235" t="s">
        <v>197</v>
      </c>
      <c r="Z55" s="190"/>
      <c r="AA55" s="175"/>
      <c r="AB55" s="175"/>
      <c r="AC55" s="176">
        <v>77.2</v>
      </c>
      <c r="AD55" s="187"/>
      <c r="AE55" s="188"/>
      <c r="AF55" s="187">
        <f>-SUM(AF53:AF54)</f>
        <v>0</v>
      </c>
      <c r="AG55" s="188">
        <f>-AF55*AC55/100</f>
        <v>0</v>
      </c>
      <c r="AH55" s="67">
        <f t="shared" si="7"/>
        <v>0</v>
      </c>
      <c r="AI55" s="186">
        <f>AG55*62.71%</f>
        <v>0</v>
      </c>
      <c r="AJ55" s="186">
        <f>AG55*9.72%</f>
        <v>0</v>
      </c>
      <c r="AK55" s="170">
        <f>AG55*12.13%</f>
        <v>0</v>
      </c>
      <c r="AL55" s="170">
        <f>AG55*7.13%</f>
        <v>0</v>
      </c>
      <c r="AM55" s="170">
        <f>AG55*0%</f>
        <v>0</v>
      </c>
      <c r="AN55" s="170">
        <f>AG55*6.34%</f>
        <v>0</v>
      </c>
      <c r="AO55" s="170">
        <f>AG55*1.97%</f>
        <v>0</v>
      </c>
      <c r="AP55" s="170"/>
      <c r="AQ55" s="171"/>
      <c r="AR55" s="52"/>
    </row>
    <row r="56" spans="1:44" x14ac:dyDescent="0.25">
      <c r="A56" s="170"/>
      <c r="B56" s="170"/>
      <c r="C56" s="240"/>
      <c r="D56" s="241"/>
      <c r="E56" s="241"/>
      <c r="F56" s="240"/>
      <c r="G56" s="240"/>
      <c r="H56" s="240"/>
      <c r="I56" s="241"/>
      <c r="J56" s="240"/>
      <c r="K56" s="240"/>
      <c r="L56" s="240"/>
      <c r="M56" s="240"/>
      <c r="N56" s="175"/>
      <c r="O56" s="241"/>
      <c r="P56" s="241"/>
      <c r="Q56" s="241"/>
      <c r="R56" s="241"/>
      <c r="S56" s="241"/>
      <c r="T56" s="241"/>
      <c r="U56" s="241"/>
      <c r="V56" s="241"/>
      <c r="W56" s="241"/>
      <c r="X56" s="171">
        <f t="shared" si="4"/>
        <v>0</v>
      </c>
      <c r="Y56" s="235" t="s">
        <v>201</v>
      </c>
      <c r="Z56" s="190"/>
      <c r="AA56" s="175"/>
      <c r="AB56" s="175"/>
      <c r="AC56" s="173"/>
      <c r="AD56" s="187"/>
      <c r="AE56" s="188"/>
      <c r="AF56" s="187">
        <f>X56*AB56/100</f>
        <v>0</v>
      </c>
      <c r="AG56" s="188"/>
      <c r="AH56" s="67">
        <f t="shared" si="7"/>
        <v>0</v>
      </c>
      <c r="AI56" s="186"/>
      <c r="AJ56" s="170"/>
      <c r="AK56" s="170"/>
      <c r="AL56" s="170"/>
      <c r="AM56" s="170"/>
      <c r="AN56" s="170"/>
      <c r="AO56" s="170"/>
      <c r="AP56" s="170"/>
      <c r="AQ56" s="171"/>
      <c r="AR56" s="52"/>
    </row>
    <row r="57" spans="1:44" x14ac:dyDescent="0.25">
      <c r="A57" s="170"/>
      <c r="B57" s="170"/>
      <c r="C57" s="243"/>
      <c r="D57" s="243"/>
      <c r="E57" s="243"/>
      <c r="F57" s="243"/>
      <c r="G57" s="243"/>
      <c r="H57" s="243"/>
      <c r="I57" s="244"/>
      <c r="J57" s="243"/>
      <c r="K57" s="243"/>
      <c r="L57" s="243"/>
      <c r="M57" s="243"/>
      <c r="N57" s="177">
        <f>AF57-AE57</f>
        <v>0</v>
      </c>
      <c r="O57" s="244"/>
      <c r="P57" s="244"/>
      <c r="Q57" s="244"/>
      <c r="R57" s="244"/>
      <c r="S57" s="244"/>
      <c r="T57" s="244"/>
      <c r="U57" s="244"/>
      <c r="V57" s="244"/>
      <c r="W57" s="244"/>
      <c r="X57" s="171">
        <f t="shared" si="4"/>
        <v>0</v>
      </c>
      <c r="Y57" s="235" t="s">
        <v>203</v>
      </c>
      <c r="Z57" s="187"/>
      <c r="AA57" s="177"/>
      <c r="AB57" s="177"/>
      <c r="AC57" s="188"/>
      <c r="AD57" s="187">
        <f>-AG57/$D$2%</f>
        <v>0</v>
      </c>
      <c r="AE57" s="188"/>
      <c r="AF57" s="187">
        <f>AE57*AB57%</f>
        <v>0</v>
      </c>
      <c r="AG57" s="171"/>
      <c r="AH57" s="67"/>
      <c r="AI57" s="186"/>
      <c r="AJ57" s="170"/>
      <c r="AK57" s="170"/>
      <c r="AL57" s="170"/>
      <c r="AM57" s="170"/>
      <c r="AN57" s="170"/>
      <c r="AO57" s="170"/>
      <c r="AP57" s="170"/>
      <c r="AQ57" s="171"/>
      <c r="AR57" s="52"/>
    </row>
    <row r="58" spans="1:44" x14ac:dyDescent="0.25">
      <c r="A58" s="177"/>
      <c r="B58" s="177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171">
        <f t="shared" si="4"/>
        <v>0</v>
      </c>
      <c r="Y58" s="235" t="s">
        <v>205</v>
      </c>
      <c r="Z58" s="187"/>
      <c r="AA58" s="177"/>
      <c r="AB58" s="177"/>
      <c r="AC58" s="188"/>
      <c r="AD58" s="187"/>
      <c r="AE58" s="188"/>
      <c r="AF58" s="187">
        <f>X58*AB58/100</f>
        <v>0</v>
      </c>
      <c r="AG58" s="188"/>
      <c r="AH58" s="67"/>
      <c r="AI58" s="186"/>
      <c r="AJ58" s="170"/>
      <c r="AK58" s="170"/>
      <c r="AL58" s="170"/>
      <c r="AM58" s="170"/>
      <c r="AN58" s="170"/>
      <c r="AO58" s="170"/>
      <c r="AP58" s="170"/>
      <c r="AQ58" s="171"/>
      <c r="AR58" s="52"/>
    </row>
    <row r="59" spans="1:44" x14ac:dyDescent="0.25">
      <c r="A59" s="170"/>
      <c r="B59" s="170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171">
        <f t="shared" si="4"/>
        <v>0</v>
      </c>
      <c r="Y59" s="235" t="s">
        <v>207</v>
      </c>
      <c r="Z59" s="187"/>
      <c r="AA59" s="177"/>
      <c r="AB59" s="177"/>
      <c r="AC59" s="188"/>
      <c r="AD59" s="187"/>
      <c r="AE59" s="188"/>
      <c r="AF59" s="187">
        <f>X59*AB59/100</f>
        <v>0</v>
      </c>
      <c r="AG59" s="188"/>
      <c r="AH59" s="67"/>
      <c r="AI59" s="186"/>
      <c r="AJ59" s="170"/>
      <c r="AK59" s="170"/>
      <c r="AL59" s="170"/>
      <c r="AM59" s="170"/>
      <c r="AN59" s="170"/>
      <c r="AO59" s="170"/>
      <c r="AP59" s="170"/>
      <c r="AQ59" s="171"/>
      <c r="AR59" s="52"/>
    </row>
    <row r="60" spans="1:44" x14ac:dyDescent="0.25">
      <c r="A60" s="170"/>
      <c r="B60" s="170"/>
      <c r="C60" s="240"/>
      <c r="D60" s="240"/>
      <c r="E60" s="240"/>
      <c r="F60" s="240"/>
      <c r="G60" s="240"/>
      <c r="H60" s="240"/>
      <c r="I60" s="245"/>
      <c r="J60" s="240"/>
      <c r="K60" s="240"/>
      <c r="L60" s="241"/>
      <c r="M60" s="240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171">
        <f t="shared" si="4"/>
        <v>0</v>
      </c>
      <c r="Y60" s="235" t="s">
        <v>362</v>
      </c>
      <c r="Z60" s="190"/>
      <c r="AA60" s="175"/>
      <c r="AB60" s="175"/>
      <c r="AC60" s="176"/>
      <c r="AD60" s="187"/>
      <c r="AE60" s="188"/>
      <c r="AF60" s="187">
        <f>X60*AB60/100</f>
        <v>0</v>
      </c>
      <c r="AG60" s="188"/>
      <c r="AH60" s="67">
        <f t="shared" si="7"/>
        <v>0</v>
      </c>
      <c r="AI60" s="186"/>
      <c r="AJ60" s="170"/>
      <c r="AK60" s="170"/>
      <c r="AL60" s="170"/>
      <c r="AM60" s="170"/>
      <c r="AN60" s="170"/>
      <c r="AO60" s="170"/>
      <c r="AP60" s="170"/>
      <c r="AQ60" s="171"/>
      <c r="AR60" s="52"/>
    </row>
    <row r="61" spans="1:44" x14ac:dyDescent="0.25">
      <c r="A61" s="169"/>
      <c r="B61" s="170"/>
      <c r="C61" s="240"/>
      <c r="D61" s="240"/>
      <c r="E61" s="240">
        <v>64.699699999999993</v>
      </c>
      <c r="F61" s="240"/>
      <c r="G61" s="240"/>
      <c r="H61" s="240"/>
      <c r="I61" s="240">
        <v>3000</v>
      </c>
      <c r="J61" s="240"/>
      <c r="K61" s="240"/>
      <c r="L61" s="240"/>
      <c r="M61" s="240"/>
      <c r="N61" s="241"/>
      <c r="O61" s="241"/>
      <c r="P61" s="241"/>
      <c r="Q61" s="241"/>
      <c r="R61" s="241"/>
      <c r="S61" s="241">
        <v>31.636600000000005</v>
      </c>
      <c r="T61" s="241"/>
      <c r="U61" s="241">
        <v>149.31334000000001</v>
      </c>
      <c r="V61" s="241">
        <v>9.7952999999999992</v>
      </c>
      <c r="W61" s="241">
        <v>122.16546</v>
      </c>
      <c r="X61" s="171">
        <v>3248.3719100000008</v>
      </c>
      <c r="Y61" s="234" t="s">
        <v>159</v>
      </c>
      <c r="Z61" s="190">
        <v>24.8</v>
      </c>
      <c r="AA61" s="175"/>
      <c r="AB61" s="175">
        <v>50.8</v>
      </c>
      <c r="AC61" s="176"/>
      <c r="AD61" s="187">
        <f>X61*Z61%</f>
        <v>805.59623368000018</v>
      </c>
      <c r="AE61" s="188"/>
      <c r="AF61" s="187">
        <f>X61*AB61%</f>
        <v>1650.1729302800004</v>
      </c>
      <c r="AG61" s="188"/>
      <c r="AH61" s="67">
        <f t="shared" si="7"/>
        <v>0</v>
      </c>
      <c r="AI61" s="186"/>
      <c r="AJ61" s="170"/>
      <c r="AK61" s="170"/>
      <c r="AL61" s="170"/>
      <c r="AM61" s="170"/>
      <c r="AN61" s="170"/>
      <c r="AO61" s="170"/>
      <c r="AP61" s="170"/>
      <c r="AQ61" s="171"/>
      <c r="AR61" s="52"/>
    </row>
    <row r="62" spans="1:44" x14ac:dyDescent="0.25">
      <c r="A62" s="170"/>
      <c r="B62" s="170"/>
      <c r="C62" s="240"/>
      <c r="D62" s="240"/>
      <c r="E62" s="240"/>
      <c r="F62" s="240"/>
      <c r="G62" s="240"/>
      <c r="H62" s="240"/>
      <c r="I62" s="245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171">
        <f t="shared" si="4"/>
        <v>0</v>
      </c>
      <c r="Y62" s="235" t="s">
        <v>211</v>
      </c>
      <c r="Z62" s="190"/>
      <c r="AA62" s="175"/>
      <c r="AB62" s="175"/>
      <c r="AC62" s="176">
        <v>77.2</v>
      </c>
      <c r="AD62" s="187"/>
      <c r="AE62" s="188"/>
      <c r="AF62" s="191">
        <f>-SUM(AF56:AF61)</f>
        <v>-1650.1729302800004</v>
      </c>
      <c r="AG62" s="188">
        <f>-AF62*AC62/100</f>
        <v>1273.9335021761603</v>
      </c>
      <c r="AH62" s="67">
        <f t="shared" si="7"/>
        <v>1273.9335021761606</v>
      </c>
      <c r="AI62" s="186">
        <f>AG62*62.71%</f>
        <v>798.88369921467017</v>
      </c>
      <c r="AJ62" s="186">
        <f>AG62*9.72%</f>
        <v>123.8263364115228</v>
      </c>
      <c r="AK62" s="170">
        <f>AG62*12.13%</f>
        <v>154.52813381396825</v>
      </c>
      <c r="AL62" s="170">
        <f>AG62*7.13%</f>
        <v>90.83145870516023</v>
      </c>
      <c r="AM62" s="170">
        <f>AG62*0%</f>
        <v>0</v>
      </c>
      <c r="AN62" s="170">
        <f>AG62*6.34%</f>
        <v>80.767384037968569</v>
      </c>
      <c r="AO62" s="170">
        <f>AG62*1.97%</f>
        <v>25.096489992870357</v>
      </c>
      <c r="AP62" s="170"/>
      <c r="AQ62" s="171"/>
      <c r="AR62" s="52"/>
    </row>
    <row r="63" spans="1:44" x14ac:dyDescent="0.25">
      <c r="A63" s="170"/>
      <c r="B63" s="170"/>
      <c r="C63" s="240"/>
      <c r="D63" s="240"/>
      <c r="E63" s="240"/>
      <c r="F63" s="240"/>
      <c r="G63" s="240"/>
      <c r="H63" s="240"/>
      <c r="I63" s="241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171">
        <f t="shared" si="4"/>
        <v>0</v>
      </c>
      <c r="Y63" s="234" t="s">
        <v>215</v>
      </c>
      <c r="Z63" s="190"/>
      <c r="AA63" s="175"/>
      <c r="AB63" s="175"/>
      <c r="AC63" s="173"/>
      <c r="AD63" s="169">
        <f t="shared" ref="AD63:AD68" si="8">Z63/100*X63</f>
        <v>0</v>
      </c>
      <c r="AE63" s="171"/>
      <c r="AF63" s="169">
        <f>X63*AB63/100</f>
        <v>0</v>
      </c>
      <c r="AG63" s="171"/>
      <c r="AH63" s="67">
        <f t="shared" si="7"/>
        <v>0</v>
      </c>
      <c r="AI63" s="186"/>
      <c r="AJ63" s="170"/>
      <c r="AK63" s="170"/>
      <c r="AL63" s="170"/>
      <c r="AM63" s="170"/>
      <c r="AN63" s="170"/>
      <c r="AO63" s="170"/>
      <c r="AP63" s="170"/>
      <c r="AQ63" s="171"/>
      <c r="AR63" s="52"/>
    </row>
    <row r="64" spans="1:44" x14ac:dyDescent="0.25">
      <c r="A64" s="170"/>
      <c r="B64" s="170"/>
      <c r="C64" s="240"/>
      <c r="D64" s="240"/>
      <c r="E64" s="240"/>
      <c r="F64" s="240"/>
      <c r="G64" s="240"/>
      <c r="H64" s="240"/>
      <c r="I64" s="175">
        <v>2.376E-2</v>
      </c>
      <c r="J64" s="240"/>
      <c r="K64" s="240"/>
      <c r="L64" s="240"/>
      <c r="M64" s="240"/>
      <c r="N64" s="240"/>
      <c r="O64" s="241"/>
      <c r="P64" s="241"/>
      <c r="Q64" s="241"/>
      <c r="R64" s="241"/>
      <c r="S64" s="241"/>
      <c r="T64" s="241"/>
      <c r="U64" s="240"/>
      <c r="V64" s="240"/>
      <c r="W64" s="240"/>
      <c r="X64" s="171">
        <f t="shared" si="4"/>
        <v>2.376E-2</v>
      </c>
      <c r="Y64" s="234" t="s">
        <v>217</v>
      </c>
      <c r="Z64" s="190">
        <v>38.299999999999997</v>
      </c>
      <c r="AA64" s="175">
        <v>44.8</v>
      </c>
      <c r="AB64" s="175"/>
      <c r="AC64" s="173"/>
      <c r="AD64" s="169">
        <f t="shared" si="8"/>
        <v>9.1000799999999982E-3</v>
      </c>
      <c r="AE64" s="171"/>
      <c r="AF64" s="169">
        <f>X64*AB64/100</f>
        <v>0</v>
      </c>
      <c r="AG64" s="171"/>
      <c r="AH64" s="67">
        <f t="shared" si="7"/>
        <v>1.0644479999999998E-2</v>
      </c>
      <c r="AI64" s="186"/>
      <c r="AJ64" s="170"/>
      <c r="AK64" s="170"/>
      <c r="AL64" s="170"/>
      <c r="AM64" s="170">
        <f>X64*AA64/100</f>
        <v>1.0644479999999998E-2</v>
      </c>
      <c r="AN64" s="170"/>
      <c r="AO64" s="170"/>
      <c r="AP64" s="170"/>
      <c r="AQ64" s="171"/>
      <c r="AR64" s="52"/>
    </row>
    <row r="65" spans="1:44" x14ac:dyDescent="0.25">
      <c r="A65" s="170"/>
      <c r="B65" s="170"/>
      <c r="C65" s="240"/>
      <c r="D65" s="240"/>
      <c r="E65" s="240"/>
      <c r="F65" s="240"/>
      <c r="G65" s="240"/>
      <c r="H65" s="240"/>
      <c r="I65" s="241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171">
        <f t="shared" si="4"/>
        <v>0</v>
      </c>
      <c r="Y65" s="234" t="s">
        <v>219</v>
      </c>
      <c r="Z65" s="190"/>
      <c r="AA65" s="175"/>
      <c r="AB65" s="175"/>
      <c r="AC65" s="173"/>
      <c r="AD65" s="169">
        <f t="shared" si="8"/>
        <v>0</v>
      </c>
      <c r="AE65" s="171"/>
      <c r="AF65" s="169">
        <f>X65*AB65/100</f>
        <v>0</v>
      </c>
      <c r="AG65" s="171"/>
      <c r="AH65" s="67">
        <f t="shared" si="7"/>
        <v>0</v>
      </c>
      <c r="AI65" s="186"/>
      <c r="AJ65" s="170"/>
      <c r="AK65" s="170"/>
      <c r="AL65" s="170"/>
      <c r="AM65" s="170"/>
      <c r="AN65" s="170"/>
      <c r="AO65" s="170"/>
      <c r="AP65" s="170"/>
      <c r="AQ65" s="171"/>
      <c r="AR65" s="52"/>
    </row>
    <row r="66" spans="1:44" x14ac:dyDescent="0.25">
      <c r="A66" s="170"/>
      <c r="B66" s="170"/>
      <c r="C66" s="177"/>
      <c r="D66" s="177"/>
      <c r="E66" s="177"/>
      <c r="F66" s="177"/>
      <c r="G66" s="177"/>
      <c r="H66" s="177"/>
      <c r="I66" s="177"/>
      <c r="J66" s="170"/>
      <c r="K66" s="170"/>
      <c r="L66" s="170"/>
      <c r="M66" s="170"/>
      <c r="N66" s="170"/>
      <c r="O66" s="170"/>
      <c r="P66" s="177"/>
      <c r="Q66" s="170"/>
      <c r="R66" s="170"/>
      <c r="S66" s="177"/>
      <c r="T66" s="170"/>
      <c r="U66" s="170"/>
      <c r="V66" s="177"/>
      <c r="W66" s="170"/>
      <c r="X66" s="171">
        <f t="shared" si="4"/>
        <v>0</v>
      </c>
      <c r="Y66" s="234" t="s">
        <v>221</v>
      </c>
      <c r="Z66" s="190"/>
      <c r="AA66" s="175"/>
      <c r="AB66" s="175"/>
      <c r="AC66" s="173"/>
      <c r="AD66" s="169">
        <f t="shared" si="8"/>
        <v>0</v>
      </c>
      <c r="AE66" s="171"/>
      <c r="AF66" s="169">
        <f>X66*AB66/100</f>
        <v>0</v>
      </c>
      <c r="AG66" s="171"/>
      <c r="AH66" s="67">
        <f t="shared" si="7"/>
        <v>0</v>
      </c>
      <c r="AI66" s="186"/>
      <c r="AJ66" s="170"/>
      <c r="AK66" s="170"/>
      <c r="AL66" s="170"/>
      <c r="AM66" s="170"/>
      <c r="AN66" s="170"/>
      <c r="AO66" s="170"/>
      <c r="AP66" s="170"/>
      <c r="AQ66" s="171"/>
      <c r="AR66" s="52"/>
    </row>
    <row r="67" spans="1:44" x14ac:dyDescent="0.25">
      <c r="A67" s="170"/>
      <c r="B67" s="170"/>
      <c r="C67" s="177"/>
      <c r="D67" s="177"/>
      <c r="E67" s="177"/>
      <c r="F67" s="177"/>
      <c r="G67" s="177"/>
      <c r="H67" s="177"/>
      <c r="I67" s="177"/>
      <c r="J67" s="170"/>
      <c r="K67" s="170"/>
      <c r="L67" s="170"/>
      <c r="M67" s="170"/>
      <c r="N67" s="170"/>
      <c r="O67" s="170"/>
      <c r="P67" s="177"/>
      <c r="Q67" s="170"/>
      <c r="R67" s="170"/>
      <c r="S67" s="170"/>
      <c r="T67" s="170"/>
      <c r="U67" s="170"/>
      <c r="V67" s="177"/>
      <c r="W67" s="170"/>
      <c r="X67" s="171">
        <f t="shared" si="4"/>
        <v>0</v>
      </c>
      <c r="Y67" s="234" t="s">
        <v>223</v>
      </c>
      <c r="Z67" s="190"/>
      <c r="AA67" s="175"/>
      <c r="AB67" s="175"/>
      <c r="AC67" s="173"/>
      <c r="AD67" s="169">
        <f t="shared" si="8"/>
        <v>0</v>
      </c>
      <c r="AE67" s="171"/>
      <c r="AF67" s="169">
        <f>X67*AB67/100</f>
        <v>0</v>
      </c>
      <c r="AG67" s="171"/>
      <c r="AH67" s="67">
        <f t="shared" si="7"/>
        <v>0</v>
      </c>
      <c r="AI67" s="186"/>
      <c r="AJ67" s="170"/>
      <c r="AK67" s="170"/>
      <c r="AL67" s="170"/>
      <c r="AM67" s="170"/>
      <c r="AN67" s="170"/>
      <c r="AO67" s="170"/>
      <c r="AP67" s="170"/>
      <c r="AQ67" s="171"/>
      <c r="AR67" s="52"/>
    </row>
    <row r="68" spans="1:44" x14ac:dyDescent="0.25">
      <c r="A68" s="170"/>
      <c r="B68" s="170"/>
      <c r="C68" s="177"/>
      <c r="D68" s="177"/>
      <c r="E68" s="177"/>
      <c r="F68" s="177"/>
      <c r="G68" s="177"/>
      <c r="H68" s="177"/>
      <c r="I68" s="177"/>
      <c r="J68" s="170"/>
      <c r="K68" s="170"/>
      <c r="L68" s="170"/>
      <c r="M68" s="170"/>
      <c r="N68" s="170"/>
      <c r="O68" s="170"/>
      <c r="P68" s="177"/>
      <c r="Q68" s="170"/>
      <c r="R68" s="170"/>
      <c r="S68" s="177"/>
      <c r="T68" s="170"/>
      <c r="U68" s="170"/>
      <c r="V68" s="177"/>
      <c r="W68" s="170"/>
      <c r="X68" s="171">
        <f t="shared" si="4"/>
        <v>0</v>
      </c>
      <c r="Y68" s="234" t="s">
        <v>225</v>
      </c>
      <c r="Z68" s="190"/>
      <c r="AA68" s="175"/>
      <c r="AB68" s="175"/>
      <c r="AC68" s="173"/>
      <c r="AD68" s="169">
        <f t="shared" si="8"/>
        <v>0</v>
      </c>
      <c r="AE68" s="173"/>
      <c r="AF68" s="190">
        <v>407.36084999999997</v>
      </c>
      <c r="AG68" s="171"/>
      <c r="AH68" s="67">
        <f t="shared" si="7"/>
        <v>0</v>
      </c>
      <c r="AI68" s="186"/>
      <c r="AJ68" s="170"/>
      <c r="AK68" s="170"/>
      <c r="AL68" s="170"/>
      <c r="AM68" s="170"/>
      <c r="AN68" s="170"/>
      <c r="AO68" s="170"/>
      <c r="AP68" s="170"/>
      <c r="AQ68" s="171"/>
      <c r="AR68" s="52"/>
    </row>
    <row r="69" spans="1:44" x14ac:dyDescent="0.25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7"/>
      <c r="W69" s="170"/>
      <c r="X69" s="171">
        <f t="shared" si="4"/>
        <v>0</v>
      </c>
      <c r="Y69" s="242" t="s">
        <v>227</v>
      </c>
      <c r="Z69" s="191"/>
      <c r="AA69" s="172"/>
      <c r="AB69" s="172"/>
      <c r="AC69" s="196"/>
      <c r="AD69" s="169">
        <v>0</v>
      </c>
      <c r="AE69" s="176">
        <v>0</v>
      </c>
      <c r="AF69" s="191"/>
      <c r="AG69" s="171"/>
      <c r="AH69" s="67">
        <f t="shared" si="7"/>
        <v>0</v>
      </c>
      <c r="AI69" s="186"/>
      <c r="AJ69" s="170"/>
      <c r="AK69" s="170"/>
      <c r="AL69" s="170"/>
      <c r="AM69" s="170"/>
      <c r="AN69" s="170">
        <f>AE69</f>
        <v>0</v>
      </c>
      <c r="AO69" s="170"/>
      <c r="AP69" s="170"/>
      <c r="AQ69" s="171"/>
      <c r="AR69" s="52"/>
    </row>
    <row r="70" spans="1:44" x14ac:dyDescent="0.25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1">
        <f t="shared" si="4"/>
        <v>0</v>
      </c>
      <c r="Y70" s="242" t="s">
        <v>229</v>
      </c>
      <c r="Z70" s="191"/>
      <c r="AA70" s="172"/>
      <c r="AB70" s="172"/>
      <c r="AC70" s="173"/>
      <c r="AD70" s="169"/>
      <c r="AE70" s="173"/>
      <c r="AF70" s="190"/>
      <c r="AG70" s="246"/>
      <c r="AH70" s="67">
        <f t="shared" si="7"/>
        <v>0</v>
      </c>
      <c r="AI70" s="186"/>
      <c r="AJ70" s="170"/>
      <c r="AK70" s="170"/>
      <c r="AL70" s="170"/>
      <c r="AM70" s="170"/>
      <c r="AN70" s="170">
        <f>-AF70</f>
        <v>0</v>
      </c>
      <c r="AO70" s="170"/>
      <c r="AP70" s="170"/>
      <c r="AQ70" s="171"/>
      <c r="AR70" s="52"/>
    </row>
    <row r="71" spans="1:44" x14ac:dyDescent="0.25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7"/>
      <c r="Q71" s="170"/>
      <c r="R71" s="170"/>
      <c r="S71" s="170"/>
      <c r="T71" s="170"/>
      <c r="U71" s="170"/>
      <c r="V71" s="170"/>
      <c r="W71" s="170"/>
      <c r="X71" s="171">
        <f t="shared" si="4"/>
        <v>0</v>
      </c>
      <c r="Y71" s="235" t="s">
        <v>231</v>
      </c>
      <c r="Z71" s="191"/>
      <c r="AA71" s="172"/>
      <c r="AB71" s="172"/>
      <c r="AC71" s="176">
        <v>77.2</v>
      </c>
      <c r="AD71" s="169"/>
      <c r="AE71" s="171"/>
      <c r="AF71" s="169">
        <f>-SUM(AF63:AF70)</f>
        <v>-407.36084999999997</v>
      </c>
      <c r="AG71" s="171">
        <f>-AF71*AC71/100</f>
        <v>314.48257619999998</v>
      </c>
      <c r="AH71" s="67">
        <f t="shared" si="7"/>
        <v>314.48257619999998</v>
      </c>
      <c r="AI71" s="186">
        <f>AG71*62.71%</f>
        <v>197.21202353501999</v>
      </c>
      <c r="AJ71" s="186">
        <f>AG71*9.72%</f>
        <v>30.567706406639999</v>
      </c>
      <c r="AK71" s="170">
        <f>AG71*12.13%</f>
        <v>38.146736493059997</v>
      </c>
      <c r="AL71" s="170">
        <f>AG71*7.13%</f>
        <v>22.422607683060001</v>
      </c>
      <c r="AM71" s="170">
        <f>AG71*0%</f>
        <v>0</v>
      </c>
      <c r="AN71" s="170">
        <f>AG71*6.34%</f>
        <v>19.938195331079999</v>
      </c>
      <c r="AO71" s="170">
        <f>AG71*1.97%</f>
        <v>6.1953067511399995</v>
      </c>
      <c r="AP71" s="170"/>
      <c r="AQ71" s="171"/>
      <c r="AR71" s="52"/>
    </row>
    <row r="72" spans="1:44" x14ac:dyDescent="0.25">
      <c r="A72" s="169"/>
      <c r="B72" s="170"/>
      <c r="C72" s="170"/>
      <c r="D72" s="170"/>
      <c r="E72" s="170"/>
      <c r="F72" s="175"/>
      <c r="G72" s="175"/>
      <c r="H72" s="175">
        <v>731.45758499999999</v>
      </c>
      <c r="I72" s="175"/>
      <c r="J72" s="175"/>
      <c r="K72" s="175"/>
      <c r="L72" s="175"/>
      <c r="M72" s="175"/>
      <c r="N72" s="175"/>
      <c r="O72" s="175"/>
      <c r="P72" s="175">
        <v>1.392415</v>
      </c>
      <c r="Q72" s="170"/>
      <c r="R72" s="170"/>
      <c r="S72" s="170"/>
      <c r="T72" s="170"/>
      <c r="U72" s="170"/>
      <c r="V72" s="170"/>
      <c r="W72" s="170"/>
      <c r="X72" s="171">
        <f t="shared" si="4"/>
        <v>732.85</v>
      </c>
      <c r="Y72" s="235" t="s">
        <v>241</v>
      </c>
      <c r="Z72" s="169"/>
      <c r="AA72" s="170">
        <v>20</v>
      </c>
      <c r="AB72" s="170"/>
      <c r="AC72" s="171"/>
      <c r="AD72" s="169"/>
      <c r="AE72" s="171"/>
      <c r="AF72" s="169"/>
      <c r="AG72" s="171"/>
      <c r="AH72" s="67">
        <f t="shared" si="7"/>
        <v>146.57</v>
      </c>
      <c r="AI72" s="186"/>
      <c r="AJ72" s="170"/>
      <c r="AK72" s="170"/>
      <c r="AL72" s="170"/>
      <c r="AM72" s="170"/>
      <c r="AN72" s="170"/>
      <c r="AO72" s="170"/>
      <c r="AP72" s="170"/>
      <c r="AQ72" s="171">
        <f>X72*AA72/100</f>
        <v>146.57</v>
      </c>
      <c r="AR72" s="52"/>
    </row>
    <row r="73" spans="1:44" x14ac:dyDescent="0.25">
      <c r="A73" s="169"/>
      <c r="B73" s="170"/>
      <c r="C73" s="170"/>
      <c r="D73" s="170"/>
      <c r="E73" s="170"/>
      <c r="F73" s="175">
        <v>177.89</v>
      </c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0"/>
      <c r="R73" s="170"/>
      <c r="S73" s="170"/>
      <c r="T73" s="170"/>
      <c r="U73" s="170"/>
      <c r="V73" s="170"/>
      <c r="W73" s="170"/>
      <c r="X73" s="171">
        <f t="shared" si="4"/>
        <v>177.89</v>
      </c>
      <c r="Y73" s="235" t="s">
        <v>243</v>
      </c>
      <c r="Z73" s="169"/>
      <c r="AA73" s="170">
        <v>25</v>
      </c>
      <c r="AB73" s="170"/>
      <c r="AC73" s="171"/>
      <c r="AD73" s="169"/>
      <c r="AE73" s="171"/>
      <c r="AF73" s="169"/>
      <c r="AG73" s="171"/>
      <c r="AH73" s="67">
        <f t="shared" si="7"/>
        <v>44.472499999999997</v>
      </c>
      <c r="AI73" s="186"/>
      <c r="AJ73" s="170"/>
      <c r="AK73" s="170"/>
      <c r="AL73" s="170"/>
      <c r="AM73" s="170"/>
      <c r="AN73" s="170"/>
      <c r="AO73" s="170"/>
      <c r="AP73" s="170"/>
      <c r="AQ73" s="171">
        <f>X73*AA73/100</f>
        <v>44.472499999999997</v>
      </c>
      <c r="AR73" s="52"/>
    </row>
    <row r="74" spans="1:44" x14ac:dyDescent="0.25">
      <c r="A74" s="169"/>
      <c r="B74" s="170"/>
      <c r="C74" s="170"/>
      <c r="D74" s="170"/>
      <c r="E74" s="170"/>
      <c r="F74" s="175">
        <f>186</f>
        <v>186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0"/>
      <c r="R74" s="170"/>
      <c r="S74" s="170"/>
      <c r="T74" s="170"/>
      <c r="U74" s="170"/>
      <c r="V74" s="170"/>
      <c r="W74" s="170"/>
      <c r="X74" s="171">
        <f>SUM(A74:W74)</f>
        <v>186</v>
      </c>
      <c r="Y74" s="235" t="s">
        <v>244</v>
      </c>
      <c r="Z74" s="169"/>
      <c r="AA74" s="170">
        <v>25</v>
      </c>
      <c r="AB74" s="170"/>
      <c r="AC74" s="171"/>
      <c r="AD74" s="169"/>
      <c r="AE74" s="171"/>
      <c r="AF74" s="169"/>
      <c r="AG74" s="171"/>
      <c r="AH74" s="67">
        <f t="shared" si="7"/>
        <v>46.5</v>
      </c>
      <c r="AI74" s="186"/>
      <c r="AJ74" s="170"/>
      <c r="AK74" s="170"/>
      <c r="AL74" s="170"/>
      <c r="AM74" s="170"/>
      <c r="AN74" s="170"/>
      <c r="AO74" s="170"/>
      <c r="AP74" s="170"/>
      <c r="AQ74" s="171">
        <f>X74*AA74/100</f>
        <v>46.5</v>
      </c>
      <c r="AR74" s="52"/>
    </row>
    <row r="75" spans="1:44" x14ac:dyDescent="0.25">
      <c r="A75" s="169"/>
      <c r="B75" s="170"/>
      <c r="C75" s="170"/>
      <c r="D75" s="170"/>
      <c r="E75" s="170"/>
      <c r="F75" s="175">
        <v>16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0"/>
      <c r="R75" s="170"/>
      <c r="S75" s="170"/>
      <c r="T75" s="170"/>
      <c r="U75" s="170"/>
      <c r="V75" s="170"/>
      <c r="W75" s="170"/>
      <c r="X75" s="171">
        <f t="shared" si="4"/>
        <v>16</v>
      </c>
      <c r="Y75" s="234" t="s">
        <v>246</v>
      </c>
      <c r="Z75" s="169"/>
      <c r="AA75" s="170">
        <v>33</v>
      </c>
      <c r="AB75" s="170"/>
      <c r="AC75" s="171"/>
      <c r="AD75" s="169"/>
      <c r="AE75" s="171"/>
      <c r="AF75" s="169"/>
      <c r="AG75" s="171"/>
      <c r="AH75" s="67">
        <f t="shared" si="7"/>
        <v>5.28</v>
      </c>
      <c r="AI75" s="186"/>
      <c r="AJ75" s="170"/>
      <c r="AK75" s="170"/>
      <c r="AL75" s="170"/>
      <c r="AM75" s="170"/>
      <c r="AN75" s="170"/>
      <c r="AO75" s="170"/>
      <c r="AP75" s="170"/>
      <c r="AQ75" s="171">
        <f>X75*AA75/100</f>
        <v>5.28</v>
      </c>
      <c r="AR75" s="52"/>
    </row>
    <row r="76" spans="1:44" x14ac:dyDescent="0.25">
      <c r="A76" s="169"/>
      <c r="B76" s="170"/>
      <c r="C76" s="170"/>
      <c r="D76" s="170"/>
      <c r="E76" s="170"/>
      <c r="F76" s="175">
        <v>437.26</v>
      </c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0"/>
      <c r="R76" s="170"/>
      <c r="S76" s="170"/>
      <c r="T76" s="170"/>
      <c r="U76" s="170"/>
      <c r="V76" s="170"/>
      <c r="W76" s="170"/>
      <c r="X76" s="171">
        <f t="shared" si="4"/>
        <v>437.26</v>
      </c>
      <c r="Y76" s="235" t="s">
        <v>248</v>
      </c>
      <c r="Z76" s="169"/>
      <c r="AA76" s="170">
        <v>33</v>
      </c>
      <c r="AB76" s="170"/>
      <c r="AC76" s="171"/>
      <c r="AD76" s="169"/>
      <c r="AE76" s="171"/>
      <c r="AF76" s="169"/>
      <c r="AG76" s="171"/>
      <c r="AH76" s="67">
        <f t="shared" si="7"/>
        <v>144.29579999999999</v>
      </c>
      <c r="AI76" s="186"/>
      <c r="AJ76" s="170"/>
      <c r="AK76" s="170"/>
      <c r="AL76" s="170"/>
      <c r="AM76" s="170"/>
      <c r="AN76" s="170"/>
      <c r="AO76" s="170"/>
      <c r="AP76" s="170"/>
      <c r="AQ76" s="171">
        <f>X76*AA76/100</f>
        <v>144.29579999999999</v>
      </c>
      <c r="AR76" s="52"/>
    </row>
    <row r="77" spans="1:44" x14ac:dyDescent="0.25">
      <c r="A77" s="169"/>
      <c r="B77" s="170"/>
      <c r="C77" s="170"/>
      <c r="D77" s="170"/>
      <c r="E77" s="170"/>
      <c r="F77" s="138">
        <v>30.5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0"/>
      <c r="R77" s="170"/>
      <c r="S77" s="170"/>
      <c r="T77" s="170"/>
      <c r="U77" s="170"/>
      <c r="V77" s="170"/>
      <c r="W77" s="170"/>
      <c r="X77" s="171">
        <f t="shared" si="4"/>
        <v>30.5</v>
      </c>
      <c r="Y77" s="234" t="s">
        <v>285</v>
      </c>
      <c r="Z77" s="169"/>
      <c r="AA77" s="170">
        <v>33</v>
      </c>
      <c r="AB77" s="170"/>
      <c r="AC77" s="171"/>
      <c r="AD77" s="169"/>
      <c r="AE77" s="171"/>
      <c r="AF77" s="169"/>
      <c r="AG77" s="171"/>
      <c r="AH77" s="67">
        <f t="shared" si="7"/>
        <v>10.065000000000001</v>
      </c>
      <c r="AI77" s="186"/>
      <c r="AJ77" s="170"/>
      <c r="AK77" s="170"/>
      <c r="AL77" s="170"/>
      <c r="AM77" s="170"/>
      <c r="AN77" s="170"/>
      <c r="AO77" s="170"/>
      <c r="AP77" s="170">
        <f>X77*AA77%</f>
        <v>10.065000000000001</v>
      </c>
      <c r="AQ77" s="171"/>
      <c r="AR77" s="52"/>
    </row>
    <row r="78" spans="1:44" x14ac:dyDescent="0.25">
      <c r="A78" s="197"/>
      <c r="B78" s="198"/>
      <c r="C78" s="198"/>
      <c r="D78" s="199"/>
      <c r="E78" s="199"/>
      <c r="F78" s="247">
        <v>27.8</v>
      </c>
      <c r="G78" s="199"/>
      <c r="H78" s="199"/>
      <c r="I78" s="199"/>
      <c r="J78" s="199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71">
        <f t="shared" si="4"/>
        <v>27.8</v>
      </c>
      <c r="Y78" s="248" t="s">
        <v>250</v>
      </c>
      <c r="Z78" s="197"/>
      <c r="AA78" s="170">
        <v>33</v>
      </c>
      <c r="AB78" s="198"/>
      <c r="AC78" s="200"/>
      <c r="AD78" s="169">
        <f>-AE78/$D$2%</f>
        <v>0</v>
      </c>
      <c r="AE78" s="201"/>
      <c r="AF78" s="197"/>
      <c r="AG78" s="200"/>
      <c r="AH78" s="67">
        <f t="shared" si="7"/>
        <v>9.1739999999999995</v>
      </c>
      <c r="AI78" s="70"/>
      <c r="AJ78" s="198"/>
      <c r="AK78" s="198"/>
      <c r="AL78" s="198"/>
      <c r="AM78" s="198"/>
      <c r="AN78" s="198"/>
      <c r="AO78" s="198"/>
      <c r="AP78" s="198"/>
      <c r="AQ78" s="171">
        <f>X78*AA78/100+AE78*AA78%</f>
        <v>9.1739999999999995</v>
      </c>
      <c r="AR78" s="52"/>
    </row>
    <row r="79" spans="1:44" x14ac:dyDescent="0.25">
      <c r="A79" s="197"/>
      <c r="B79" s="198"/>
      <c r="C79" s="198"/>
      <c r="D79" s="199"/>
      <c r="E79" s="199"/>
      <c r="F79" s="199"/>
      <c r="G79" s="249">
        <v>352.5</v>
      </c>
      <c r="H79" s="177">
        <v>0.9</v>
      </c>
      <c r="I79" s="199"/>
      <c r="J79" s="199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71">
        <f t="shared" si="4"/>
        <v>353.4</v>
      </c>
      <c r="Y79" s="248" t="s">
        <v>252</v>
      </c>
      <c r="Z79" s="197"/>
      <c r="AA79" s="170">
        <v>33</v>
      </c>
      <c r="AB79" s="198"/>
      <c r="AC79" s="200"/>
      <c r="AD79" s="197"/>
      <c r="AE79" s="200"/>
      <c r="AF79" s="197"/>
      <c r="AG79" s="200"/>
      <c r="AH79" s="67">
        <f t="shared" si="7"/>
        <v>116.62199999999999</v>
      </c>
      <c r="AI79" s="202"/>
      <c r="AJ79" s="198"/>
      <c r="AK79" s="198"/>
      <c r="AL79" s="198"/>
      <c r="AM79" s="198"/>
      <c r="AN79" s="198"/>
      <c r="AO79" s="198"/>
      <c r="AP79" s="198"/>
      <c r="AQ79" s="171">
        <f>X79*AA79/100</f>
        <v>116.62199999999999</v>
      </c>
      <c r="AR79" s="52"/>
    </row>
    <row r="80" spans="1:44" ht="15.75" thickBot="1" x14ac:dyDescent="0.3">
      <c r="A80" s="197"/>
      <c r="B80" s="198"/>
      <c r="C80" s="198"/>
      <c r="D80" s="247">
        <v>11.6</v>
      </c>
      <c r="E80" s="199"/>
      <c r="F80" s="247">
        <v>54.3</v>
      </c>
      <c r="G80" s="199"/>
      <c r="H80" s="199"/>
      <c r="I80" s="199"/>
      <c r="J80" s="199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200">
        <f t="shared" si="4"/>
        <v>65.899999999999991</v>
      </c>
      <c r="Y80" s="250" t="s">
        <v>254</v>
      </c>
      <c r="Z80" s="203"/>
      <c r="AA80" s="170">
        <v>33</v>
      </c>
      <c r="AB80" s="204"/>
      <c r="AC80" s="205"/>
      <c r="AD80" s="203"/>
      <c r="AE80" s="205"/>
      <c r="AF80" s="203"/>
      <c r="AG80" s="205"/>
      <c r="AH80" s="71">
        <f t="shared" si="7"/>
        <v>21.747</v>
      </c>
      <c r="AI80" s="206"/>
      <c r="AJ80" s="204"/>
      <c r="AK80" s="204"/>
      <c r="AL80" s="204"/>
      <c r="AM80" s="204"/>
      <c r="AN80" s="204"/>
      <c r="AO80" s="204"/>
      <c r="AP80" s="204"/>
      <c r="AQ80" s="171">
        <f>X80*AA80/100</f>
        <v>21.747</v>
      </c>
      <c r="AR80" s="52"/>
    </row>
    <row r="81" spans="1:51" ht="15.75" thickBot="1" x14ac:dyDescent="0.3">
      <c r="A81" s="207">
        <f t="shared" ref="A81:W81" si="9">SUM(A8:A80)</f>
        <v>411.11631919703404</v>
      </c>
      <c r="B81" s="208">
        <f t="shared" si="9"/>
        <v>31.9</v>
      </c>
      <c r="C81" s="208">
        <f t="shared" si="9"/>
        <v>0</v>
      </c>
      <c r="D81" s="208">
        <f t="shared" si="9"/>
        <v>11.6</v>
      </c>
      <c r="E81" s="208">
        <f t="shared" si="9"/>
        <v>257.69970000000001</v>
      </c>
      <c r="F81" s="208">
        <f t="shared" si="9"/>
        <v>929.74999999999989</v>
      </c>
      <c r="G81" s="208">
        <f t="shared" si="9"/>
        <v>352.5</v>
      </c>
      <c r="H81" s="208">
        <f t="shared" si="9"/>
        <v>732.35758499999997</v>
      </c>
      <c r="I81" s="208">
        <f t="shared" si="9"/>
        <v>3348.6357600000001</v>
      </c>
      <c r="J81" s="208">
        <f t="shared" si="9"/>
        <v>13.507999999999999</v>
      </c>
      <c r="K81" s="208">
        <f t="shared" si="9"/>
        <v>0</v>
      </c>
      <c r="L81" s="208">
        <f t="shared" si="9"/>
        <v>2.4</v>
      </c>
      <c r="M81" s="208">
        <f t="shared" si="9"/>
        <v>0</v>
      </c>
      <c r="N81" s="208">
        <f t="shared" si="9"/>
        <v>0.36199999999999993</v>
      </c>
      <c r="O81" s="208">
        <f t="shared" si="9"/>
        <v>0</v>
      </c>
      <c r="P81" s="208">
        <f t="shared" si="9"/>
        <v>1.392415</v>
      </c>
      <c r="Q81" s="208">
        <f t="shared" si="9"/>
        <v>39</v>
      </c>
      <c r="R81" s="208">
        <f t="shared" si="9"/>
        <v>174</v>
      </c>
      <c r="S81" s="208">
        <f t="shared" si="9"/>
        <v>63.636600000000001</v>
      </c>
      <c r="T81" s="208">
        <f t="shared" si="9"/>
        <v>0</v>
      </c>
      <c r="U81" s="208">
        <f t="shared" si="9"/>
        <v>149.31334000000001</v>
      </c>
      <c r="V81" s="208">
        <f t="shared" si="9"/>
        <v>18.9953</v>
      </c>
      <c r="W81" s="208">
        <f t="shared" si="9"/>
        <v>122.16546</v>
      </c>
      <c r="X81" s="209">
        <f>SUM(X8:X80)</f>
        <v>6531.0939891970356</v>
      </c>
      <c r="Y81" s="72" t="s">
        <v>464</v>
      </c>
      <c r="Z81" s="210"/>
      <c r="AA81" s="210"/>
      <c r="AB81" s="210"/>
      <c r="AC81" s="210"/>
      <c r="AD81" s="207">
        <f t="shared" ref="AD81:AQ81" si="10">SUM(AD8:AD80)</f>
        <v>-5.2914270187720547E-14</v>
      </c>
      <c r="AE81" s="209">
        <f t="shared" si="10"/>
        <v>1143.0666922911707</v>
      </c>
      <c r="AF81" s="207">
        <f t="shared" si="10"/>
        <v>0</v>
      </c>
      <c r="AG81" s="209">
        <f t="shared" si="10"/>
        <v>1588.4160783761604</v>
      </c>
      <c r="AH81" s="72">
        <f t="shared" si="10"/>
        <v>3775.3043185840916</v>
      </c>
      <c r="AI81" s="211">
        <f t="shared" si="10"/>
        <v>1565.6055264288218</v>
      </c>
      <c r="AJ81" s="208">
        <f t="shared" si="10"/>
        <v>298.17065979876281</v>
      </c>
      <c r="AK81" s="208">
        <f t="shared" si="10"/>
        <v>284.47571743922828</v>
      </c>
      <c r="AL81" s="208">
        <f t="shared" si="10"/>
        <v>213.70885434582021</v>
      </c>
      <c r="AM81" s="208">
        <f t="shared" si="10"/>
        <v>12.133352840400001</v>
      </c>
      <c r="AN81" s="208">
        <f t="shared" si="10"/>
        <v>806.11064831984856</v>
      </c>
      <c r="AO81" s="208">
        <f t="shared" si="10"/>
        <v>32.406826252410355</v>
      </c>
      <c r="AP81" s="208">
        <f t="shared" si="10"/>
        <v>25.6070331588</v>
      </c>
      <c r="AQ81" s="209">
        <f t="shared" si="10"/>
        <v>537.08569999999986</v>
      </c>
      <c r="AR81" s="52"/>
    </row>
    <row r="82" spans="1:51" x14ac:dyDescent="0.25">
      <c r="A82" s="391">
        <f>A81*A89/1000</f>
        <v>89.861805050087696</v>
      </c>
      <c r="B82" s="386">
        <f>B81*B87/1000</f>
        <v>0</v>
      </c>
      <c r="C82" s="386">
        <f>C81*C87/1000</f>
        <v>0</v>
      </c>
      <c r="D82" s="386">
        <f t="shared" ref="D82:V82" si="11">D81*D89/1000</f>
        <v>0.90479999999999994</v>
      </c>
      <c r="E82" s="386">
        <f t="shared" si="11"/>
        <v>19.069777800000001</v>
      </c>
      <c r="F82" s="386">
        <f t="shared" si="11"/>
        <v>68.80149999999999</v>
      </c>
      <c r="G82" s="386">
        <f t="shared" si="11"/>
        <v>25.38</v>
      </c>
      <c r="H82" s="386">
        <f t="shared" si="11"/>
        <v>53.462103705000004</v>
      </c>
      <c r="I82" s="386">
        <f t="shared" si="11"/>
        <v>190.13553845280001</v>
      </c>
      <c r="J82" s="180">
        <f t="shared" si="11"/>
        <v>0</v>
      </c>
      <c r="K82" s="180">
        <f t="shared" si="11"/>
        <v>0</v>
      </c>
      <c r="L82" s="180">
        <f t="shared" si="11"/>
        <v>0</v>
      </c>
      <c r="M82" s="180">
        <f t="shared" si="11"/>
        <v>0</v>
      </c>
      <c r="N82" s="180">
        <v>0</v>
      </c>
      <c r="O82" s="180">
        <f t="shared" si="11"/>
        <v>0</v>
      </c>
      <c r="P82" s="180">
        <f t="shared" si="11"/>
        <v>0</v>
      </c>
      <c r="Q82" s="180">
        <f t="shared" si="11"/>
        <v>0</v>
      </c>
      <c r="R82" s="180">
        <f t="shared" si="11"/>
        <v>0</v>
      </c>
      <c r="S82" s="180">
        <f t="shared" si="11"/>
        <v>0</v>
      </c>
      <c r="T82" s="180">
        <f t="shared" si="11"/>
        <v>0</v>
      </c>
      <c r="U82" s="180">
        <f t="shared" si="11"/>
        <v>0</v>
      </c>
      <c r="V82" s="180">
        <f t="shared" si="11"/>
        <v>0</v>
      </c>
      <c r="W82" s="180">
        <f>W81*W89/1000</f>
        <v>9.6364114847999982</v>
      </c>
      <c r="X82" s="182">
        <f>SUM(A82:W82)</f>
        <v>457.25193649268772</v>
      </c>
      <c r="Y82" s="73" t="s">
        <v>521</v>
      </c>
      <c r="Z82" s="212">
        <f>X82*1000/D1</f>
        <v>9.2839262668051603</v>
      </c>
      <c r="AA82" s="213" t="s">
        <v>465</v>
      </c>
      <c r="AB82" s="213"/>
      <c r="AC82" s="214"/>
      <c r="AD82" s="215"/>
      <c r="AE82" s="215"/>
      <c r="AF82" s="215"/>
      <c r="AG82" s="215"/>
      <c r="AH82" s="215"/>
      <c r="AI82" s="215"/>
      <c r="AJ82" s="215"/>
      <c r="AK82" s="215"/>
      <c r="AL82" s="216"/>
      <c r="AM82" s="216"/>
      <c r="AN82" s="216"/>
      <c r="AO82" s="216"/>
      <c r="AP82" s="216"/>
      <c r="AQ82" s="216"/>
      <c r="AR82" s="52"/>
      <c r="AS82" s="137"/>
      <c r="AT82" s="137"/>
      <c r="AU82" s="137"/>
      <c r="AV82" s="137"/>
      <c r="AW82" s="137"/>
      <c r="AX82" s="137"/>
      <c r="AY82" s="137"/>
    </row>
    <row r="83" spans="1:51" x14ac:dyDescent="0.25">
      <c r="A83" s="169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5">
        <v>229.66365161464361</v>
      </c>
      <c r="P83" s="175">
        <v>674.58061439999994</v>
      </c>
      <c r="Q83" s="175">
        <v>690.99633108414662</v>
      </c>
      <c r="R83" s="175">
        <v>438.65263353147589</v>
      </c>
      <c r="S83" s="170"/>
      <c r="T83" s="170"/>
      <c r="U83" s="170"/>
      <c r="V83" s="170"/>
      <c r="W83" s="170"/>
      <c r="X83" s="171">
        <f>SUM(A83:W83)</f>
        <v>2033.8932306302661</v>
      </c>
      <c r="Y83" s="67" t="s">
        <v>466</v>
      </c>
      <c r="Z83" s="251">
        <f>(SUM(J14:V14)+AD15*A87%+SUM(J19:V19)+SUM(J20:V20)+SUM(J21:V21)+SUM(J22:V22)+SUM(J25:V25)+SUM(J72:V72)+SUM(J73:V73)+SUM(J74:V74)+SUM(J75:V75)+SUM(J76:V76)+SUM(J77:V77)+SUM(J78:V78)+SUM(J79:V79)+SUM(J80:V80)+SUM(J26:V26)*(Z26%+AB26%)+SUM(J27:V27)*(Z27%+AB27%)+SUM(J28:V28)*(Z28%+AB28%)+SUM(J29:V29)*(Z29%+AB29%)+SUM(J30:V30)*(Z30%+AB30%)+SUM(J32:V32)*(Z32%+AA32%+AB32%)+SUM(J31:V31)*(AA31%)+SUM(J33:V33)*(Z33%+AB33%)+SUM(J34:V34)*(Z34%+AB34%)+SUM(J35:V35)*(Z35%+AB35%)+SUM(J36:V36)*(Z36%+AB36%)+SUM(J37:V37)*(Z37%+AB37%)+SUM(J40:V40)*(Z40%+AB40%)+SUM(J41:V41)*(Z41%+AB41%)+SUM(J42:V42)*(Z42%+AB42%)+SUM(J44:V44)*(Z44%+AB44%)+SUM(J45:V45)*(Z45%+AB45%)+SUM(J46:V46)*(Z46%+AB46%)+SUM(J47:V47)*(Z47%+AB47%)+SUM(J48:V48)*(Z48%+AB48%)+SUM(J50:V50)*(Z50%+AB50%)+SUM(J51:V51)*(Z51%+AB51%)+SUM(J53:V53)*(Z53%+AA53%+AB53%)+SUM(J54:V54)*(Z54%+AA54%+AB54%)+SUM(J56:V56)*(Z56%+AB56%)+SUM(J57:V57)*(Z57%+AB57%)+SUM(J59:V59)*(Z59%+AB59%)+SUM(J60:V60)*(Z60%+AB60%)+SUM(J61:V61)*(Z61%+AB61%)+SUM(J63:V63)*(Z63%+AB63%)+SUM(J64:V64)*(Z64%+AB64%)+SUM(J65:V65)*(Z65%+AB65%)+SUM(J66:V66)*(Z66%+AB66%)+SUM(J67:V67)*(Z67%+AB67%)+SUM(J68:V68)*(Z68%+AB68%))/(SUM(X8:X14)+SUM(X16:X25)+SUM(X72:X80)+(AG39/AC39%+AG43/AC43%+AG52/AC52%+AG55/AC55%+AG62/AC62%+AG71/AC71%)+AE81+SUM(AE8:AE14)*(1-D2%)+(-AF70))*100</f>
        <v>7.4849164136874684</v>
      </c>
      <c r="AA83" s="74" t="s">
        <v>550</v>
      </c>
      <c r="AB83" s="217"/>
      <c r="AC83" s="218"/>
      <c r="AD83" s="215"/>
      <c r="AE83" s="215"/>
      <c r="AF83" s="215"/>
      <c r="AG83" s="215"/>
      <c r="AH83" s="215"/>
      <c r="AI83" s="215"/>
      <c r="AJ83" s="215"/>
      <c r="AK83" s="215"/>
      <c r="AL83" s="216"/>
      <c r="AM83" s="216"/>
      <c r="AN83" s="216"/>
      <c r="AO83" s="216"/>
      <c r="AP83" s="216"/>
      <c r="AQ83" s="216"/>
      <c r="AR83" s="52"/>
      <c r="AS83" s="137"/>
      <c r="AT83" s="137"/>
      <c r="AU83" s="137"/>
      <c r="AV83" s="137"/>
      <c r="AW83" s="137"/>
      <c r="AX83" s="137"/>
      <c r="AY83" s="137"/>
    </row>
    <row r="84" spans="1:51" ht="15.75" thickBot="1" x14ac:dyDescent="0.3">
      <c r="A84" s="203"/>
      <c r="B84" s="204"/>
      <c r="C84" s="204"/>
      <c r="D84" s="204"/>
      <c r="E84" s="204"/>
      <c r="F84" s="204"/>
      <c r="G84" s="204"/>
      <c r="H84" s="204"/>
      <c r="I84" s="204"/>
      <c r="J84" s="204" t="s">
        <v>783</v>
      </c>
      <c r="K84" s="204" t="s">
        <v>783</v>
      </c>
      <c r="L84" s="204" t="s">
        <v>783</v>
      </c>
      <c r="M84" s="204" t="s">
        <v>783</v>
      </c>
      <c r="N84" s="204" t="s">
        <v>783</v>
      </c>
      <c r="O84" s="204">
        <v>0</v>
      </c>
      <c r="P84" s="204">
        <v>0.20641194992513562</v>
      </c>
      <c r="Q84" s="204">
        <v>5.6440241786538152</v>
      </c>
      <c r="R84" s="204">
        <v>39.666922457337641</v>
      </c>
      <c r="S84" s="204" t="str">
        <f>IF(S83&gt;0,S81/S83*100,"")</f>
        <v/>
      </c>
      <c r="T84" s="204" t="str">
        <f>IF(T83&gt;0,T81/T83*100,"")</f>
        <v/>
      </c>
      <c r="U84" s="204" t="str">
        <f>IF(U83&gt;0,U81/U83*100,"")</f>
        <v/>
      </c>
      <c r="V84" s="204" t="str">
        <f>IF(V83&gt;0,V81/V83*100,"")</f>
        <v/>
      </c>
      <c r="W84" s="204" t="str">
        <f>IF(W83&gt;0,W81/W83*100,"")</f>
        <v/>
      </c>
      <c r="X84" s="205">
        <f>SUMIF(J83:W83,"&gt;0",J81:W81)/SUM(J83:W83)%</f>
        <v>10.540986703297289</v>
      </c>
      <c r="Y84" s="71" t="s">
        <v>467</v>
      </c>
      <c r="Z84" s="252"/>
      <c r="AA84" s="253"/>
      <c r="AB84" s="219"/>
      <c r="AC84" s="220"/>
      <c r="AD84" s="215"/>
      <c r="AE84" s="215"/>
      <c r="AF84" s="215"/>
      <c r="AG84" s="215"/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52"/>
      <c r="AS84" s="137"/>
      <c r="AT84" s="137"/>
      <c r="AU84" s="137"/>
      <c r="AV84" s="137"/>
      <c r="AW84" s="137"/>
      <c r="AX84" s="137"/>
      <c r="AY84" s="137"/>
    </row>
    <row r="85" spans="1:51" ht="15.75" thickBot="1" x14ac:dyDescent="0.3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1"/>
      <c r="AB85" s="166"/>
      <c r="AC85" s="166"/>
      <c r="AD85" s="161"/>
      <c r="AE85" s="161"/>
      <c r="AF85" s="161"/>
      <c r="AG85" s="161"/>
      <c r="AH85" s="161"/>
      <c r="AI85" s="161"/>
      <c r="AJ85" s="161"/>
      <c r="AK85" s="161"/>
      <c r="AL85" s="166"/>
      <c r="AM85" s="166"/>
      <c r="AN85" s="166"/>
      <c r="AO85" s="166"/>
      <c r="AP85" s="166"/>
      <c r="AQ85" s="166"/>
      <c r="AR85" s="52"/>
      <c r="AS85" s="137"/>
      <c r="AT85" s="137"/>
      <c r="AU85" s="137"/>
      <c r="AV85" s="137"/>
      <c r="AW85" s="137"/>
      <c r="AX85" s="137"/>
      <c r="AY85" s="137"/>
    </row>
    <row r="86" spans="1:51" ht="17.25" customHeight="1" x14ac:dyDescent="0.25">
      <c r="A86" s="139" t="s">
        <v>468</v>
      </c>
      <c r="B86" s="808" t="str">
        <f t="shared" ref="B86:W86" si="12">B7</f>
        <v xml:space="preserve">  LPG og petroleum</v>
      </c>
      <c r="C86" s="808" t="str">
        <f t="shared" si="12"/>
        <v xml:space="preserve">  Kul</v>
      </c>
      <c r="D86" s="808" t="str">
        <f t="shared" si="12"/>
        <v xml:space="preserve">  Fuelolie</v>
      </c>
      <c r="E86" s="808" t="str">
        <f t="shared" si="12"/>
        <v xml:space="preserve">  Brændselsolie</v>
      </c>
      <c r="F86" s="808" t="str">
        <f t="shared" si="12"/>
        <v xml:space="preserve">  Dieselolie</v>
      </c>
      <c r="G86" s="808" t="str">
        <f t="shared" si="12"/>
        <v xml:space="preserve">  JP1</v>
      </c>
      <c r="H86" s="808" t="str">
        <f t="shared" si="12"/>
        <v xml:space="preserve">  Benzin</v>
      </c>
      <c r="I86" s="808" t="str">
        <f t="shared" si="12"/>
        <v xml:space="preserve">  Naturgas</v>
      </c>
      <c r="J86" s="808" t="str">
        <f t="shared" si="12"/>
        <v xml:space="preserve">  Vindenergi</v>
      </c>
      <c r="K86" s="808" t="str">
        <f t="shared" si="12"/>
        <v xml:space="preserve">  Vandenergi</v>
      </c>
      <c r="L86" s="808" t="str">
        <f t="shared" si="12"/>
        <v xml:space="preserve">  Solenergi</v>
      </c>
      <c r="M86" s="808" t="str">
        <f t="shared" si="12"/>
        <v xml:space="preserve">  Geotermi</v>
      </c>
      <c r="N86" s="808" t="str">
        <f t="shared" si="12"/>
        <v xml:space="preserve">  Varmekilder til varmepumper</v>
      </c>
      <c r="O86" s="808" t="str">
        <f t="shared" si="12"/>
        <v xml:space="preserve">  Husdyrsgødning</v>
      </c>
      <c r="P86" s="808" t="str">
        <f t="shared" si="12"/>
        <v xml:space="preserve">  Biobrændstof og energiafgrøder</v>
      </c>
      <c r="Q86" s="808" t="str">
        <f t="shared" si="12"/>
        <v xml:space="preserve">  Halm</v>
      </c>
      <c r="R86" s="808" t="str">
        <f t="shared" si="12"/>
        <v xml:space="preserve">  Brænde og træflis</v>
      </c>
      <c r="S86" s="808" t="str">
        <f t="shared" si="12"/>
        <v xml:space="preserve">  Træpiller og træaffald</v>
      </c>
      <c r="T86" s="808" t="str">
        <f t="shared" si="12"/>
        <v xml:space="preserve">  Organisk affald, industri</v>
      </c>
      <c r="U86" s="808" t="str">
        <f t="shared" si="12"/>
        <v xml:space="preserve">  Organisk affald, husholdninger</v>
      </c>
      <c r="V86" s="808" t="str">
        <f t="shared" si="12"/>
        <v xml:space="preserve">  Deponi, slam, renseanlæg</v>
      </c>
      <c r="W86" s="811" t="str">
        <f t="shared" si="12"/>
        <v xml:space="preserve">  Affald, ikke bionedbrydeligt</v>
      </c>
      <c r="X86" s="166"/>
      <c r="Y86" s="166"/>
      <c r="Z86" s="166"/>
      <c r="AA86" s="161"/>
      <c r="AB86" s="166"/>
      <c r="AC86" s="166"/>
      <c r="AD86" s="161"/>
      <c r="AE86" s="161"/>
      <c r="AF86" s="161"/>
      <c r="AG86" s="161"/>
      <c r="AH86" s="161"/>
      <c r="AI86" s="161"/>
      <c r="AJ86" s="161"/>
      <c r="AK86" s="161"/>
      <c r="AL86" s="166"/>
      <c r="AM86" s="166"/>
      <c r="AN86" s="166"/>
      <c r="AO86" s="166"/>
      <c r="AP86" s="166"/>
      <c r="AQ86" s="166"/>
      <c r="AR86" s="52"/>
      <c r="AS86" s="137"/>
      <c r="AT86" s="137"/>
      <c r="AU86" s="137"/>
      <c r="AV86" s="137"/>
      <c r="AW86" s="137"/>
      <c r="AX86" s="137"/>
      <c r="AY86" s="137"/>
    </row>
    <row r="87" spans="1:51" ht="24" x14ac:dyDescent="0.25">
      <c r="A87" s="392">
        <v>11</v>
      </c>
      <c r="B87" s="809"/>
      <c r="C87" s="809"/>
      <c r="D87" s="809"/>
      <c r="E87" s="809"/>
      <c r="F87" s="809"/>
      <c r="G87" s="809"/>
      <c r="H87" s="809"/>
      <c r="I87" s="809"/>
      <c r="J87" s="809"/>
      <c r="K87" s="809"/>
      <c r="L87" s="809"/>
      <c r="M87" s="809"/>
      <c r="N87" s="809"/>
      <c r="O87" s="809"/>
      <c r="P87" s="809"/>
      <c r="Q87" s="809"/>
      <c r="R87" s="809"/>
      <c r="S87" s="809"/>
      <c r="T87" s="809"/>
      <c r="U87" s="809"/>
      <c r="V87" s="809"/>
      <c r="W87" s="812"/>
      <c r="X87" s="166"/>
      <c r="Y87" s="166"/>
      <c r="Z87" s="166"/>
      <c r="AA87" s="161"/>
      <c r="AB87" s="166"/>
      <c r="AC87" s="166"/>
      <c r="AD87" s="161"/>
      <c r="AE87" s="161"/>
      <c r="AF87" s="161"/>
      <c r="AG87" s="161"/>
      <c r="AH87" s="161"/>
      <c r="AI87" s="161"/>
      <c r="AJ87" s="161"/>
      <c r="AK87" s="161"/>
      <c r="AL87" s="166"/>
      <c r="AM87" s="166"/>
      <c r="AN87" s="166"/>
      <c r="AO87" s="166"/>
      <c r="AP87" s="166"/>
      <c r="AQ87" s="166"/>
      <c r="AR87" s="52"/>
      <c r="AS87" s="137"/>
      <c r="AT87" s="137"/>
      <c r="AU87" s="137"/>
      <c r="AV87" s="137"/>
      <c r="AW87" s="137"/>
      <c r="AX87" s="137"/>
      <c r="AY87" s="137"/>
    </row>
    <row r="88" spans="1:51" ht="143.25" customHeight="1" thickBot="1" x14ac:dyDescent="0.3">
      <c r="A88" s="221" t="s">
        <v>469</v>
      </c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3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52"/>
      <c r="AS88" s="137"/>
      <c r="AT88" s="137"/>
      <c r="AU88" s="137"/>
      <c r="AV88" s="137"/>
      <c r="AW88" s="137"/>
      <c r="AX88" s="137"/>
      <c r="AY88" s="137"/>
    </row>
    <row r="89" spans="1:51" ht="16.5" thickBot="1" x14ac:dyDescent="0.3">
      <c r="A89" s="228">
        <v>218.58</v>
      </c>
      <c r="B89" s="222">
        <v>65</v>
      </c>
      <c r="C89" s="222">
        <v>95</v>
      </c>
      <c r="D89" s="222">
        <v>78</v>
      </c>
      <c r="E89" s="222">
        <v>74</v>
      </c>
      <c r="F89" s="222">
        <v>74</v>
      </c>
      <c r="G89" s="222">
        <v>72</v>
      </c>
      <c r="H89" s="222">
        <v>73</v>
      </c>
      <c r="I89" s="222">
        <v>56.78</v>
      </c>
      <c r="J89" s="223"/>
      <c r="K89" s="223"/>
      <c r="L89" s="223"/>
      <c r="M89" s="223"/>
      <c r="N89" s="224"/>
      <c r="O89" s="223"/>
      <c r="P89" s="223"/>
      <c r="Q89" s="223"/>
      <c r="R89" s="223"/>
      <c r="S89" s="223"/>
      <c r="T89" s="223"/>
      <c r="U89" s="223"/>
      <c r="V89" s="224"/>
      <c r="W89" s="225">
        <v>78.88</v>
      </c>
      <c r="X89" s="75" t="s">
        <v>522</v>
      </c>
      <c r="Y89" s="226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9"/>
      <c r="AS89" s="140"/>
      <c r="AT89" s="140"/>
      <c r="AU89" s="140"/>
      <c r="AV89" s="140"/>
      <c r="AW89" s="140"/>
      <c r="AX89" s="140"/>
      <c r="AY89" s="140"/>
    </row>
    <row r="90" spans="1:51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137"/>
      <c r="AT90" s="137"/>
      <c r="AU90" s="137"/>
      <c r="AV90" s="137"/>
      <c r="AW90" s="137"/>
      <c r="AX90" s="137"/>
      <c r="AY90" s="137"/>
    </row>
    <row r="91" spans="1:51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68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137"/>
      <c r="AT91" s="137"/>
      <c r="AU91" s="137"/>
      <c r="AV91" s="137"/>
      <c r="AW91" s="137"/>
      <c r="AX91" s="137"/>
      <c r="AY91" s="137"/>
    </row>
    <row r="92" spans="1:51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166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137"/>
      <c r="AT92" s="137"/>
      <c r="AU92" s="137"/>
      <c r="AV92" s="137"/>
      <c r="AW92" s="137"/>
      <c r="AX92" s="137"/>
      <c r="AY92" s="137"/>
    </row>
    <row r="93" spans="1:51" ht="20.25" x14ac:dyDescent="0.3">
      <c r="A93" s="141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5"/>
      <c r="Y93" s="142"/>
      <c r="Z93" s="135"/>
      <c r="AA93" s="135"/>
      <c r="AB93" s="135"/>
      <c r="AC93" s="135"/>
      <c r="AD93" s="135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</row>
    <row r="94" spans="1:5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5"/>
      <c r="Y94" s="135"/>
      <c r="Z94" s="135"/>
      <c r="AA94" s="135"/>
      <c r="AB94" s="135"/>
      <c r="AC94" s="135"/>
      <c r="AD94" s="135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</row>
    <row r="95" spans="1:5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5"/>
      <c r="Y95" s="142"/>
      <c r="Z95" s="135"/>
      <c r="AA95" s="135"/>
      <c r="AB95" s="135"/>
      <c r="AC95" s="135"/>
      <c r="AD95" s="135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</row>
    <row r="117" spans="2:2" x14ac:dyDescent="0.25">
      <c r="B117" s="231" t="e">
        <f>' Plan Energi 2006'!AD</f>
        <v>#NAME?</v>
      </c>
    </row>
  </sheetData>
  <mergeCells count="30">
    <mergeCell ref="D1:E1"/>
    <mergeCell ref="Y1:Y2"/>
    <mergeCell ref="Y3:Y4"/>
    <mergeCell ref="A6:X6"/>
    <mergeCell ref="Z6:AC6"/>
    <mergeCell ref="AF6:AG6"/>
    <mergeCell ref="AI6:AQ6"/>
    <mergeCell ref="B86:B88"/>
    <mergeCell ref="C86:C88"/>
    <mergeCell ref="D86:D88"/>
    <mergeCell ref="E86:E88"/>
    <mergeCell ref="F86:F88"/>
    <mergeCell ref="G86:G88"/>
    <mergeCell ref="H86:H88"/>
    <mergeCell ref="I86:I88"/>
    <mergeCell ref="AD6:AE6"/>
    <mergeCell ref="J86:J88"/>
    <mergeCell ref="K86:K88"/>
    <mergeCell ref="L86:L88"/>
    <mergeCell ref="M86:M88"/>
    <mergeCell ref="N86:N88"/>
    <mergeCell ref="O86:O88"/>
    <mergeCell ref="V86:V88"/>
    <mergeCell ref="W86:W88"/>
    <mergeCell ref="P86:P88"/>
    <mergeCell ref="Q86:Q88"/>
    <mergeCell ref="R86:R88"/>
    <mergeCell ref="S86:S88"/>
    <mergeCell ref="T86:T88"/>
    <mergeCell ref="U86:U88"/>
  </mergeCells>
  <pageMargins left="0.7" right="0.7" top="0.75" bottom="0.75" header="0.3" footer="0.3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23"/>
  <sheetViews>
    <sheetView topLeftCell="A2" workbookViewId="0">
      <selection activeCell="F22" sqref="F22"/>
    </sheetView>
  </sheetViews>
  <sheetFormatPr defaultRowHeight="15" x14ac:dyDescent="0.25"/>
  <cols>
    <col min="1" max="1" width="25.85546875" customWidth="1"/>
    <col min="2" max="2" width="15.85546875" customWidth="1"/>
  </cols>
  <sheetData>
    <row r="1" spans="1:8" x14ac:dyDescent="0.25">
      <c r="A1" s="322" t="s">
        <v>679</v>
      </c>
      <c r="B1" s="322" t="s">
        <v>698</v>
      </c>
      <c r="C1" s="322" t="s">
        <v>704</v>
      </c>
      <c r="D1" s="322" t="s">
        <v>705</v>
      </c>
      <c r="E1" s="322" t="s">
        <v>27</v>
      </c>
      <c r="F1" s="322" t="s">
        <v>706</v>
      </c>
      <c r="G1" s="322" t="s">
        <v>699</v>
      </c>
      <c r="H1" s="322" t="s">
        <v>28</v>
      </c>
    </row>
    <row r="2" spans="1:8" x14ac:dyDescent="0.25">
      <c r="A2" s="322">
        <v>2020</v>
      </c>
      <c r="B2" s="323">
        <v>6.9</v>
      </c>
      <c r="C2" s="323">
        <v>25.8</v>
      </c>
      <c r="D2" s="323">
        <v>14.4</v>
      </c>
      <c r="E2" s="323">
        <v>6.3</v>
      </c>
      <c r="F2" s="323">
        <v>9.6</v>
      </c>
      <c r="G2" s="323">
        <v>28.3</v>
      </c>
      <c r="H2" s="323">
        <v>69.3</v>
      </c>
    </row>
    <row r="3" spans="1:8" x14ac:dyDescent="0.25">
      <c r="A3" s="322">
        <v>2021</v>
      </c>
      <c r="B3" s="323">
        <v>6.4</v>
      </c>
      <c r="C3" s="323">
        <v>25.5</v>
      </c>
      <c r="D3" s="323">
        <v>13.9</v>
      </c>
      <c r="E3" s="323">
        <v>6.4</v>
      </c>
      <c r="F3" s="323">
        <v>10.199999999999999</v>
      </c>
      <c r="G3" s="323">
        <v>28</v>
      </c>
      <c r="H3" s="323">
        <v>69</v>
      </c>
    </row>
    <row r="4" spans="1:8" x14ac:dyDescent="0.25">
      <c r="A4" s="322">
        <v>2022</v>
      </c>
      <c r="B4" s="323">
        <v>5.8</v>
      </c>
      <c r="C4" s="323">
        <v>25.3</v>
      </c>
      <c r="D4" s="323">
        <v>13.5</v>
      </c>
      <c r="E4" s="323">
        <v>6.6</v>
      </c>
      <c r="F4" s="323">
        <v>10.8</v>
      </c>
      <c r="G4" s="323">
        <v>27.6</v>
      </c>
      <c r="H4" s="323">
        <v>68.7</v>
      </c>
    </row>
    <row r="5" spans="1:8" x14ac:dyDescent="0.25">
      <c r="A5" s="322">
        <v>2023</v>
      </c>
      <c r="B5" s="323">
        <v>5.3</v>
      </c>
      <c r="C5" s="323">
        <v>25</v>
      </c>
      <c r="D5" s="323">
        <v>13</v>
      </c>
      <c r="E5" s="323">
        <v>6.7</v>
      </c>
      <c r="F5" s="323">
        <v>11.5</v>
      </c>
      <c r="G5" s="323">
        <v>27.3</v>
      </c>
      <c r="H5" s="323">
        <v>68.400000000000006</v>
      </c>
    </row>
    <row r="6" spans="1:8" x14ac:dyDescent="0.25">
      <c r="A6" s="322">
        <v>2024</v>
      </c>
      <c r="B6" s="323">
        <v>4.8</v>
      </c>
      <c r="C6" s="323">
        <v>24.7</v>
      </c>
      <c r="D6" s="323">
        <v>12.5</v>
      </c>
      <c r="E6" s="323">
        <v>6.9</v>
      </c>
      <c r="F6" s="323">
        <v>12.1</v>
      </c>
      <c r="G6" s="323">
        <v>27</v>
      </c>
      <c r="H6" s="323">
        <v>68.099999999999994</v>
      </c>
    </row>
    <row r="7" spans="1:8" x14ac:dyDescent="0.25">
      <c r="A7" s="322">
        <v>2025</v>
      </c>
      <c r="B7" s="323">
        <v>4.3</v>
      </c>
      <c r="C7" s="323">
        <v>24.5</v>
      </c>
      <c r="D7" s="323">
        <v>12</v>
      </c>
      <c r="E7" s="323">
        <v>7</v>
      </c>
      <c r="F7" s="323">
        <v>12.8</v>
      </c>
      <c r="G7" s="323">
        <v>26.6</v>
      </c>
      <c r="H7" s="323">
        <v>67.8</v>
      </c>
    </row>
    <row r="8" spans="1:8" x14ac:dyDescent="0.25">
      <c r="A8" s="322">
        <v>2026</v>
      </c>
      <c r="B8" s="323">
        <v>3.9</v>
      </c>
      <c r="C8" s="323">
        <v>23.9</v>
      </c>
      <c r="D8" s="323">
        <v>11.5</v>
      </c>
      <c r="E8" s="323">
        <v>7.2</v>
      </c>
      <c r="F8" s="323">
        <v>13.6</v>
      </c>
      <c r="G8" s="323">
        <v>26.1</v>
      </c>
      <c r="H8" s="323">
        <v>67.5</v>
      </c>
    </row>
    <row r="9" spans="1:8" x14ac:dyDescent="0.25">
      <c r="A9" s="322">
        <v>2027</v>
      </c>
      <c r="B9" s="323">
        <v>3.6</v>
      </c>
      <c r="C9" s="323">
        <v>23.3</v>
      </c>
      <c r="D9" s="323">
        <v>11</v>
      </c>
      <c r="E9" s="323">
        <v>7.5</v>
      </c>
      <c r="F9" s="323">
        <v>14.5</v>
      </c>
      <c r="G9" s="323">
        <v>25.6</v>
      </c>
      <c r="H9" s="323">
        <v>67.3</v>
      </c>
    </row>
    <row r="10" spans="1:8" x14ac:dyDescent="0.25">
      <c r="A10" s="322">
        <v>2028</v>
      </c>
      <c r="B10" s="323">
        <v>3.2</v>
      </c>
      <c r="C10" s="323">
        <v>22.8</v>
      </c>
      <c r="D10" s="323">
        <v>10.5</v>
      </c>
      <c r="E10" s="323">
        <v>7.7</v>
      </c>
      <c r="F10" s="323">
        <v>15.4</v>
      </c>
      <c r="G10" s="323">
        <v>25.1</v>
      </c>
      <c r="H10" s="323">
        <v>67</v>
      </c>
    </row>
    <row r="11" spans="1:8" x14ac:dyDescent="0.25">
      <c r="A11" s="322">
        <v>2029</v>
      </c>
      <c r="B11" s="323">
        <v>2.9</v>
      </c>
      <c r="C11" s="323">
        <v>22.2</v>
      </c>
      <c r="D11" s="323">
        <v>9.9</v>
      </c>
      <c r="E11" s="323">
        <v>7.9</v>
      </c>
      <c r="F11" s="323">
        <v>16.3</v>
      </c>
      <c r="G11" s="323">
        <v>24.6</v>
      </c>
      <c r="H11" s="323">
        <v>66.8</v>
      </c>
    </row>
    <row r="12" spans="1:8" x14ac:dyDescent="0.25">
      <c r="A12" s="322">
        <v>2030</v>
      </c>
      <c r="B12" s="323">
        <v>2.5</v>
      </c>
      <c r="C12" s="323">
        <v>21.6</v>
      </c>
      <c r="D12" s="323">
        <v>9.4</v>
      </c>
      <c r="E12" s="323">
        <v>8.1</v>
      </c>
      <c r="F12" s="323">
        <v>17.2</v>
      </c>
      <c r="G12" s="323">
        <v>24.1</v>
      </c>
      <c r="H12" s="323">
        <v>66.5</v>
      </c>
    </row>
    <row r="13" spans="1:8" x14ac:dyDescent="0.25">
      <c r="A13" s="324" t="s">
        <v>707</v>
      </c>
      <c r="B13" s="321"/>
      <c r="C13" s="321"/>
      <c r="D13" s="321"/>
      <c r="E13" s="321"/>
      <c r="F13" s="321"/>
      <c r="G13" s="321"/>
      <c r="H13" s="321"/>
    </row>
    <row r="14" spans="1:8" x14ac:dyDescent="0.25">
      <c r="B14" t="s">
        <v>491</v>
      </c>
    </row>
    <row r="15" spans="1:8" x14ac:dyDescent="0.25">
      <c r="A15" t="s">
        <v>712</v>
      </c>
      <c r="B15" s="331">
        <f>(SUM(B12:G12)/SUM(B2:G2))^(1/(A12-A2))-1</f>
        <v>-9.605145604051013E-3</v>
      </c>
    </row>
    <row r="16" spans="1:8" x14ac:dyDescent="0.25">
      <c r="A16" t="s">
        <v>28</v>
      </c>
      <c r="B16" s="331">
        <f>(H12/H2)^(1/(A12-A2))-1</f>
        <v>-4.1158026254685121E-3</v>
      </c>
    </row>
    <row r="17" spans="1:2" x14ac:dyDescent="0.25">
      <c r="A17" t="s">
        <v>713</v>
      </c>
    </row>
    <row r="18" spans="1:2" x14ac:dyDescent="0.25">
      <c r="A18" s="330" t="s">
        <v>714</v>
      </c>
      <c r="B18" s="232">
        <f>B12/(SUM($B$12:$G$12))</f>
        <v>3.0156815440289503E-2</v>
      </c>
    </row>
    <row r="19" spans="1:2" x14ac:dyDescent="0.25">
      <c r="A19" s="330" t="s">
        <v>715</v>
      </c>
      <c r="B19" s="232">
        <f>C$12/(SUM($B$12:$G$12))</f>
        <v>0.26055488540410132</v>
      </c>
    </row>
    <row r="20" spans="1:2" x14ac:dyDescent="0.25">
      <c r="A20" s="330" t="s">
        <v>717</v>
      </c>
      <c r="B20" s="232">
        <f>D$12/(SUM($B$12:$G$12))</f>
        <v>0.11338962605548854</v>
      </c>
    </row>
    <row r="21" spans="1:2" x14ac:dyDescent="0.25">
      <c r="A21" s="330" t="s">
        <v>716</v>
      </c>
      <c r="B21" s="232">
        <f>E$12/(SUM($B$12:$G$12))</f>
        <v>9.7708082026537982E-2</v>
      </c>
    </row>
    <row r="22" spans="1:2" x14ac:dyDescent="0.25">
      <c r="A22" s="330" t="s">
        <v>718</v>
      </c>
      <c r="B22" s="232">
        <f>F$12/(SUM($B$12:$G$12))</f>
        <v>0.20747889022919178</v>
      </c>
    </row>
    <row r="23" spans="1:2" x14ac:dyDescent="0.25">
      <c r="A23" s="330" t="s">
        <v>719</v>
      </c>
      <c r="B23" s="232">
        <f>G$12/(SUM($B$12:$G$12))</f>
        <v>0.29071170084439085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62"/>
  <sheetViews>
    <sheetView topLeftCell="A2" workbookViewId="0">
      <selection activeCell="P49" sqref="P49"/>
    </sheetView>
  </sheetViews>
  <sheetFormatPr defaultRowHeight="15" x14ac:dyDescent="0.25"/>
  <cols>
    <col min="1" max="1" width="27.5703125" customWidth="1"/>
  </cols>
  <sheetData>
    <row r="1" spans="1:17" ht="19.5" x14ac:dyDescent="0.3">
      <c r="A1" s="305" t="s">
        <v>677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</row>
    <row r="2" spans="1:17" x14ac:dyDescent="0.25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7" ht="19.5" thickBot="1" x14ac:dyDescent="0.35">
      <c r="A3" s="306" t="s">
        <v>678</v>
      </c>
      <c r="B3" s="307" t="s">
        <v>679</v>
      </c>
      <c r="C3" s="307">
        <v>2019</v>
      </c>
      <c r="D3" s="307">
        <v>2020</v>
      </c>
      <c r="E3" s="307">
        <v>2021</v>
      </c>
      <c r="F3" s="307">
        <v>2022</v>
      </c>
      <c r="G3" s="307">
        <v>2023</v>
      </c>
      <c r="H3" s="307">
        <v>2024</v>
      </c>
      <c r="I3" s="307">
        <v>2025</v>
      </c>
      <c r="J3" s="307">
        <v>2026</v>
      </c>
      <c r="K3" s="307">
        <v>2027</v>
      </c>
      <c r="L3" s="307">
        <v>2028</v>
      </c>
      <c r="M3" s="307">
        <v>2029</v>
      </c>
      <c r="N3" s="308">
        <v>2030</v>
      </c>
      <c r="O3" s="381"/>
    </row>
    <row r="4" spans="1:17" x14ac:dyDescent="0.25">
      <c r="A4" s="309" t="s">
        <v>621</v>
      </c>
      <c r="B4" s="310"/>
      <c r="C4" s="311">
        <v>0</v>
      </c>
      <c r="D4" s="311">
        <v>0</v>
      </c>
      <c r="E4" s="311">
        <v>0</v>
      </c>
      <c r="F4" s="311">
        <v>0</v>
      </c>
      <c r="G4" s="311">
        <v>0</v>
      </c>
      <c r="H4" s="311">
        <v>0</v>
      </c>
      <c r="I4" s="311">
        <v>0</v>
      </c>
      <c r="J4" s="311">
        <v>0</v>
      </c>
      <c r="K4" s="311">
        <v>0</v>
      </c>
      <c r="L4" s="311">
        <v>0</v>
      </c>
      <c r="M4" s="311">
        <v>0</v>
      </c>
      <c r="N4" s="312">
        <v>0</v>
      </c>
      <c r="O4" s="382">
        <f>SUM(N5:N11)/(SUM(N5:N36)+SUM(N40:N41)+SUM(N45:N48)+SUM(N52:N53)+SUM(N57:N59))</f>
        <v>0.4797635288767621</v>
      </c>
      <c r="Q4" s="232"/>
    </row>
    <row r="5" spans="1:17" x14ac:dyDescent="0.25">
      <c r="A5" s="313" t="s">
        <v>11</v>
      </c>
      <c r="B5" s="310"/>
      <c r="C5" s="311">
        <v>52.9</v>
      </c>
      <c r="D5" s="311">
        <v>52.6</v>
      </c>
      <c r="E5" s="311">
        <v>52.4</v>
      </c>
      <c r="F5" s="311">
        <v>52.4</v>
      </c>
      <c r="G5" s="311">
        <v>52.5</v>
      </c>
      <c r="H5" s="311">
        <v>52.8</v>
      </c>
      <c r="I5" s="311">
        <v>53.2</v>
      </c>
      <c r="J5" s="311">
        <v>53.7</v>
      </c>
      <c r="K5" s="311">
        <v>54.3</v>
      </c>
      <c r="L5" s="311">
        <v>54.8</v>
      </c>
      <c r="M5" s="311">
        <v>55.2</v>
      </c>
      <c r="N5" s="312">
        <v>55.5</v>
      </c>
      <c r="O5" s="379">
        <f>N5/SUM($N$5:$N$11)</f>
        <v>0.52606635071090047</v>
      </c>
    </row>
    <row r="6" spans="1:17" x14ac:dyDescent="0.25">
      <c r="A6" s="313" t="s">
        <v>680</v>
      </c>
      <c r="B6" s="310"/>
      <c r="C6" s="311">
        <v>44.4</v>
      </c>
      <c r="D6" s="311">
        <v>45.4</v>
      </c>
      <c r="E6" s="311">
        <v>46</v>
      </c>
      <c r="F6" s="311">
        <v>46.4</v>
      </c>
      <c r="G6" s="311">
        <v>46.6</v>
      </c>
      <c r="H6" s="311">
        <v>46.6</v>
      </c>
      <c r="I6" s="311">
        <v>46.4</v>
      </c>
      <c r="J6" s="311">
        <v>45.9</v>
      </c>
      <c r="K6" s="311">
        <v>45.2</v>
      </c>
      <c r="L6" s="311">
        <v>44.4</v>
      </c>
      <c r="M6" s="311">
        <v>43.4</v>
      </c>
      <c r="N6" s="312">
        <v>42.3</v>
      </c>
      <c r="O6" s="379">
        <f t="shared" ref="O6:O11" si="0">N6/SUM($N$5:$N$11)</f>
        <v>0.40094786729857818</v>
      </c>
    </row>
    <row r="7" spans="1:17" x14ac:dyDescent="0.25">
      <c r="A7" s="313" t="s">
        <v>3</v>
      </c>
      <c r="B7" s="310"/>
      <c r="C7" s="311">
        <v>0</v>
      </c>
      <c r="D7" s="311">
        <v>0</v>
      </c>
      <c r="E7" s="311">
        <v>0</v>
      </c>
      <c r="F7" s="311">
        <v>0</v>
      </c>
      <c r="G7" s="311">
        <v>0</v>
      </c>
      <c r="H7" s="311">
        <v>0</v>
      </c>
      <c r="I7" s="311">
        <v>0</v>
      </c>
      <c r="J7" s="311">
        <v>0</v>
      </c>
      <c r="K7" s="311">
        <v>0</v>
      </c>
      <c r="L7" s="311">
        <v>0</v>
      </c>
      <c r="M7" s="311">
        <v>0</v>
      </c>
      <c r="N7" s="312">
        <v>0</v>
      </c>
      <c r="O7" s="379">
        <f t="shared" si="0"/>
        <v>0</v>
      </c>
    </row>
    <row r="8" spans="1:17" x14ac:dyDescent="0.25">
      <c r="A8" s="313" t="s">
        <v>27</v>
      </c>
      <c r="B8" s="310"/>
      <c r="C8" s="311">
        <v>0.2</v>
      </c>
      <c r="D8" s="311">
        <v>0.3</v>
      </c>
      <c r="E8" s="311">
        <v>0.5</v>
      </c>
      <c r="F8" s="311">
        <v>0.6</v>
      </c>
      <c r="G8" s="311">
        <v>0.7</v>
      </c>
      <c r="H8" s="311">
        <v>0.9</v>
      </c>
      <c r="I8" s="311">
        <v>1</v>
      </c>
      <c r="J8" s="311">
        <v>1.3</v>
      </c>
      <c r="K8" s="311">
        <v>1.5</v>
      </c>
      <c r="L8" s="311">
        <v>1.9</v>
      </c>
      <c r="M8" s="311">
        <v>2.2999999999999998</v>
      </c>
      <c r="N8" s="312">
        <v>2.9</v>
      </c>
      <c r="O8" s="379">
        <f t="shared" si="0"/>
        <v>2.7488151658767772E-2</v>
      </c>
    </row>
    <row r="9" spans="1:17" x14ac:dyDescent="0.25">
      <c r="A9" s="313" t="s">
        <v>681</v>
      </c>
      <c r="B9" s="310"/>
      <c r="C9" s="311">
        <v>0</v>
      </c>
      <c r="D9" s="311">
        <v>0</v>
      </c>
      <c r="E9" s="311">
        <v>0</v>
      </c>
      <c r="F9" s="311">
        <v>0</v>
      </c>
      <c r="G9" s="311">
        <v>0</v>
      </c>
      <c r="H9" s="311">
        <v>0</v>
      </c>
      <c r="I9" s="311">
        <v>0</v>
      </c>
      <c r="J9" s="311">
        <v>0</v>
      </c>
      <c r="K9" s="311">
        <v>0</v>
      </c>
      <c r="L9" s="311">
        <v>0</v>
      </c>
      <c r="M9" s="311">
        <v>0</v>
      </c>
      <c r="N9" s="312">
        <v>0</v>
      </c>
      <c r="O9" s="379">
        <f t="shared" si="0"/>
        <v>0</v>
      </c>
    </row>
    <row r="10" spans="1:17" x14ac:dyDescent="0.25">
      <c r="A10" s="313" t="s">
        <v>682</v>
      </c>
      <c r="B10" s="310"/>
      <c r="C10" s="311">
        <v>5</v>
      </c>
      <c r="D10" s="311">
        <v>5</v>
      </c>
      <c r="E10" s="311">
        <v>5</v>
      </c>
      <c r="F10" s="311">
        <v>5</v>
      </c>
      <c r="G10" s="311">
        <v>5</v>
      </c>
      <c r="H10" s="311">
        <v>5.0999999999999996</v>
      </c>
      <c r="I10" s="311">
        <v>5.0999999999999996</v>
      </c>
      <c r="J10" s="311">
        <v>5</v>
      </c>
      <c r="K10" s="311">
        <v>5</v>
      </c>
      <c r="L10" s="311">
        <v>5</v>
      </c>
      <c r="M10" s="311">
        <v>4.9000000000000004</v>
      </c>
      <c r="N10" s="312">
        <v>4.8</v>
      </c>
      <c r="O10" s="379">
        <f t="shared" si="0"/>
        <v>4.5497630331753552E-2</v>
      </c>
    </row>
    <row r="11" spans="1:17" x14ac:dyDescent="0.25">
      <c r="A11" s="314" t="s">
        <v>683</v>
      </c>
      <c r="B11" s="315"/>
      <c r="C11" s="316">
        <v>0</v>
      </c>
      <c r="D11" s="316">
        <v>0</v>
      </c>
      <c r="E11" s="316">
        <v>0</v>
      </c>
      <c r="F11" s="316">
        <v>0</v>
      </c>
      <c r="G11" s="316">
        <v>0</v>
      </c>
      <c r="H11" s="316">
        <v>0</v>
      </c>
      <c r="I11" s="316">
        <v>0</v>
      </c>
      <c r="J11" s="316">
        <v>0</v>
      </c>
      <c r="K11" s="316">
        <v>0</v>
      </c>
      <c r="L11" s="316">
        <v>0</v>
      </c>
      <c r="M11" s="316">
        <v>0</v>
      </c>
      <c r="N11" s="317">
        <v>0</v>
      </c>
      <c r="O11" s="379">
        <f t="shared" si="0"/>
        <v>0</v>
      </c>
    </row>
    <row r="12" spans="1:17" x14ac:dyDescent="0.25">
      <c r="A12" s="309" t="s">
        <v>244</v>
      </c>
      <c r="B12" s="310"/>
      <c r="C12" s="311">
        <v>0</v>
      </c>
      <c r="D12" s="311">
        <v>0</v>
      </c>
      <c r="E12" s="311">
        <v>0</v>
      </c>
      <c r="F12" s="311">
        <v>0</v>
      </c>
      <c r="G12" s="311">
        <v>0</v>
      </c>
      <c r="H12" s="311">
        <v>0</v>
      </c>
      <c r="I12" s="311">
        <v>0</v>
      </c>
      <c r="J12" s="311">
        <v>0</v>
      </c>
      <c r="K12" s="311">
        <v>0</v>
      </c>
      <c r="L12" s="311">
        <v>0</v>
      </c>
      <c r="M12" s="311">
        <v>0</v>
      </c>
      <c r="N12" s="312">
        <v>0</v>
      </c>
      <c r="O12" s="382">
        <f>SUM(N13:N18)/(SUM(N5:N36)+SUM(N40:N41)+SUM(N45:N48)+SUM(N52:N53)+SUM(N57:N59))</f>
        <v>0.13415188722146426</v>
      </c>
    </row>
    <row r="13" spans="1:17" x14ac:dyDescent="0.25">
      <c r="A13" s="313" t="s">
        <v>11</v>
      </c>
      <c r="B13" s="310"/>
      <c r="C13" s="311">
        <v>1.6</v>
      </c>
      <c r="D13" s="311">
        <v>1.4</v>
      </c>
      <c r="E13" s="311">
        <v>1.3</v>
      </c>
      <c r="F13" s="311">
        <v>1.2</v>
      </c>
      <c r="G13" s="311">
        <v>1.1000000000000001</v>
      </c>
      <c r="H13" s="311">
        <v>1.1000000000000001</v>
      </c>
      <c r="I13" s="311">
        <v>1</v>
      </c>
      <c r="J13" s="311">
        <v>1</v>
      </c>
      <c r="K13" s="311">
        <v>1</v>
      </c>
      <c r="L13" s="311">
        <v>0.9</v>
      </c>
      <c r="M13" s="311">
        <v>0.9</v>
      </c>
      <c r="N13" s="312">
        <v>0.9</v>
      </c>
      <c r="O13" s="379">
        <f>N13/SUM(N$13:N$18)</f>
        <v>3.0508474576271191E-2</v>
      </c>
    </row>
    <row r="14" spans="1:17" x14ac:dyDescent="0.25">
      <c r="A14" s="313" t="s">
        <v>680</v>
      </c>
      <c r="B14" s="310"/>
      <c r="C14" s="311">
        <v>26.5</v>
      </c>
      <c r="D14" s="311">
        <v>26.9</v>
      </c>
      <c r="E14" s="311">
        <v>27.1</v>
      </c>
      <c r="F14" s="311">
        <v>27.2</v>
      </c>
      <c r="G14" s="311">
        <v>27.3</v>
      </c>
      <c r="H14" s="311">
        <v>27.3</v>
      </c>
      <c r="I14" s="311">
        <v>27.2</v>
      </c>
      <c r="J14" s="311">
        <v>27.1</v>
      </c>
      <c r="K14" s="311">
        <v>26.9</v>
      </c>
      <c r="L14" s="311">
        <v>26.8</v>
      </c>
      <c r="M14" s="311">
        <v>26.5</v>
      </c>
      <c r="N14" s="312">
        <v>26.3</v>
      </c>
      <c r="O14" s="379">
        <f t="shared" ref="O14:O18" si="1">N14/SUM(N$13:N$18)</f>
        <v>0.89152542372881372</v>
      </c>
    </row>
    <row r="15" spans="1:17" x14ac:dyDescent="0.25">
      <c r="A15" s="313" t="s">
        <v>3</v>
      </c>
      <c r="B15" s="310"/>
      <c r="C15" s="311">
        <v>0</v>
      </c>
      <c r="D15" s="311">
        <v>0</v>
      </c>
      <c r="E15" s="311">
        <v>0</v>
      </c>
      <c r="F15" s="311">
        <v>0</v>
      </c>
      <c r="G15" s="311">
        <v>0</v>
      </c>
      <c r="H15" s="311">
        <v>0</v>
      </c>
      <c r="I15" s="311">
        <v>0</v>
      </c>
      <c r="J15" s="311">
        <v>0</v>
      </c>
      <c r="K15" s="311">
        <v>0</v>
      </c>
      <c r="L15" s="311">
        <v>0</v>
      </c>
      <c r="M15" s="311">
        <v>0</v>
      </c>
      <c r="N15" s="312">
        <v>0</v>
      </c>
      <c r="O15" s="379">
        <f t="shared" si="1"/>
        <v>0</v>
      </c>
    </row>
    <row r="16" spans="1:17" x14ac:dyDescent="0.25">
      <c r="A16" s="313" t="s">
        <v>27</v>
      </c>
      <c r="B16" s="310"/>
      <c r="C16" s="311">
        <v>0</v>
      </c>
      <c r="D16" s="311">
        <v>0</v>
      </c>
      <c r="E16" s="311">
        <v>0</v>
      </c>
      <c r="F16" s="311">
        <v>0.1</v>
      </c>
      <c r="G16" s="311">
        <v>0.1</v>
      </c>
      <c r="H16" s="311">
        <v>0.1</v>
      </c>
      <c r="I16" s="311">
        <v>0.1</v>
      </c>
      <c r="J16" s="311">
        <v>0.2</v>
      </c>
      <c r="K16" s="311">
        <v>0.2</v>
      </c>
      <c r="L16" s="311">
        <v>0.3</v>
      </c>
      <c r="M16" s="311">
        <v>0.3</v>
      </c>
      <c r="N16" s="312">
        <v>0.4</v>
      </c>
      <c r="O16" s="379">
        <f t="shared" si="1"/>
        <v>1.3559322033898308E-2</v>
      </c>
    </row>
    <row r="17" spans="1:15" x14ac:dyDescent="0.25">
      <c r="A17" s="313" t="s">
        <v>682</v>
      </c>
      <c r="B17" s="310"/>
      <c r="C17" s="311">
        <v>2</v>
      </c>
      <c r="D17" s="311">
        <v>1.9</v>
      </c>
      <c r="E17" s="311">
        <v>1.9</v>
      </c>
      <c r="F17" s="311">
        <v>2</v>
      </c>
      <c r="G17" s="311">
        <v>2</v>
      </c>
      <c r="H17" s="311">
        <v>2</v>
      </c>
      <c r="I17" s="311">
        <v>1.9</v>
      </c>
      <c r="J17" s="311">
        <v>1.9</v>
      </c>
      <c r="K17" s="311">
        <v>1.9</v>
      </c>
      <c r="L17" s="311">
        <v>1.9</v>
      </c>
      <c r="M17" s="311">
        <v>1.9</v>
      </c>
      <c r="N17" s="312">
        <v>1.9</v>
      </c>
      <c r="O17" s="379">
        <f t="shared" si="1"/>
        <v>6.4406779661016961E-2</v>
      </c>
    </row>
    <row r="18" spans="1:15" x14ac:dyDescent="0.25">
      <c r="A18" s="314" t="s">
        <v>683</v>
      </c>
      <c r="B18" s="315"/>
      <c r="C18" s="316">
        <v>0</v>
      </c>
      <c r="D18" s="316">
        <v>0</v>
      </c>
      <c r="E18" s="316">
        <v>0</v>
      </c>
      <c r="F18" s="316">
        <v>0</v>
      </c>
      <c r="G18" s="316">
        <v>0</v>
      </c>
      <c r="H18" s="316">
        <v>0</v>
      </c>
      <c r="I18" s="316">
        <v>0</v>
      </c>
      <c r="J18" s="316">
        <v>0</v>
      </c>
      <c r="K18" s="316">
        <v>0</v>
      </c>
      <c r="L18" s="316">
        <v>0</v>
      </c>
      <c r="M18" s="316">
        <v>0</v>
      </c>
      <c r="N18" s="317">
        <v>0</v>
      </c>
      <c r="O18" s="379">
        <f t="shared" si="1"/>
        <v>0</v>
      </c>
    </row>
    <row r="19" spans="1:15" x14ac:dyDescent="0.25">
      <c r="A19" s="309" t="s">
        <v>684</v>
      </c>
      <c r="B19" s="310"/>
      <c r="C19" s="311">
        <v>0</v>
      </c>
      <c r="D19" s="311">
        <v>0</v>
      </c>
      <c r="E19" s="311">
        <v>0</v>
      </c>
      <c r="F19" s="311">
        <v>0</v>
      </c>
      <c r="G19" s="311">
        <v>0</v>
      </c>
      <c r="H19" s="311">
        <v>0</v>
      </c>
      <c r="I19" s="311">
        <v>0</v>
      </c>
      <c r="J19" s="311">
        <v>0</v>
      </c>
      <c r="K19" s="311">
        <v>0</v>
      </c>
      <c r="L19" s="311">
        <v>0</v>
      </c>
      <c r="M19" s="311">
        <v>0</v>
      </c>
      <c r="N19" s="312">
        <v>0</v>
      </c>
      <c r="O19" s="382">
        <f>SUM(N20:N25)/(SUM(N5:N36)+SUM(N40:N41)+SUM(N45:N48)+SUM(N52:N53)+SUM(N57:N59))</f>
        <v>9.8226466575716209E-2</v>
      </c>
    </row>
    <row r="20" spans="1:15" x14ac:dyDescent="0.25">
      <c r="A20" s="313" t="s">
        <v>680</v>
      </c>
      <c r="B20" s="310"/>
      <c r="C20" s="311">
        <v>21.8</v>
      </c>
      <c r="D20" s="311">
        <v>22</v>
      </c>
      <c r="E20" s="311">
        <v>22.1</v>
      </c>
      <c r="F20" s="311">
        <v>22.1</v>
      </c>
      <c r="G20" s="311">
        <v>22</v>
      </c>
      <c r="H20" s="311">
        <v>21.9</v>
      </c>
      <c r="I20" s="311">
        <v>21.8</v>
      </c>
      <c r="J20" s="311">
        <v>21.6</v>
      </c>
      <c r="K20" s="311">
        <v>21.3</v>
      </c>
      <c r="L20" s="311">
        <v>21</v>
      </c>
      <c r="M20" s="311">
        <v>20.6</v>
      </c>
      <c r="N20" s="312">
        <v>20.2</v>
      </c>
      <c r="O20" s="379">
        <f>N20/SUM(N$20:N$25)</f>
        <v>0.93518518518518523</v>
      </c>
    </row>
    <row r="21" spans="1:15" x14ac:dyDescent="0.25">
      <c r="A21" s="313" t="s">
        <v>3</v>
      </c>
      <c r="B21" s="310"/>
      <c r="C21" s="311">
        <v>0.1</v>
      </c>
      <c r="D21" s="311">
        <v>0.1</v>
      </c>
      <c r="E21" s="311">
        <v>0.1</v>
      </c>
      <c r="F21" s="311">
        <v>0.1</v>
      </c>
      <c r="G21" s="311">
        <v>0.1</v>
      </c>
      <c r="H21" s="311">
        <v>0.1</v>
      </c>
      <c r="I21" s="311">
        <v>0.1</v>
      </c>
      <c r="J21" s="311">
        <v>0</v>
      </c>
      <c r="K21" s="311">
        <v>0</v>
      </c>
      <c r="L21" s="311">
        <v>0</v>
      </c>
      <c r="M21" s="311">
        <v>0</v>
      </c>
      <c r="N21" s="312">
        <v>0</v>
      </c>
      <c r="O21" s="379">
        <f t="shared" ref="O21:O25" si="2">N21/SUM(N$20:N$25)</f>
        <v>0</v>
      </c>
    </row>
    <row r="22" spans="1:15" x14ac:dyDescent="0.25">
      <c r="A22" s="313" t="s">
        <v>682</v>
      </c>
      <c r="B22" s="310"/>
      <c r="C22" s="311">
        <v>1.6</v>
      </c>
      <c r="D22" s="311">
        <v>1.5</v>
      </c>
      <c r="E22" s="311">
        <v>1.6</v>
      </c>
      <c r="F22" s="311">
        <v>1.6</v>
      </c>
      <c r="G22" s="311">
        <v>1.5</v>
      </c>
      <c r="H22" s="311">
        <v>1.5</v>
      </c>
      <c r="I22" s="311">
        <v>1.5</v>
      </c>
      <c r="J22" s="311">
        <v>1.5</v>
      </c>
      <c r="K22" s="311">
        <v>1.5</v>
      </c>
      <c r="L22" s="311">
        <v>1.5</v>
      </c>
      <c r="M22" s="311">
        <v>1.4</v>
      </c>
      <c r="N22" s="312">
        <v>1.4</v>
      </c>
      <c r="O22" s="379">
        <f t="shared" si="2"/>
        <v>6.4814814814814811E-2</v>
      </c>
    </row>
    <row r="23" spans="1:15" x14ac:dyDescent="0.25">
      <c r="A23" s="313" t="s">
        <v>683</v>
      </c>
      <c r="B23" s="310"/>
      <c r="C23" s="311">
        <v>0</v>
      </c>
      <c r="D23" s="311">
        <v>0</v>
      </c>
      <c r="E23" s="311">
        <v>0</v>
      </c>
      <c r="F23" s="311">
        <v>0</v>
      </c>
      <c r="G23" s="311">
        <v>0</v>
      </c>
      <c r="H23" s="311">
        <v>0</v>
      </c>
      <c r="I23" s="311">
        <v>0</v>
      </c>
      <c r="J23" s="311">
        <v>0</v>
      </c>
      <c r="K23" s="311">
        <v>0</v>
      </c>
      <c r="L23" s="311">
        <v>0</v>
      </c>
      <c r="M23" s="311">
        <v>0</v>
      </c>
      <c r="N23" s="312">
        <v>0</v>
      </c>
      <c r="O23" s="379">
        <f t="shared" si="2"/>
        <v>0</v>
      </c>
    </row>
    <row r="24" spans="1:15" x14ac:dyDescent="0.25">
      <c r="A24" s="313" t="s">
        <v>27</v>
      </c>
      <c r="B24" s="310"/>
      <c r="C24" s="311">
        <v>0</v>
      </c>
      <c r="D24" s="311">
        <v>0</v>
      </c>
      <c r="E24" s="311">
        <v>0</v>
      </c>
      <c r="F24" s="311">
        <v>0</v>
      </c>
      <c r="G24" s="311">
        <v>0</v>
      </c>
      <c r="H24" s="311">
        <v>0</v>
      </c>
      <c r="I24" s="311">
        <v>0</v>
      </c>
      <c r="J24" s="311">
        <v>0</v>
      </c>
      <c r="K24" s="311">
        <v>0</v>
      </c>
      <c r="L24" s="311">
        <v>0</v>
      </c>
      <c r="M24" s="311">
        <v>0</v>
      </c>
      <c r="N24" s="312">
        <v>0</v>
      </c>
      <c r="O24" s="379">
        <f t="shared" si="2"/>
        <v>0</v>
      </c>
    </row>
    <row r="25" spans="1:15" x14ac:dyDescent="0.25">
      <c r="A25" s="314" t="s">
        <v>681</v>
      </c>
      <c r="B25" s="315"/>
      <c r="C25" s="316">
        <v>0</v>
      </c>
      <c r="D25" s="316">
        <v>0</v>
      </c>
      <c r="E25" s="316">
        <v>0</v>
      </c>
      <c r="F25" s="316">
        <v>0</v>
      </c>
      <c r="G25" s="316">
        <v>0</v>
      </c>
      <c r="H25" s="316">
        <v>0</v>
      </c>
      <c r="I25" s="316">
        <v>0</v>
      </c>
      <c r="J25" s="316">
        <v>0</v>
      </c>
      <c r="K25" s="316">
        <v>0</v>
      </c>
      <c r="L25" s="316">
        <v>0</v>
      </c>
      <c r="M25" s="316">
        <v>0</v>
      </c>
      <c r="N25" s="317">
        <v>0</v>
      </c>
      <c r="O25" s="379">
        <f t="shared" si="2"/>
        <v>0</v>
      </c>
    </row>
    <row r="26" spans="1:15" x14ac:dyDescent="0.25">
      <c r="A26" s="309" t="s">
        <v>246</v>
      </c>
      <c r="B26" s="310"/>
      <c r="C26" s="311">
        <v>0</v>
      </c>
      <c r="D26" s="311">
        <v>0</v>
      </c>
      <c r="E26" s="311">
        <v>0</v>
      </c>
      <c r="F26" s="311">
        <v>0</v>
      </c>
      <c r="G26" s="311">
        <v>0</v>
      </c>
      <c r="H26" s="311">
        <v>0</v>
      </c>
      <c r="I26" s="311">
        <v>0</v>
      </c>
      <c r="J26" s="311">
        <v>0</v>
      </c>
      <c r="K26" s="311">
        <v>0</v>
      </c>
      <c r="L26" s="311">
        <v>0</v>
      </c>
      <c r="M26" s="311">
        <v>0</v>
      </c>
      <c r="N26" s="312">
        <v>0</v>
      </c>
      <c r="O26" s="382">
        <f>SUM(N27:N33)/(SUM(N5:N36)+SUM(N40:N41)+SUM(N45:N48)+SUM(N52:N53)+SUM(N57:N59))</f>
        <v>2.9104138244656654E-2</v>
      </c>
    </row>
    <row r="27" spans="1:15" x14ac:dyDescent="0.25">
      <c r="A27" s="313" t="s">
        <v>680</v>
      </c>
      <c r="B27" s="310"/>
      <c r="C27" s="311">
        <v>7.3</v>
      </c>
      <c r="D27" s="311">
        <v>7.2</v>
      </c>
      <c r="E27" s="311">
        <v>6.9</v>
      </c>
      <c r="F27" s="311">
        <v>6.7</v>
      </c>
      <c r="G27" s="311">
        <v>6.4</v>
      </c>
      <c r="H27" s="311">
        <v>6</v>
      </c>
      <c r="I27" s="311">
        <v>5.7</v>
      </c>
      <c r="J27" s="311">
        <v>5.3</v>
      </c>
      <c r="K27" s="311">
        <v>5</v>
      </c>
      <c r="L27" s="311">
        <v>4.5999999999999996</v>
      </c>
      <c r="M27" s="311">
        <v>4.3</v>
      </c>
      <c r="N27" s="312">
        <v>4</v>
      </c>
      <c r="O27" s="379">
        <f>N27/SUM(N$27:N$33)</f>
        <v>0.625</v>
      </c>
    </row>
    <row r="28" spans="1:15" x14ac:dyDescent="0.25">
      <c r="A28" s="313" t="s">
        <v>27</v>
      </c>
      <c r="B28" s="310"/>
      <c r="C28" s="311">
        <v>0</v>
      </c>
      <c r="D28" s="311">
        <v>0</v>
      </c>
      <c r="E28" s="311">
        <v>0</v>
      </c>
      <c r="F28" s="311">
        <v>0.1</v>
      </c>
      <c r="G28" s="311">
        <v>0.1</v>
      </c>
      <c r="H28" s="311">
        <v>0.1</v>
      </c>
      <c r="I28" s="311">
        <v>0.1</v>
      </c>
      <c r="J28" s="311">
        <v>0.2</v>
      </c>
      <c r="K28" s="311">
        <v>0.2</v>
      </c>
      <c r="L28" s="311">
        <v>0.2</v>
      </c>
      <c r="M28" s="311">
        <v>0.3</v>
      </c>
      <c r="N28" s="312">
        <v>0.3</v>
      </c>
      <c r="O28" s="379">
        <f t="shared" ref="O28:O33" si="3">N28/SUM(N$27:N$33)</f>
        <v>4.6875E-2</v>
      </c>
    </row>
    <row r="29" spans="1:15" x14ac:dyDescent="0.25">
      <c r="A29" s="313" t="s">
        <v>685</v>
      </c>
      <c r="B29" s="310"/>
      <c r="C29" s="311">
        <v>0.5</v>
      </c>
      <c r="D29" s="311">
        <v>0.5</v>
      </c>
      <c r="E29" s="311">
        <v>0.5</v>
      </c>
      <c r="F29" s="311">
        <v>0.5</v>
      </c>
      <c r="G29" s="311">
        <v>0.4</v>
      </c>
      <c r="H29" s="311">
        <v>0.4</v>
      </c>
      <c r="I29" s="311">
        <v>0.4</v>
      </c>
      <c r="J29" s="311">
        <v>0.4</v>
      </c>
      <c r="K29" s="311">
        <v>0.4</v>
      </c>
      <c r="L29" s="311">
        <v>0.3</v>
      </c>
      <c r="M29" s="311">
        <v>0.3</v>
      </c>
      <c r="N29" s="312">
        <v>0.3</v>
      </c>
      <c r="O29" s="379">
        <f t="shared" si="3"/>
        <v>4.6875E-2</v>
      </c>
    </row>
    <row r="30" spans="1:15" x14ac:dyDescent="0.25">
      <c r="A30" s="313" t="s">
        <v>3</v>
      </c>
      <c r="B30" s="310"/>
      <c r="C30" s="311">
        <v>0.1</v>
      </c>
      <c r="D30" s="311">
        <v>0.2</v>
      </c>
      <c r="E30" s="311">
        <v>0.2</v>
      </c>
      <c r="F30" s="311">
        <v>0.2</v>
      </c>
      <c r="G30" s="311">
        <v>0.2</v>
      </c>
      <c r="H30" s="311">
        <v>0.3</v>
      </c>
      <c r="I30" s="311">
        <v>0.3</v>
      </c>
      <c r="J30" s="311">
        <v>0.4</v>
      </c>
      <c r="K30" s="311">
        <v>0.4</v>
      </c>
      <c r="L30" s="311">
        <v>0.5</v>
      </c>
      <c r="M30" s="311">
        <v>0.5</v>
      </c>
      <c r="N30" s="312">
        <v>0.5</v>
      </c>
      <c r="O30" s="379">
        <f t="shared" si="3"/>
        <v>7.8125E-2</v>
      </c>
    </row>
    <row r="31" spans="1:15" x14ac:dyDescent="0.25">
      <c r="A31" s="313" t="s">
        <v>683</v>
      </c>
      <c r="B31" s="310"/>
      <c r="C31" s="311">
        <v>0</v>
      </c>
      <c r="D31" s="311">
        <v>0</v>
      </c>
      <c r="E31" s="311">
        <v>0</v>
      </c>
      <c r="F31" s="311">
        <v>0</v>
      </c>
      <c r="G31" s="311">
        <v>0</v>
      </c>
      <c r="H31" s="311">
        <v>0</v>
      </c>
      <c r="I31" s="311">
        <v>0</v>
      </c>
      <c r="J31" s="311">
        <v>0</v>
      </c>
      <c r="K31" s="311">
        <v>0</v>
      </c>
      <c r="L31" s="311">
        <v>0</v>
      </c>
      <c r="M31" s="311">
        <v>0</v>
      </c>
      <c r="N31" s="312">
        <v>0</v>
      </c>
      <c r="O31" s="379">
        <f t="shared" si="3"/>
        <v>0</v>
      </c>
    </row>
    <row r="32" spans="1:15" x14ac:dyDescent="0.25">
      <c r="A32" s="313" t="s">
        <v>686</v>
      </c>
      <c r="B32" s="310"/>
      <c r="C32" s="311">
        <v>0.1</v>
      </c>
      <c r="D32" s="311">
        <v>0.2</v>
      </c>
      <c r="E32" s="311">
        <v>0.3</v>
      </c>
      <c r="F32" s="311">
        <v>0.4</v>
      </c>
      <c r="G32" s="311">
        <v>0.5</v>
      </c>
      <c r="H32" s="311">
        <v>0.6</v>
      </c>
      <c r="I32" s="311">
        <v>0.8</v>
      </c>
      <c r="J32" s="311">
        <v>0.9</v>
      </c>
      <c r="K32" s="311">
        <v>1.1000000000000001</v>
      </c>
      <c r="L32" s="311">
        <v>1.2</v>
      </c>
      <c r="M32" s="311">
        <v>1.3</v>
      </c>
      <c r="N32" s="312">
        <v>1.3</v>
      </c>
      <c r="O32" s="379">
        <f t="shared" si="3"/>
        <v>0.20312500000000003</v>
      </c>
    </row>
    <row r="33" spans="1:16" x14ac:dyDescent="0.25">
      <c r="A33" s="314" t="s">
        <v>681</v>
      </c>
      <c r="B33" s="315"/>
      <c r="C33" s="316">
        <v>0</v>
      </c>
      <c r="D33" s="316">
        <v>0</v>
      </c>
      <c r="E33" s="316">
        <v>0</v>
      </c>
      <c r="F33" s="316">
        <v>0</v>
      </c>
      <c r="G33" s="316">
        <v>0</v>
      </c>
      <c r="H33" s="316">
        <v>0</v>
      </c>
      <c r="I33" s="316">
        <v>0</v>
      </c>
      <c r="J33" s="316">
        <v>0</v>
      </c>
      <c r="K33" s="316">
        <v>0</v>
      </c>
      <c r="L33" s="316">
        <v>0</v>
      </c>
      <c r="M33" s="316">
        <v>0</v>
      </c>
      <c r="N33" s="317">
        <v>0</v>
      </c>
      <c r="O33" s="379">
        <f t="shared" si="3"/>
        <v>0</v>
      </c>
    </row>
    <row r="34" spans="1:16" x14ac:dyDescent="0.25">
      <c r="A34" s="309" t="s">
        <v>687</v>
      </c>
      <c r="B34" s="310"/>
      <c r="C34" s="311">
        <v>0</v>
      </c>
      <c r="D34" s="311">
        <v>0</v>
      </c>
      <c r="E34" s="311">
        <v>0</v>
      </c>
      <c r="F34" s="311">
        <v>0</v>
      </c>
      <c r="G34" s="311">
        <v>0</v>
      </c>
      <c r="H34" s="311">
        <v>0</v>
      </c>
      <c r="I34" s="311">
        <v>0</v>
      </c>
      <c r="J34" s="311">
        <v>0</v>
      </c>
      <c r="K34" s="311">
        <v>0</v>
      </c>
      <c r="L34" s="311">
        <v>0</v>
      </c>
      <c r="M34" s="311">
        <v>0</v>
      </c>
      <c r="N34" s="312">
        <v>0</v>
      </c>
      <c r="O34" s="382">
        <f>SUM(N35:N36)/(SUM(N5:N36)+SUM(N40:N41)+SUM(N45:N48)+SUM(N52:N53)+SUM(N57:N59))</f>
        <v>3.1832651205093219E-3</v>
      </c>
    </row>
    <row r="35" spans="1:16" x14ac:dyDescent="0.25">
      <c r="A35" s="313" t="s">
        <v>11</v>
      </c>
      <c r="B35" s="310"/>
      <c r="C35" s="311">
        <v>0.8</v>
      </c>
      <c r="D35" s="311">
        <v>0.8</v>
      </c>
      <c r="E35" s="311">
        <v>0.8</v>
      </c>
      <c r="F35" s="311">
        <v>0.8</v>
      </c>
      <c r="G35" s="311">
        <v>0.8</v>
      </c>
      <c r="H35" s="311">
        <v>0.8</v>
      </c>
      <c r="I35" s="311">
        <v>0.8</v>
      </c>
      <c r="J35" s="311">
        <v>0.7</v>
      </c>
      <c r="K35" s="311">
        <v>0.7</v>
      </c>
      <c r="L35" s="311">
        <v>0.7</v>
      </c>
      <c r="M35" s="311">
        <v>0.7</v>
      </c>
      <c r="N35" s="312">
        <v>0.7</v>
      </c>
      <c r="O35" s="379">
        <f>N35/SUM(N$35:N$36)</f>
        <v>1</v>
      </c>
    </row>
    <row r="36" spans="1:16" x14ac:dyDescent="0.25">
      <c r="A36" s="314" t="s">
        <v>682</v>
      </c>
      <c r="B36" s="315"/>
      <c r="C36" s="316">
        <v>0</v>
      </c>
      <c r="D36" s="316">
        <v>0</v>
      </c>
      <c r="E36" s="316">
        <v>0</v>
      </c>
      <c r="F36" s="316">
        <v>0</v>
      </c>
      <c r="G36" s="316">
        <v>0</v>
      </c>
      <c r="H36" s="316">
        <v>0</v>
      </c>
      <c r="I36" s="316">
        <v>0</v>
      </c>
      <c r="J36" s="316">
        <v>0</v>
      </c>
      <c r="K36" s="316">
        <v>0</v>
      </c>
      <c r="L36" s="316">
        <v>0</v>
      </c>
      <c r="M36" s="316">
        <v>0</v>
      </c>
      <c r="N36" s="317">
        <v>0</v>
      </c>
      <c r="O36" s="379">
        <f>N36/SUM(N$35:N$36)</f>
        <v>0</v>
      </c>
    </row>
    <row r="37" spans="1:16" x14ac:dyDescent="0.25">
      <c r="A37" s="318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</row>
    <row r="38" spans="1:16" x14ac:dyDescent="0.25">
      <c r="A38" s="318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</row>
    <row r="39" spans="1:16" ht="19.5" thickBot="1" x14ac:dyDescent="0.35">
      <c r="A39" s="306" t="s">
        <v>688</v>
      </c>
      <c r="B39" s="319" t="s">
        <v>679</v>
      </c>
      <c r="C39" s="307">
        <v>2019</v>
      </c>
      <c r="D39" s="307">
        <v>2020</v>
      </c>
      <c r="E39" s="307">
        <v>2021</v>
      </c>
      <c r="F39" s="307">
        <v>2022</v>
      </c>
      <c r="G39" s="307">
        <v>2023</v>
      </c>
      <c r="H39" s="307">
        <v>2024</v>
      </c>
      <c r="I39" s="307">
        <v>2025</v>
      </c>
      <c r="J39" s="307">
        <v>2026</v>
      </c>
      <c r="K39" s="307">
        <v>2027</v>
      </c>
      <c r="L39" s="307">
        <v>2028</v>
      </c>
      <c r="M39" s="307">
        <v>2029</v>
      </c>
      <c r="N39" s="308">
        <v>2030</v>
      </c>
      <c r="O39" s="382">
        <f>SUM(N40:N41)/(SUM(N5:N36)+SUM(N40:N41)+SUM(N45:N48)+SUM(N52:N53)+SUM(N57:N59))</f>
        <v>2.1373351523419733E-2</v>
      </c>
    </row>
    <row r="40" spans="1:16" x14ac:dyDescent="0.25">
      <c r="A40" s="313" t="s">
        <v>680</v>
      </c>
      <c r="B40" s="310"/>
      <c r="C40" s="311">
        <v>3.3</v>
      </c>
      <c r="D40" s="311">
        <v>3.3</v>
      </c>
      <c r="E40" s="311">
        <v>3.3</v>
      </c>
      <c r="F40" s="311">
        <v>3.3</v>
      </c>
      <c r="G40" s="311">
        <v>3.3</v>
      </c>
      <c r="H40" s="311">
        <v>3</v>
      </c>
      <c r="I40" s="311">
        <v>3</v>
      </c>
      <c r="J40" s="311">
        <v>3</v>
      </c>
      <c r="K40" s="311">
        <v>1.1000000000000001</v>
      </c>
      <c r="L40" s="311">
        <v>1</v>
      </c>
      <c r="M40" s="311">
        <v>0.9</v>
      </c>
      <c r="N40" s="312">
        <v>0.9</v>
      </c>
      <c r="O40" s="379">
        <f>N40/SUM(N$40:N$41)</f>
        <v>0.19148936170212766</v>
      </c>
    </row>
    <row r="41" spans="1:16" x14ac:dyDescent="0.25">
      <c r="A41" s="314" t="s">
        <v>27</v>
      </c>
      <c r="B41" s="315"/>
      <c r="C41" s="316">
        <v>1.6</v>
      </c>
      <c r="D41" s="316">
        <v>1.6</v>
      </c>
      <c r="E41" s="316">
        <v>1.6</v>
      </c>
      <c r="F41" s="316">
        <v>1.6</v>
      </c>
      <c r="G41" s="316">
        <v>1.6</v>
      </c>
      <c r="H41" s="316">
        <v>2</v>
      </c>
      <c r="I41" s="316">
        <v>2</v>
      </c>
      <c r="J41" s="316">
        <v>2</v>
      </c>
      <c r="K41" s="316">
        <v>3.5</v>
      </c>
      <c r="L41" s="316">
        <v>3.7</v>
      </c>
      <c r="M41" s="316">
        <v>3.8</v>
      </c>
      <c r="N41" s="317">
        <v>3.8</v>
      </c>
      <c r="O41" s="379">
        <f>N41/SUM(N$40:N$41)</f>
        <v>0.80851063829787229</v>
      </c>
    </row>
    <row r="42" spans="1:16" x14ac:dyDescent="0.25">
      <c r="A42" s="318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232"/>
    </row>
    <row r="43" spans="1:16" x14ac:dyDescent="0.25">
      <c r="A43" s="318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232"/>
    </row>
    <row r="44" spans="1:16" ht="19.5" thickBot="1" x14ac:dyDescent="0.35">
      <c r="A44" s="306" t="s">
        <v>689</v>
      </c>
      <c r="B44" s="319" t="s">
        <v>679</v>
      </c>
      <c r="C44" s="307">
        <v>2019</v>
      </c>
      <c r="D44" s="307">
        <v>2020</v>
      </c>
      <c r="E44" s="307">
        <v>2021</v>
      </c>
      <c r="F44" s="307">
        <v>2022</v>
      </c>
      <c r="G44" s="307">
        <v>2023</v>
      </c>
      <c r="H44" s="307">
        <v>2024</v>
      </c>
      <c r="I44" s="307">
        <v>2025</v>
      </c>
      <c r="J44" s="307">
        <v>2026</v>
      </c>
      <c r="K44" s="307">
        <v>2027</v>
      </c>
      <c r="L44" s="307">
        <v>2028</v>
      </c>
      <c r="M44" s="307">
        <v>2029</v>
      </c>
      <c r="N44" s="308">
        <v>2030</v>
      </c>
      <c r="O44" s="380">
        <f>SUM(N45:N48)/(SUM(N5:N36)+SUM(N40:N41)+SUM(N45:N48)+SUM(N52:N53)+SUM(N57:N59))</f>
        <v>6.3665302410186439E-3</v>
      </c>
    </row>
    <row r="45" spans="1:16" x14ac:dyDescent="0.25">
      <c r="A45" s="313" t="s">
        <v>690</v>
      </c>
      <c r="B45" s="310"/>
      <c r="C45" s="311">
        <v>0</v>
      </c>
      <c r="D45" s="311">
        <v>0</v>
      </c>
      <c r="E45" s="311">
        <v>0</v>
      </c>
      <c r="F45" s="311">
        <v>0</v>
      </c>
      <c r="G45" s="311">
        <v>0</v>
      </c>
      <c r="H45" s="311">
        <v>0</v>
      </c>
      <c r="I45" s="311">
        <v>0</v>
      </c>
      <c r="J45" s="311">
        <v>0</v>
      </c>
      <c r="K45" s="311">
        <v>0</v>
      </c>
      <c r="L45" s="311">
        <v>0</v>
      </c>
      <c r="M45" s="311">
        <v>0</v>
      </c>
      <c r="N45" s="312">
        <v>0</v>
      </c>
      <c r="O45" s="379">
        <f>N45/SUM(N$45:N$48)</f>
        <v>0</v>
      </c>
      <c r="P45" s="232">
        <f>N45/(SUM(N$45:N$48)+SUM(N$52:N$53))</f>
        <v>0</v>
      </c>
    </row>
    <row r="46" spans="1:16" x14ac:dyDescent="0.25">
      <c r="A46" s="313" t="s">
        <v>691</v>
      </c>
      <c r="B46" s="310"/>
      <c r="C46" s="311">
        <v>1.3</v>
      </c>
      <c r="D46" s="311">
        <v>1.3</v>
      </c>
      <c r="E46" s="311">
        <v>1.3</v>
      </c>
      <c r="F46" s="311">
        <v>1.3</v>
      </c>
      <c r="G46" s="311">
        <v>1.3</v>
      </c>
      <c r="H46" s="311">
        <v>1.3</v>
      </c>
      <c r="I46" s="311">
        <v>1.3</v>
      </c>
      <c r="J46" s="311">
        <v>1.4</v>
      </c>
      <c r="K46" s="311">
        <v>1.4</v>
      </c>
      <c r="L46" s="311">
        <v>1.4</v>
      </c>
      <c r="M46" s="311">
        <v>1.4</v>
      </c>
      <c r="N46" s="312">
        <v>1.4</v>
      </c>
      <c r="O46" s="379">
        <f t="shared" ref="O46:O48" si="4">N46/SUM(N$45:N$48)</f>
        <v>1</v>
      </c>
      <c r="P46" s="232">
        <f>(N46+N52)/(SUM(N$45:N$48)+SUM(N$52:N$53))</f>
        <v>1</v>
      </c>
    </row>
    <row r="47" spans="1:16" x14ac:dyDescent="0.25">
      <c r="A47" s="313" t="s">
        <v>682</v>
      </c>
      <c r="B47" s="310"/>
      <c r="C47" s="311">
        <v>0</v>
      </c>
      <c r="D47" s="311">
        <v>0</v>
      </c>
      <c r="E47" s="311">
        <v>0</v>
      </c>
      <c r="F47" s="311">
        <v>0</v>
      </c>
      <c r="G47" s="311">
        <v>0</v>
      </c>
      <c r="H47" s="311">
        <v>0</v>
      </c>
      <c r="I47" s="311">
        <v>0</v>
      </c>
      <c r="J47" s="311">
        <v>0</v>
      </c>
      <c r="K47" s="311">
        <v>0</v>
      </c>
      <c r="L47" s="311">
        <v>0</v>
      </c>
      <c r="M47" s="311">
        <v>0</v>
      </c>
      <c r="N47" s="312">
        <v>0</v>
      </c>
      <c r="O47" s="379">
        <f t="shared" si="4"/>
        <v>0</v>
      </c>
      <c r="P47" s="232">
        <f>(N47+N53)/(SUM(N$45:N$48)+SUM(N$52:N$53))</f>
        <v>0</v>
      </c>
    </row>
    <row r="48" spans="1:16" x14ac:dyDescent="0.25">
      <c r="A48" s="314" t="s">
        <v>692</v>
      </c>
      <c r="B48" s="315"/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7">
        <v>0</v>
      </c>
      <c r="O48" s="379">
        <f t="shared" si="4"/>
        <v>0</v>
      </c>
      <c r="P48" s="232">
        <f>N48/(SUM(N$45:N$48)+SUM(N$52:N$53))</f>
        <v>0</v>
      </c>
    </row>
    <row r="49" spans="1:15" x14ac:dyDescent="0.25">
      <c r="A49" s="320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232"/>
    </row>
    <row r="50" spans="1:15" x14ac:dyDescent="0.25">
      <c r="A50" s="320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232"/>
    </row>
    <row r="51" spans="1:15" ht="19.5" thickBot="1" x14ac:dyDescent="0.35">
      <c r="A51" s="306" t="s">
        <v>693</v>
      </c>
      <c r="B51" s="319" t="s">
        <v>679</v>
      </c>
      <c r="C51" s="307">
        <v>2019</v>
      </c>
      <c r="D51" s="307">
        <v>2020</v>
      </c>
      <c r="E51" s="307">
        <v>2021</v>
      </c>
      <c r="F51" s="307">
        <v>2022</v>
      </c>
      <c r="G51" s="307">
        <v>2023</v>
      </c>
      <c r="H51" s="307">
        <v>2024</v>
      </c>
      <c r="I51" s="307">
        <v>2025</v>
      </c>
      <c r="J51" s="307">
        <v>2026</v>
      </c>
      <c r="K51" s="307">
        <v>2027</v>
      </c>
      <c r="L51" s="307">
        <v>2028</v>
      </c>
      <c r="M51" s="307">
        <v>2029</v>
      </c>
      <c r="N51" s="308">
        <v>2030</v>
      </c>
      <c r="O51" s="380">
        <f>SUM(N52:N53)/(SUM(N5:N36)+SUM(N40:N41)+SUM(N45:N48)+SUM(N52:N53)+SUM(N57:N59))</f>
        <v>0.20054570259208729</v>
      </c>
    </row>
    <row r="52" spans="1:15" x14ac:dyDescent="0.25">
      <c r="A52" s="313" t="s">
        <v>691</v>
      </c>
      <c r="B52" s="310"/>
      <c r="C52" s="311">
        <v>41.4</v>
      </c>
      <c r="D52" s="311">
        <v>41.6</v>
      </c>
      <c r="E52" s="311">
        <v>41.8</v>
      </c>
      <c r="F52" s="311">
        <v>42</v>
      </c>
      <c r="G52" s="311">
        <v>42.2</v>
      </c>
      <c r="H52" s="311">
        <v>42.4</v>
      </c>
      <c r="I52" s="311">
        <v>42.6</v>
      </c>
      <c r="J52" s="311">
        <v>42.9</v>
      </c>
      <c r="K52" s="311">
        <v>43.2</v>
      </c>
      <c r="L52" s="311">
        <v>43.5</v>
      </c>
      <c r="M52" s="311">
        <v>43.7</v>
      </c>
      <c r="N52" s="312">
        <v>44.1</v>
      </c>
      <c r="O52" s="379">
        <f>N52/SUM(N$52:N$53)</f>
        <v>1</v>
      </c>
    </row>
    <row r="53" spans="1:15" x14ac:dyDescent="0.25">
      <c r="A53" s="314" t="s">
        <v>682</v>
      </c>
      <c r="B53" s="315"/>
      <c r="C53" s="316">
        <v>0</v>
      </c>
      <c r="D53" s="316">
        <v>0</v>
      </c>
      <c r="E53" s="316">
        <v>0</v>
      </c>
      <c r="F53" s="316">
        <v>0</v>
      </c>
      <c r="G53" s="316">
        <v>0</v>
      </c>
      <c r="H53" s="316">
        <v>0</v>
      </c>
      <c r="I53" s="316">
        <v>0</v>
      </c>
      <c r="J53" s="316">
        <v>0</v>
      </c>
      <c r="K53" s="316">
        <v>0</v>
      </c>
      <c r="L53" s="316">
        <v>0</v>
      </c>
      <c r="M53" s="316">
        <v>0</v>
      </c>
      <c r="N53" s="317">
        <v>0</v>
      </c>
      <c r="O53" s="379">
        <f>N53/SUM(N$52:N$53)</f>
        <v>0</v>
      </c>
    </row>
    <row r="54" spans="1:15" x14ac:dyDescent="0.25">
      <c r="A54" s="320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232"/>
    </row>
    <row r="55" spans="1:15" x14ac:dyDescent="0.25">
      <c r="A55" s="320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232"/>
    </row>
    <row r="56" spans="1:15" ht="19.5" thickBot="1" x14ac:dyDescent="0.35">
      <c r="A56" s="306" t="s">
        <v>694</v>
      </c>
      <c r="B56" s="319" t="s">
        <v>679</v>
      </c>
      <c r="C56" s="307">
        <v>2019</v>
      </c>
      <c r="D56" s="307">
        <v>2020</v>
      </c>
      <c r="E56" s="307">
        <v>2021</v>
      </c>
      <c r="F56" s="307">
        <v>2022</v>
      </c>
      <c r="G56" s="307">
        <v>2023</v>
      </c>
      <c r="H56" s="307">
        <v>2024</v>
      </c>
      <c r="I56" s="307">
        <v>2025</v>
      </c>
      <c r="J56" s="307">
        <v>2026</v>
      </c>
      <c r="K56" s="307">
        <v>2027</v>
      </c>
      <c r="L56" s="307">
        <v>2028</v>
      </c>
      <c r="M56" s="307">
        <v>2029</v>
      </c>
      <c r="N56" s="308">
        <v>2030</v>
      </c>
      <c r="O56" s="380">
        <f>SUM(N57:N59)/(SUM(N5:N36)+SUM(N40:N41)+SUM(N45:N48)+SUM(N52:N53)+SUM(N57:N59))</f>
        <v>2.7285129604365615E-2</v>
      </c>
    </row>
    <row r="57" spans="1:15" x14ac:dyDescent="0.25">
      <c r="A57" s="313" t="s">
        <v>695</v>
      </c>
      <c r="B57" s="310"/>
      <c r="C57" s="311">
        <v>0</v>
      </c>
      <c r="D57" s="311">
        <v>0</v>
      </c>
      <c r="E57" s="311">
        <v>0</v>
      </c>
      <c r="F57" s="311">
        <v>0</v>
      </c>
      <c r="G57" s="311">
        <v>0</v>
      </c>
      <c r="H57" s="311">
        <v>0</v>
      </c>
      <c r="I57" s="311">
        <v>0</v>
      </c>
      <c r="J57" s="311">
        <v>0</v>
      </c>
      <c r="K57" s="311">
        <v>0</v>
      </c>
      <c r="L57" s="311">
        <v>0</v>
      </c>
      <c r="M57" s="311">
        <v>0</v>
      </c>
      <c r="N57" s="312">
        <v>0</v>
      </c>
      <c r="O57" s="379">
        <f>N57/SUM(N$57:N$59)</f>
        <v>0</v>
      </c>
    </row>
    <row r="58" spans="1:15" x14ac:dyDescent="0.25">
      <c r="A58" s="313" t="s">
        <v>680</v>
      </c>
      <c r="B58" s="310"/>
      <c r="C58" s="311">
        <v>6.2</v>
      </c>
      <c r="D58" s="311">
        <v>6.1</v>
      </c>
      <c r="E58" s="311">
        <v>6.1</v>
      </c>
      <c r="F58" s="311">
        <v>6.1</v>
      </c>
      <c r="G58" s="311">
        <v>6.1</v>
      </c>
      <c r="H58" s="311">
        <v>6</v>
      </c>
      <c r="I58" s="311">
        <v>6</v>
      </c>
      <c r="J58" s="311">
        <v>6</v>
      </c>
      <c r="K58" s="311">
        <v>5.9</v>
      </c>
      <c r="L58" s="311">
        <v>5.9</v>
      </c>
      <c r="M58" s="311">
        <v>5.9</v>
      </c>
      <c r="N58" s="312">
        <v>5.9</v>
      </c>
      <c r="O58" s="379">
        <f t="shared" ref="O58:O59" si="5">N58/SUM(N$57:N$59)</f>
        <v>0.98333333333333339</v>
      </c>
    </row>
    <row r="59" spans="1:15" x14ac:dyDescent="0.25">
      <c r="A59" s="314" t="s">
        <v>27</v>
      </c>
      <c r="B59" s="315"/>
      <c r="C59" s="316">
        <v>0</v>
      </c>
      <c r="D59" s="316">
        <v>0</v>
      </c>
      <c r="E59" s="316">
        <v>0</v>
      </c>
      <c r="F59" s="316">
        <v>0</v>
      </c>
      <c r="G59" s="316">
        <v>0</v>
      </c>
      <c r="H59" s="316">
        <v>0</v>
      </c>
      <c r="I59" s="316">
        <v>0</v>
      </c>
      <c r="J59" s="316">
        <v>0</v>
      </c>
      <c r="K59" s="316">
        <v>0</v>
      </c>
      <c r="L59" s="316">
        <v>0.1</v>
      </c>
      <c r="M59" s="316">
        <v>0.1</v>
      </c>
      <c r="N59" s="317">
        <v>0.1</v>
      </c>
      <c r="O59" s="379">
        <f t="shared" si="5"/>
        <v>1.6666666666666666E-2</v>
      </c>
    </row>
    <row r="60" spans="1:15" x14ac:dyDescent="0.25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</row>
    <row r="62" spans="1:15" x14ac:dyDescent="0.25">
      <c r="A62" s="378" t="s">
        <v>779</v>
      </c>
      <c r="B62" s="331">
        <f>((SUM(N5:N36)+SUM(N40:N41)+SUM(N45:N48)+SUM(N52:N53)+SUM(N57:N59))/(SUM(C5:C36)+SUM(C40:C41)+SUM(C45:C48)+SUM(C52:C53)+SUM(C57:C59)))^(1/(N3-C3))-1</f>
        <v>4.9757555675955523E-4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8"/>
  <sheetViews>
    <sheetView workbookViewId="0">
      <selection activeCell="F21" sqref="F21"/>
    </sheetView>
  </sheetViews>
  <sheetFormatPr defaultRowHeight="15" x14ac:dyDescent="0.25"/>
  <cols>
    <col min="1" max="1" width="16.140625" customWidth="1"/>
    <col min="2" max="2" width="37" customWidth="1"/>
    <col min="3" max="3" width="13.5703125" customWidth="1"/>
    <col min="4" max="4" width="24" customWidth="1"/>
    <col min="5" max="5" width="20.85546875" customWidth="1"/>
  </cols>
  <sheetData>
    <row r="1" spans="1:5" x14ac:dyDescent="0.25">
      <c r="A1" s="326" t="s">
        <v>697</v>
      </c>
      <c r="B1" s="326" t="s">
        <v>708</v>
      </c>
      <c r="C1" s="326" t="s">
        <v>709</v>
      </c>
      <c r="D1" s="326" t="s">
        <v>710</v>
      </c>
      <c r="E1" s="326" t="s">
        <v>305</v>
      </c>
    </row>
    <row r="2" spans="1:5" x14ac:dyDescent="0.25">
      <c r="A2" s="326">
        <v>2020</v>
      </c>
      <c r="B2" s="327">
        <v>109</v>
      </c>
      <c r="C2" s="327">
        <v>3.9</v>
      </c>
      <c r="D2" s="327">
        <v>3.7</v>
      </c>
      <c r="E2" s="327">
        <v>0.9</v>
      </c>
    </row>
    <row r="3" spans="1:5" x14ac:dyDescent="0.25">
      <c r="A3" s="326">
        <v>2021</v>
      </c>
      <c r="B3" s="327">
        <v>112</v>
      </c>
      <c r="C3" s="327">
        <v>3.9</v>
      </c>
      <c r="D3" s="327">
        <v>3.7</v>
      </c>
      <c r="E3" s="327">
        <v>0.9</v>
      </c>
    </row>
    <row r="4" spans="1:5" x14ac:dyDescent="0.25">
      <c r="A4" s="326">
        <v>2022</v>
      </c>
      <c r="B4" s="327">
        <v>115</v>
      </c>
      <c r="C4" s="327">
        <v>4</v>
      </c>
      <c r="D4" s="327">
        <v>3.8</v>
      </c>
      <c r="E4" s="327">
        <v>0.9</v>
      </c>
    </row>
    <row r="5" spans="1:5" x14ac:dyDescent="0.25">
      <c r="A5" s="326">
        <v>2023</v>
      </c>
      <c r="B5" s="327">
        <v>118</v>
      </c>
      <c r="C5" s="327">
        <v>4</v>
      </c>
      <c r="D5" s="327">
        <v>3.8</v>
      </c>
      <c r="E5" s="327">
        <v>0.9</v>
      </c>
    </row>
    <row r="6" spans="1:5" x14ac:dyDescent="0.25">
      <c r="A6" s="326">
        <v>2024</v>
      </c>
      <c r="B6" s="327">
        <v>121</v>
      </c>
      <c r="C6" s="327">
        <v>4</v>
      </c>
      <c r="D6" s="327">
        <v>3.8</v>
      </c>
      <c r="E6" s="327">
        <v>0.9</v>
      </c>
    </row>
    <row r="7" spans="1:5" x14ac:dyDescent="0.25">
      <c r="A7" s="326">
        <v>2025</v>
      </c>
      <c r="B7" s="327">
        <v>124</v>
      </c>
      <c r="C7" s="327">
        <v>4</v>
      </c>
      <c r="D7" s="327">
        <v>3.9</v>
      </c>
      <c r="E7" s="327">
        <v>0.9</v>
      </c>
    </row>
    <row r="8" spans="1:5" x14ac:dyDescent="0.25">
      <c r="A8" s="326">
        <v>2026</v>
      </c>
      <c r="B8" s="327">
        <v>126</v>
      </c>
      <c r="C8" s="327">
        <v>4</v>
      </c>
      <c r="D8" s="327">
        <v>3.9</v>
      </c>
      <c r="E8" s="327">
        <v>0.9</v>
      </c>
    </row>
    <row r="9" spans="1:5" x14ac:dyDescent="0.25">
      <c r="A9" s="326">
        <v>2027</v>
      </c>
      <c r="B9" s="327">
        <v>128</v>
      </c>
      <c r="C9" s="327">
        <v>4</v>
      </c>
      <c r="D9" s="327">
        <v>3.9</v>
      </c>
      <c r="E9" s="327">
        <v>0.9</v>
      </c>
    </row>
    <row r="10" spans="1:5" x14ac:dyDescent="0.25">
      <c r="A10" s="326">
        <v>2028</v>
      </c>
      <c r="B10" s="327">
        <v>130</v>
      </c>
      <c r="C10" s="327">
        <v>4</v>
      </c>
      <c r="D10" s="327">
        <v>3.9</v>
      </c>
      <c r="E10" s="327">
        <v>0.9</v>
      </c>
    </row>
    <row r="11" spans="1:5" x14ac:dyDescent="0.25">
      <c r="A11" s="326">
        <v>2029</v>
      </c>
      <c r="B11" s="327">
        <v>132</v>
      </c>
      <c r="C11" s="327">
        <v>4</v>
      </c>
      <c r="D11" s="327">
        <v>3.9</v>
      </c>
      <c r="E11" s="327">
        <v>0.8</v>
      </c>
    </row>
    <row r="12" spans="1:5" x14ac:dyDescent="0.25">
      <c r="A12" s="326">
        <v>2030</v>
      </c>
      <c r="B12" s="327">
        <v>135</v>
      </c>
      <c r="C12" s="327">
        <v>4</v>
      </c>
      <c r="D12" s="327">
        <v>3.9</v>
      </c>
      <c r="E12" s="327">
        <v>0.8</v>
      </c>
    </row>
    <row r="13" spans="1:5" x14ac:dyDescent="0.25">
      <c r="A13" s="328" t="s">
        <v>711</v>
      </c>
      <c r="B13" s="325"/>
      <c r="C13" s="325"/>
      <c r="D13" s="325"/>
      <c r="E13" s="325"/>
    </row>
    <row r="14" spans="1:5" x14ac:dyDescent="0.25">
      <c r="B14" s="304" t="s">
        <v>720</v>
      </c>
    </row>
    <row r="15" spans="1:5" x14ac:dyDescent="0.25">
      <c r="A15" t="s">
        <v>307</v>
      </c>
      <c r="B15" s="232">
        <f>($D$12/$D$2)^(1/($A$12-$A$2))-1</f>
        <v>5.2782545097671552E-3</v>
      </c>
    </row>
    <row r="16" spans="1:5" x14ac:dyDescent="0.25">
      <c r="A16" t="s">
        <v>305</v>
      </c>
      <c r="B16" s="232">
        <f>($E$12/$E$2)^(1/($A$12-$A$2))-1</f>
        <v>-1.1709210879118914E-2</v>
      </c>
    </row>
    <row r="17" spans="1:2" x14ac:dyDescent="0.25">
      <c r="A17" t="s">
        <v>309</v>
      </c>
      <c r="B17" s="232">
        <f>($C$12/$C$2)^(1/($A$12-$A$2))-1</f>
        <v>2.5349884618970364E-3</v>
      </c>
    </row>
    <row r="18" spans="1:2" x14ac:dyDescent="0.25">
      <c r="A18" t="s">
        <v>290</v>
      </c>
      <c r="B18" s="232">
        <f>($C$12/$C$2)^(1/($A$12-$A$2))-1</f>
        <v>2.5349884618970364E-3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4"/>
  <sheetViews>
    <sheetView workbookViewId="0">
      <selection activeCell="E13" sqref="E13"/>
    </sheetView>
  </sheetViews>
  <sheetFormatPr defaultRowHeight="15" x14ac:dyDescent="0.25"/>
  <cols>
    <col min="2" max="2" width="15.85546875" customWidth="1"/>
    <col min="3" max="3" width="21.140625" customWidth="1"/>
    <col min="4" max="4" width="22.140625" customWidth="1"/>
    <col min="5" max="5" width="41.85546875" customWidth="1"/>
    <col min="6" max="6" width="25.85546875" customWidth="1"/>
    <col min="7" max="7" width="28" customWidth="1"/>
  </cols>
  <sheetData>
    <row r="1" spans="1:7" x14ac:dyDescent="0.25">
      <c r="A1" s="333" t="s">
        <v>679</v>
      </c>
      <c r="B1" s="333" t="s">
        <v>721</v>
      </c>
      <c r="C1" s="333" t="s">
        <v>722</v>
      </c>
      <c r="D1" s="333" t="s">
        <v>723</v>
      </c>
      <c r="E1" s="333" t="s">
        <v>724</v>
      </c>
      <c r="F1" s="333" t="s">
        <v>725</v>
      </c>
      <c r="G1" s="333" t="s">
        <v>726</v>
      </c>
    </row>
    <row r="2" spans="1:7" x14ac:dyDescent="0.25">
      <c r="A2" s="333">
        <v>2020</v>
      </c>
      <c r="B2" s="334">
        <v>3.2</v>
      </c>
      <c r="C2" s="334">
        <v>0.4</v>
      </c>
      <c r="D2" s="334">
        <v>1.6</v>
      </c>
      <c r="E2" s="334">
        <v>98.3</v>
      </c>
      <c r="F2" s="334">
        <v>5.7</v>
      </c>
      <c r="G2" s="334">
        <v>12.2</v>
      </c>
    </row>
    <row r="3" spans="1:7" x14ac:dyDescent="0.25">
      <c r="A3" s="333">
        <v>2021</v>
      </c>
      <c r="B3" s="334">
        <v>6.3</v>
      </c>
      <c r="C3" s="334">
        <v>0.6</v>
      </c>
      <c r="D3" s="334">
        <v>1.6</v>
      </c>
      <c r="E3" s="334">
        <v>99.2</v>
      </c>
      <c r="F3" s="334">
        <v>5.6</v>
      </c>
      <c r="G3" s="334">
        <v>15</v>
      </c>
    </row>
    <row r="4" spans="1:7" x14ac:dyDescent="0.25">
      <c r="A4" s="333">
        <v>2022</v>
      </c>
      <c r="B4" s="334">
        <v>9.4</v>
      </c>
      <c r="C4" s="334">
        <v>0.7</v>
      </c>
      <c r="D4" s="334">
        <v>1.6</v>
      </c>
      <c r="E4" s="334">
        <v>100.1</v>
      </c>
      <c r="F4" s="334">
        <v>5.5</v>
      </c>
      <c r="G4" s="334">
        <v>17.7</v>
      </c>
    </row>
    <row r="5" spans="1:7" x14ac:dyDescent="0.25">
      <c r="A5" s="333">
        <v>2023</v>
      </c>
      <c r="B5" s="334">
        <v>12.3</v>
      </c>
      <c r="C5" s="334">
        <v>0.9</v>
      </c>
      <c r="D5" s="334">
        <v>1.7</v>
      </c>
      <c r="E5" s="334">
        <v>101.1</v>
      </c>
      <c r="F5" s="334">
        <v>5.3</v>
      </c>
      <c r="G5" s="334">
        <v>19.7</v>
      </c>
    </row>
    <row r="6" spans="1:7" x14ac:dyDescent="0.25">
      <c r="A6" s="333">
        <v>2024</v>
      </c>
      <c r="B6" s="334">
        <v>14.8</v>
      </c>
      <c r="C6" s="334">
        <v>1.1000000000000001</v>
      </c>
      <c r="D6" s="334">
        <v>2</v>
      </c>
      <c r="E6" s="334">
        <v>102</v>
      </c>
      <c r="F6" s="334">
        <v>5.2</v>
      </c>
      <c r="G6" s="334">
        <v>21.1</v>
      </c>
    </row>
    <row r="7" spans="1:7" x14ac:dyDescent="0.25">
      <c r="A7" s="333">
        <v>2025</v>
      </c>
      <c r="B7" s="334">
        <v>17</v>
      </c>
      <c r="C7" s="334">
        <v>1.3</v>
      </c>
      <c r="D7" s="334">
        <v>2</v>
      </c>
      <c r="E7" s="334">
        <v>102.9</v>
      </c>
      <c r="F7" s="334">
        <v>5.0999999999999996</v>
      </c>
      <c r="G7" s="334">
        <v>22.5</v>
      </c>
    </row>
    <row r="8" spans="1:7" x14ac:dyDescent="0.25">
      <c r="A8" s="333">
        <v>2026</v>
      </c>
      <c r="B8" s="334">
        <v>18.899999999999999</v>
      </c>
      <c r="C8" s="334">
        <v>1.6</v>
      </c>
      <c r="D8" s="334">
        <v>2</v>
      </c>
      <c r="E8" s="334">
        <v>103.4</v>
      </c>
      <c r="F8" s="334">
        <v>5</v>
      </c>
      <c r="G8" s="334">
        <v>23.1</v>
      </c>
    </row>
    <row r="9" spans="1:7" x14ac:dyDescent="0.25">
      <c r="A9" s="333">
        <v>2027</v>
      </c>
      <c r="B9" s="334">
        <v>20.6</v>
      </c>
      <c r="C9" s="334">
        <v>2</v>
      </c>
      <c r="D9" s="334">
        <v>3.6</v>
      </c>
      <c r="E9" s="334">
        <v>103.8</v>
      </c>
      <c r="F9" s="334">
        <v>4.9000000000000004</v>
      </c>
      <c r="G9" s="334">
        <v>24</v>
      </c>
    </row>
    <row r="10" spans="1:7" x14ac:dyDescent="0.25">
      <c r="A10" s="333">
        <v>2028</v>
      </c>
      <c r="B10" s="334">
        <v>22.2</v>
      </c>
      <c r="C10" s="334">
        <v>2.4</v>
      </c>
      <c r="D10" s="334">
        <v>3.7</v>
      </c>
      <c r="E10" s="334">
        <v>104.2</v>
      </c>
      <c r="F10" s="334">
        <v>4.7</v>
      </c>
      <c r="G10" s="334">
        <v>25.2</v>
      </c>
    </row>
    <row r="11" spans="1:7" x14ac:dyDescent="0.25">
      <c r="A11" s="333">
        <v>2029</v>
      </c>
      <c r="B11" s="334">
        <v>23.7</v>
      </c>
      <c r="C11" s="334">
        <v>3</v>
      </c>
      <c r="D11" s="334">
        <v>3.9</v>
      </c>
      <c r="E11" s="334">
        <v>104.7</v>
      </c>
      <c r="F11" s="334">
        <v>4.5999999999999996</v>
      </c>
      <c r="G11" s="334">
        <v>26.3</v>
      </c>
    </row>
    <row r="12" spans="1:7" x14ac:dyDescent="0.25">
      <c r="A12" s="333">
        <v>2030</v>
      </c>
      <c r="B12" s="334">
        <v>25.3</v>
      </c>
      <c r="C12" s="334">
        <v>3.6</v>
      </c>
      <c r="D12" s="334">
        <v>3.9</v>
      </c>
      <c r="E12" s="334">
        <v>105.1</v>
      </c>
      <c r="F12" s="334">
        <v>4.5</v>
      </c>
      <c r="G12" s="334">
        <v>26.9</v>
      </c>
    </row>
    <row r="13" spans="1:7" x14ac:dyDescent="0.25">
      <c r="A13" s="335" t="s">
        <v>727</v>
      </c>
      <c r="B13" s="332"/>
      <c r="C13" s="332"/>
      <c r="D13" s="332"/>
      <c r="E13" s="332"/>
      <c r="F13" s="332"/>
      <c r="G13" s="332"/>
    </row>
    <row r="14" spans="1:7" x14ac:dyDescent="0.25">
      <c r="A14" s="335" t="s">
        <v>728</v>
      </c>
      <c r="B14" s="332"/>
      <c r="C14" s="332"/>
      <c r="D14" s="332"/>
      <c r="E14" s="332"/>
      <c r="F14" s="332"/>
      <c r="G14" s="33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F31"/>
  <sheetViews>
    <sheetView workbookViewId="0">
      <selection activeCell="L28" sqref="L28"/>
    </sheetView>
  </sheetViews>
  <sheetFormatPr defaultRowHeight="15" x14ac:dyDescent="0.25"/>
  <cols>
    <col min="1" max="1" width="23.140625" customWidth="1"/>
    <col min="2" max="2" width="22.140625" customWidth="1"/>
    <col min="3" max="3" width="36.5703125" customWidth="1"/>
  </cols>
  <sheetData>
    <row r="1" spans="1:32" ht="19.5" x14ac:dyDescent="0.3">
      <c r="A1" s="336">
        <v>2019</v>
      </c>
      <c r="B1" s="305" t="s">
        <v>729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8"/>
      <c r="AF1" s="338"/>
    </row>
    <row r="2" spans="1:32" x14ac:dyDescent="0.25">
      <c r="A2" s="339" t="s">
        <v>679</v>
      </c>
      <c r="B2" s="340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0"/>
      <c r="AF2" s="340"/>
    </row>
    <row r="3" spans="1:32" x14ac:dyDescent="0.25">
      <c r="A3" s="340"/>
      <c r="B3" s="340"/>
      <c r="C3" s="340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</row>
    <row r="4" spans="1:32" x14ac:dyDescent="0.25">
      <c r="A4" s="343"/>
      <c r="B4" s="344"/>
      <c r="C4" s="345"/>
      <c r="D4" s="346" t="s">
        <v>730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C4" s="346" t="s">
        <v>731</v>
      </c>
      <c r="AD4" s="346" t="s">
        <v>28</v>
      </c>
      <c r="AE4" s="346" t="s">
        <v>732</v>
      </c>
      <c r="AF4" s="348" t="s">
        <v>733</v>
      </c>
    </row>
    <row r="5" spans="1:32" x14ac:dyDescent="0.25">
      <c r="A5" s="349"/>
      <c r="B5" s="350"/>
      <c r="C5" s="351"/>
      <c r="D5" s="346" t="s">
        <v>734</v>
      </c>
      <c r="E5" s="346" t="s">
        <v>735</v>
      </c>
      <c r="F5" s="347"/>
      <c r="G5" s="347"/>
      <c r="H5" s="347"/>
      <c r="I5" s="347"/>
      <c r="J5" s="347"/>
      <c r="K5" s="347"/>
      <c r="L5" s="347"/>
      <c r="M5" s="347"/>
      <c r="N5" s="347"/>
      <c r="O5" s="346" t="s">
        <v>3</v>
      </c>
      <c r="P5" s="346" t="s">
        <v>736</v>
      </c>
      <c r="Q5" s="346" t="s">
        <v>737</v>
      </c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52"/>
      <c r="AD5" s="352"/>
      <c r="AE5" s="352"/>
      <c r="AF5" s="353"/>
    </row>
    <row r="6" spans="1:32" x14ac:dyDescent="0.25">
      <c r="A6" s="354"/>
      <c r="B6" s="355"/>
      <c r="C6" s="356"/>
      <c r="D6" s="352"/>
      <c r="E6" s="346" t="s">
        <v>690</v>
      </c>
      <c r="F6" s="357" t="s">
        <v>738</v>
      </c>
      <c r="G6" s="357" t="s">
        <v>695</v>
      </c>
      <c r="H6" s="357" t="s">
        <v>739</v>
      </c>
      <c r="I6" s="357" t="s">
        <v>740</v>
      </c>
      <c r="J6" s="357" t="s">
        <v>2</v>
      </c>
      <c r="K6" s="357" t="s">
        <v>741</v>
      </c>
      <c r="L6" s="357" t="s">
        <v>742</v>
      </c>
      <c r="M6" s="357" t="s">
        <v>472</v>
      </c>
      <c r="N6" s="357" t="s">
        <v>691</v>
      </c>
      <c r="O6" s="352"/>
      <c r="P6" s="352"/>
      <c r="Q6" s="346" t="s">
        <v>743</v>
      </c>
      <c r="R6" s="357" t="s">
        <v>21</v>
      </c>
      <c r="S6" s="357" t="s">
        <v>706</v>
      </c>
      <c r="T6" s="357" t="s">
        <v>744</v>
      </c>
      <c r="U6" s="357" t="s">
        <v>745</v>
      </c>
      <c r="V6" s="357" t="s">
        <v>413</v>
      </c>
      <c r="W6" s="357" t="s">
        <v>746</v>
      </c>
      <c r="X6" s="357" t="s">
        <v>683</v>
      </c>
      <c r="Y6" s="357" t="s">
        <v>747</v>
      </c>
      <c r="Z6" s="357" t="s">
        <v>705</v>
      </c>
      <c r="AA6" s="357" t="s">
        <v>748</v>
      </c>
      <c r="AB6" s="357" t="s">
        <v>749</v>
      </c>
      <c r="AC6" s="352"/>
      <c r="AD6" s="352"/>
      <c r="AE6" s="352"/>
      <c r="AF6" s="353"/>
    </row>
    <row r="7" spans="1:32" x14ac:dyDescent="0.25">
      <c r="A7" s="346" t="s">
        <v>750</v>
      </c>
      <c r="B7" s="346" t="s">
        <v>751</v>
      </c>
      <c r="C7" s="346" t="s">
        <v>752</v>
      </c>
      <c r="D7" s="358">
        <v>0</v>
      </c>
      <c r="E7" s="358">
        <v>0</v>
      </c>
      <c r="F7" s="359">
        <v>0</v>
      </c>
      <c r="G7" s="359">
        <v>0</v>
      </c>
      <c r="H7" s="359">
        <v>0</v>
      </c>
      <c r="I7" s="359">
        <v>0</v>
      </c>
      <c r="J7" s="359">
        <v>0</v>
      </c>
      <c r="K7" s="359">
        <v>0</v>
      </c>
      <c r="L7" s="359">
        <v>0</v>
      </c>
      <c r="M7" s="359">
        <v>0</v>
      </c>
      <c r="N7" s="359">
        <v>0</v>
      </c>
      <c r="O7" s="358">
        <v>19.72</v>
      </c>
      <c r="P7" s="358">
        <v>0</v>
      </c>
      <c r="Q7" s="358">
        <v>0</v>
      </c>
      <c r="R7" s="359">
        <v>0</v>
      </c>
      <c r="S7" s="359">
        <v>0</v>
      </c>
      <c r="T7" s="359">
        <v>0</v>
      </c>
      <c r="U7" s="359">
        <v>0</v>
      </c>
      <c r="V7" s="359">
        <v>0</v>
      </c>
      <c r="W7" s="359">
        <v>0</v>
      </c>
      <c r="X7" s="359">
        <v>0</v>
      </c>
      <c r="Y7" s="359">
        <v>0</v>
      </c>
      <c r="Z7" s="359">
        <v>0</v>
      </c>
      <c r="AA7" s="359">
        <v>0</v>
      </c>
      <c r="AB7" s="359">
        <v>0</v>
      </c>
      <c r="AC7" s="358">
        <v>0</v>
      </c>
      <c r="AD7" s="358">
        <v>0</v>
      </c>
      <c r="AE7" s="358">
        <v>0</v>
      </c>
      <c r="AF7" s="360">
        <v>19.72</v>
      </c>
    </row>
    <row r="8" spans="1:32" x14ac:dyDescent="0.25">
      <c r="A8" s="352"/>
      <c r="B8" s="346" t="s">
        <v>753</v>
      </c>
      <c r="C8" s="346" t="s">
        <v>754</v>
      </c>
      <c r="D8" s="358">
        <v>0</v>
      </c>
      <c r="E8" s="358">
        <v>-91.23</v>
      </c>
      <c r="F8" s="359">
        <v>0</v>
      </c>
      <c r="G8" s="359">
        <v>-47.83</v>
      </c>
      <c r="H8" s="359">
        <v>0</v>
      </c>
      <c r="I8" s="359">
        <v>-15.93</v>
      </c>
      <c r="J8" s="359">
        <v>305.56</v>
      </c>
      <c r="K8" s="359">
        <v>0</v>
      </c>
      <c r="L8" s="359">
        <v>-140.71</v>
      </c>
      <c r="M8" s="359">
        <v>-4.8499999999999996</v>
      </c>
      <c r="N8" s="359">
        <v>-5.29</v>
      </c>
      <c r="O8" s="358">
        <v>0</v>
      </c>
      <c r="P8" s="358">
        <v>0</v>
      </c>
      <c r="Q8" s="358">
        <v>0</v>
      </c>
      <c r="R8" s="359">
        <v>0</v>
      </c>
      <c r="S8" s="359">
        <v>0</v>
      </c>
      <c r="T8" s="359">
        <v>0</v>
      </c>
      <c r="U8" s="359">
        <v>0</v>
      </c>
      <c r="V8" s="359">
        <v>0</v>
      </c>
      <c r="W8" s="359">
        <v>0</v>
      </c>
      <c r="X8" s="359">
        <v>0</v>
      </c>
      <c r="Y8" s="359">
        <v>0</v>
      </c>
      <c r="Z8" s="359">
        <v>0</v>
      </c>
      <c r="AA8" s="359">
        <v>0</v>
      </c>
      <c r="AB8" s="359">
        <v>0</v>
      </c>
      <c r="AC8" s="358">
        <v>0</v>
      </c>
      <c r="AD8" s="358">
        <v>0</v>
      </c>
      <c r="AE8" s="358">
        <v>0</v>
      </c>
      <c r="AF8" s="360">
        <v>-0.28000000000000003</v>
      </c>
    </row>
    <row r="9" spans="1:32" x14ac:dyDescent="0.25">
      <c r="A9" s="352"/>
      <c r="B9" s="352"/>
      <c r="C9" s="361" t="s">
        <v>755</v>
      </c>
      <c r="D9" s="362">
        <v>0</v>
      </c>
      <c r="E9" s="362">
        <v>0</v>
      </c>
      <c r="F9" s="363">
        <v>0</v>
      </c>
      <c r="G9" s="363">
        <v>0.66</v>
      </c>
      <c r="H9" s="363">
        <v>0</v>
      </c>
      <c r="I9" s="363">
        <v>14.5</v>
      </c>
      <c r="J9" s="363">
        <v>0</v>
      </c>
      <c r="K9" s="363">
        <v>0</v>
      </c>
      <c r="L9" s="363">
        <v>0</v>
      </c>
      <c r="M9" s="363">
        <v>0</v>
      </c>
      <c r="N9" s="363">
        <v>0</v>
      </c>
      <c r="O9" s="362">
        <v>0</v>
      </c>
      <c r="P9" s="362">
        <v>0</v>
      </c>
      <c r="Q9" s="362">
        <v>0</v>
      </c>
      <c r="R9" s="363">
        <v>0</v>
      </c>
      <c r="S9" s="363">
        <v>0</v>
      </c>
      <c r="T9" s="363">
        <v>0</v>
      </c>
      <c r="U9" s="363">
        <v>0</v>
      </c>
      <c r="V9" s="363">
        <v>0</v>
      </c>
      <c r="W9" s="363">
        <v>0</v>
      </c>
      <c r="X9" s="363">
        <v>0</v>
      </c>
      <c r="Y9" s="363">
        <v>0</v>
      </c>
      <c r="Z9" s="363">
        <v>0</v>
      </c>
      <c r="AA9" s="363">
        <v>0</v>
      </c>
      <c r="AB9" s="363">
        <v>0</v>
      </c>
      <c r="AC9" s="362">
        <v>1.25</v>
      </c>
      <c r="AD9" s="362">
        <v>0</v>
      </c>
      <c r="AE9" s="362">
        <v>0</v>
      </c>
      <c r="AF9" s="364">
        <v>16.420000000000002</v>
      </c>
    </row>
    <row r="10" spans="1:32" x14ac:dyDescent="0.25">
      <c r="A10" s="352"/>
      <c r="B10" s="346" t="s">
        <v>756</v>
      </c>
      <c r="C10" s="347"/>
      <c r="D10" s="358">
        <v>0</v>
      </c>
      <c r="E10" s="358">
        <v>0</v>
      </c>
      <c r="F10" s="359">
        <v>0</v>
      </c>
      <c r="G10" s="359">
        <v>0</v>
      </c>
      <c r="H10" s="359">
        <v>0</v>
      </c>
      <c r="I10" s="359">
        <v>0</v>
      </c>
      <c r="J10" s="359">
        <v>0</v>
      </c>
      <c r="K10" s="359">
        <v>0</v>
      </c>
      <c r="L10" s="359">
        <v>0.06</v>
      </c>
      <c r="M10" s="359">
        <v>0</v>
      </c>
      <c r="N10" s="359">
        <v>0</v>
      </c>
      <c r="O10" s="358">
        <v>0.45</v>
      </c>
      <c r="P10" s="358">
        <v>0</v>
      </c>
      <c r="Q10" s="358">
        <v>0</v>
      </c>
      <c r="R10" s="359">
        <v>0</v>
      </c>
      <c r="S10" s="359">
        <v>0</v>
      </c>
      <c r="T10" s="359">
        <v>0</v>
      </c>
      <c r="U10" s="359">
        <v>0</v>
      </c>
      <c r="V10" s="359">
        <v>0</v>
      </c>
      <c r="W10" s="359">
        <v>0</v>
      </c>
      <c r="X10" s="359">
        <v>0.1</v>
      </c>
      <c r="Y10" s="359">
        <v>0</v>
      </c>
      <c r="Z10" s="359">
        <v>0</v>
      </c>
      <c r="AA10" s="359">
        <v>0</v>
      </c>
      <c r="AB10" s="359">
        <v>0.04</v>
      </c>
      <c r="AC10" s="358">
        <v>0</v>
      </c>
      <c r="AD10" s="358">
        <v>0</v>
      </c>
      <c r="AE10" s="358">
        <v>-0.6</v>
      </c>
      <c r="AF10" s="360">
        <v>0.06</v>
      </c>
    </row>
    <row r="11" spans="1:32" x14ac:dyDescent="0.25">
      <c r="A11" s="346" t="s">
        <v>757</v>
      </c>
      <c r="B11" s="346" t="s">
        <v>758</v>
      </c>
      <c r="C11" s="346" t="s">
        <v>759</v>
      </c>
      <c r="D11" s="358">
        <v>0</v>
      </c>
      <c r="E11" s="358">
        <v>0</v>
      </c>
      <c r="F11" s="359">
        <v>0</v>
      </c>
      <c r="G11" s="359">
        <v>0</v>
      </c>
      <c r="H11" s="359">
        <v>0</v>
      </c>
      <c r="I11" s="359">
        <v>0</v>
      </c>
      <c r="J11" s="359">
        <v>0</v>
      </c>
      <c r="K11" s="359">
        <v>0</v>
      </c>
      <c r="L11" s="359">
        <v>0</v>
      </c>
      <c r="M11" s="359">
        <v>0</v>
      </c>
      <c r="N11" s="359">
        <v>0</v>
      </c>
      <c r="O11" s="358">
        <v>0</v>
      </c>
      <c r="P11" s="358">
        <v>0</v>
      </c>
      <c r="Q11" s="358">
        <v>0</v>
      </c>
      <c r="R11" s="359">
        <v>0</v>
      </c>
      <c r="S11" s="359">
        <v>0</v>
      </c>
      <c r="T11" s="359">
        <v>0</v>
      </c>
      <c r="U11" s="359">
        <v>0</v>
      </c>
      <c r="V11" s="359">
        <v>0</v>
      </c>
      <c r="W11" s="359">
        <v>0</v>
      </c>
      <c r="X11" s="359">
        <v>0</v>
      </c>
      <c r="Y11" s="359">
        <v>0</v>
      </c>
      <c r="Z11" s="359">
        <v>0</v>
      </c>
      <c r="AA11" s="359">
        <v>0</v>
      </c>
      <c r="AB11" s="359">
        <v>0</v>
      </c>
      <c r="AC11" s="358">
        <v>0</v>
      </c>
      <c r="AD11" s="358">
        <v>0</v>
      </c>
      <c r="AE11" s="358">
        <v>0</v>
      </c>
      <c r="AF11" s="360">
        <v>0</v>
      </c>
    </row>
    <row r="12" spans="1:32" x14ac:dyDescent="0.25">
      <c r="A12" s="352"/>
      <c r="B12" s="352"/>
      <c r="C12" s="361" t="s">
        <v>760</v>
      </c>
      <c r="D12" s="362">
        <v>60.17</v>
      </c>
      <c r="E12" s="365">
        <v>0</v>
      </c>
      <c r="F12" s="366">
        <v>0</v>
      </c>
      <c r="G12" s="366">
        <v>1.43</v>
      </c>
      <c r="H12" s="366">
        <v>0</v>
      </c>
      <c r="I12" s="366">
        <v>0</v>
      </c>
      <c r="J12" s="366">
        <v>0</v>
      </c>
      <c r="K12" s="366">
        <v>0</v>
      </c>
      <c r="L12" s="366">
        <v>0</v>
      </c>
      <c r="M12" s="366">
        <v>0</v>
      </c>
      <c r="N12" s="363">
        <v>0</v>
      </c>
      <c r="O12" s="362">
        <v>2.2200000000000002</v>
      </c>
      <c r="P12" s="362">
        <v>0</v>
      </c>
      <c r="Q12" s="362">
        <v>0</v>
      </c>
      <c r="R12" s="363">
        <v>4.6399999999999997</v>
      </c>
      <c r="S12" s="363">
        <v>0</v>
      </c>
      <c r="T12" s="363">
        <v>0</v>
      </c>
      <c r="U12" s="363">
        <v>0</v>
      </c>
      <c r="V12" s="363">
        <v>0</v>
      </c>
      <c r="W12" s="363">
        <v>0</v>
      </c>
      <c r="X12" s="363">
        <v>0.01</v>
      </c>
      <c r="Y12" s="363">
        <v>14.48</v>
      </c>
      <c r="Z12" s="363">
        <v>44.46</v>
      </c>
      <c r="AA12" s="363">
        <v>1.28</v>
      </c>
      <c r="AB12" s="363">
        <v>0.22</v>
      </c>
      <c r="AC12" s="362">
        <v>-42.83</v>
      </c>
      <c r="AD12" s="362">
        <v>-46.57</v>
      </c>
      <c r="AE12" s="362">
        <v>0</v>
      </c>
      <c r="AF12" s="364">
        <v>39.520000000000003</v>
      </c>
    </row>
    <row r="13" spans="1:32" x14ac:dyDescent="0.25">
      <c r="A13" s="352"/>
      <c r="B13" s="346" t="s">
        <v>761</v>
      </c>
      <c r="C13" s="347"/>
      <c r="D13" s="358">
        <v>0</v>
      </c>
      <c r="E13" s="367">
        <v>0</v>
      </c>
      <c r="F13" s="368">
        <v>0</v>
      </c>
      <c r="G13" s="368">
        <v>0</v>
      </c>
      <c r="H13" s="368">
        <v>0</v>
      </c>
      <c r="I13" s="368">
        <v>0</v>
      </c>
      <c r="J13" s="368">
        <v>0</v>
      </c>
      <c r="K13" s="368">
        <v>0</v>
      </c>
      <c r="L13" s="368">
        <v>0</v>
      </c>
      <c r="M13" s="368">
        <v>0</v>
      </c>
      <c r="N13" s="369">
        <v>0</v>
      </c>
      <c r="O13" s="358">
        <v>4.1500000000000004</v>
      </c>
      <c r="P13" s="358">
        <v>0.39</v>
      </c>
      <c r="Q13" s="358">
        <v>0.48</v>
      </c>
      <c r="R13" s="359">
        <v>3.47</v>
      </c>
      <c r="S13" s="359">
        <v>0</v>
      </c>
      <c r="T13" s="359">
        <v>0</v>
      </c>
      <c r="U13" s="359">
        <v>0</v>
      </c>
      <c r="V13" s="359">
        <v>0</v>
      </c>
      <c r="W13" s="359">
        <v>0</v>
      </c>
      <c r="X13" s="359">
        <v>4.93</v>
      </c>
      <c r="Y13" s="359">
        <v>9.5299999999999994</v>
      </c>
      <c r="Z13" s="359">
        <v>0.25</v>
      </c>
      <c r="AA13" s="359">
        <v>0.24</v>
      </c>
      <c r="AB13" s="359">
        <v>0.41</v>
      </c>
      <c r="AC13" s="358">
        <v>-6.6</v>
      </c>
      <c r="AD13" s="358">
        <v>-15.16</v>
      </c>
      <c r="AE13" s="358">
        <v>0</v>
      </c>
      <c r="AF13" s="360">
        <v>2.11</v>
      </c>
    </row>
    <row r="14" spans="1:32" x14ac:dyDescent="0.25">
      <c r="A14" s="352"/>
      <c r="B14" s="346" t="s">
        <v>199</v>
      </c>
      <c r="C14" s="347"/>
      <c r="D14" s="358">
        <v>0</v>
      </c>
      <c r="E14" s="367">
        <v>0</v>
      </c>
      <c r="F14" s="368">
        <v>0</v>
      </c>
      <c r="G14" s="368">
        <v>0.03</v>
      </c>
      <c r="H14" s="368">
        <v>0</v>
      </c>
      <c r="I14" s="368">
        <v>0</v>
      </c>
      <c r="J14" s="368">
        <v>0</v>
      </c>
      <c r="K14" s="368">
        <v>0</v>
      </c>
      <c r="L14" s="368">
        <v>0.1</v>
      </c>
      <c r="M14" s="368">
        <v>0</v>
      </c>
      <c r="N14" s="369">
        <v>0</v>
      </c>
      <c r="O14" s="358">
        <v>9.9600000000000009</v>
      </c>
      <c r="P14" s="358">
        <v>0</v>
      </c>
      <c r="Q14" s="358">
        <v>0</v>
      </c>
      <c r="R14" s="359">
        <v>5.98</v>
      </c>
      <c r="S14" s="359">
        <v>0.96</v>
      </c>
      <c r="T14" s="359">
        <v>0</v>
      </c>
      <c r="U14" s="359">
        <v>0</v>
      </c>
      <c r="V14" s="359">
        <v>2</v>
      </c>
      <c r="W14" s="359">
        <v>0.12</v>
      </c>
      <c r="X14" s="359">
        <v>0.53</v>
      </c>
      <c r="Y14" s="359">
        <v>12.11</v>
      </c>
      <c r="Z14" s="359">
        <v>1.58</v>
      </c>
      <c r="AA14" s="359">
        <v>1.31</v>
      </c>
      <c r="AB14" s="359">
        <v>0.99</v>
      </c>
      <c r="AC14" s="358">
        <v>2.61</v>
      </c>
      <c r="AD14" s="358">
        <v>-37.909999999999997</v>
      </c>
      <c r="AE14" s="358">
        <v>0</v>
      </c>
      <c r="AF14" s="360">
        <v>0.36</v>
      </c>
    </row>
    <row r="15" spans="1:32" x14ac:dyDescent="0.25">
      <c r="A15" s="352"/>
      <c r="B15" s="370" t="s">
        <v>762</v>
      </c>
      <c r="C15" s="371"/>
      <c r="D15" s="358">
        <v>0</v>
      </c>
      <c r="E15" s="367">
        <v>0</v>
      </c>
      <c r="F15" s="368">
        <v>0</v>
      </c>
      <c r="G15" s="368">
        <v>0.35</v>
      </c>
      <c r="H15" s="368">
        <v>0</v>
      </c>
      <c r="I15" s="368">
        <v>1.43</v>
      </c>
      <c r="J15" s="368">
        <v>0</v>
      </c>
      <c r="K15" s="368">
        <v>0</v>
      </c>
      <c r="L15" s="368">
        <v>0.69</v>
      </c>
      <c r="M15" s="368">
        <v>0</v>
      </c>
      <c r="N15" s="369">
        <v>0</v>
      </c>
      <c r="O15" s="358">
        <v>2.69</v>
      </c>
      <c r="P15" s="358">
        <v>17.09</v>
      </c>
      <c r="Q15" s="358">
        <v>20.89</v>
      </c>
      <c r="R15" s="359">
        <v>0.96</v>
      </c>
      <c r="S15" s="359">
        <v>0.01</v>
      </c>
      <c r="T15" s="359">
        <v>0</v>
      </c>
      <c r="U15" s="359">
        <v>0</v>
      </c>
      <c r="V15" s="359">
        <v>0</v>
      </c>
      <c r="W15" s="359">
        <v>0.01</v>
      </c>
      <c r="X15" s="359">
        <v>1.1000000000000001</v>
      </c>
      <c r="Y15" s="359">
        <v>0.61</v>
      </c>
      <c r="Z15" s="359">
        <v>0</v>
      </c>
      <c r="AA15" s="359">
        <v>1.1100000000000001</v>
      </c>
      <c r="AB15" s="359">
        <v>0.27</v>
      </c>
      <c r="AC15" s="358">
        <v>-7.58</v>
      </c>
      <c r="AD15" s="358">
        <v>-33.020000000000003</v>
      </c>
      <c r="AE15" s="358">
        <v>0</v>
      </c>
      <c r="AF15" s="360">
        <v>6.6</v>
      </c>
    </row>
    <row r="16" spans="1:32" x14ac:dyDescent="0.25">
      <c r="A16" s="352"/>
      <c r="B16" s="370" t="s">
        <v>763</v>
      </c>
      <c r="C16" s="371"/>
      <c r="D16" s="358">
        <v>0</v>
      </c>
      <c r="E16" s="358">
        <v>0</v>
      </c>
      <c r="F16" s="359">
        <v>0</v>
      </c>
      <c r="G16" s="359">
        <v>0</v>
      </c>
      <c r="H16" s="359">
        <v>0</v>
      </c>
      <c r="I16" s="359">
        <v>0</v>
      </c>
      <c r="J16" s="359">
        <v>0</v>
      </c>
      <c r="K16" s="359">
        <v>0</v>
      </c>
      <c r="L16" s="359">
        <v>0</v>
      </c>
      <c r="M16" s="359">
        <v>0</v>
      </c>
      <c r="N16" s="359">
        <v>0</v>
      </c>
      <c r="O16" s="358">
        <v>0</v>
      </c>
      <c r="P16" s="358">
        <v>0</v>
      </c>
      <c r="Q16" s="358">
        <v>0</v>
      </c>
      <c r="R16" s="359">
        <v>0</v>
      </c>
      <c r="S16" s="359">
        <v>0</v>
      </c>
      <c r="T16" s="359">
        <v>0.06</v>
      </c>
      <c r="U16" s="359">
        <v>62.27</v>
      </c>
      <c r="V16" s="359">
        <v>3.71</v>
      </c>
      <c r="W16" s="359">
        <v>0</v>
      </c>
      <c r="X16" s="359">
        <v>0</v>
      </c>
      <c r="Y16" s="359">
        <v>0</v>
      </c>
      <c r="Z16" s="359">
        <v>0</v>
      </c>
      <c r="AA16" s="359">
        <v>0</v>
      </c>
      <c r="AB16" s="359">
        <v>0</v>
      </c>
      <c r="AC16" s="358">
        <v>-66.040000000000006</v>
      </c>
      <c r="AD16" s="358">
        <v>0</v>
      </c>
      <c r="AE16" s="358">
        <v>0</v>
      </c>
      <c r="AF16" s="360">
        <v>0</v>
      </c>
    </row>
    <row r="17" spans="1:32" x14ac:dyDescent="0.25">
      <c r="A17" s="352"/>
      <c r="B17" s="370" t="s">
        <v>764</v>
      </c>
      <c r="C17" s="371"/>
      <c r="D17" s="358">
        <v>0</v>
      </c>
      <c r="E17" s="358">
        <v>0</v>
      </c>
      <c r="F17" s="359">
        <v>0</v>
      </c>
      <c r="G17" s="359">
        <v>0</v>
      </c>
      <c r="H17" s="359">
        <v>0</v>
      </c>
      <c r="I17" s="359">
        <v>0</v>
      </c>
      <c r="J17" s="359">
        <v>0</v>
      </c>
      <c r="K17" s="359">
        <v>0</v>
      </c>
      <c r="L17" s="359">
        <v>0</v>
      </c>
      <c r="M17" s="359">
        <v>0</v>
      </c>
      <c r="N17" s="359">
        <v>0</v>
      </c>
      <c r="O17" s="358">
        <v>0.11</v>
      </c>
      <c r="P17" s="358">
        <v>0</v>
      </c>
      <c r="Q17" s="358">
        <v>0</v>
      </c>
      <c r="R17" s="359">
        <v>0</v>
      </c>
      <c r="S17" s="359">
        <v>0</v>
      </c>
      <c r="T17" s="359">
        <v>0</v>
      </c>
      <c r="U17" s="359">
        <v>0</v>
      </c>
      <c r="V17" s="359">
        <v>0</v>
      </c>
      <c r="W17" s="359">
        <v>0</v>
      </c>
      <c r="X17" s="359">
        <v>0</v>
      </c>
      <c r="Y17" s="359">
        <v>0</v>
      </c>
      <c r="Z17" s="359">
        <v>0</v>
      </c>
      <c r="AA17" s="359">
        <v>0</v>
      </c>
      <c r="AB17" s="359">
        <v>0.01</v>
      </c>
      <c r="AC17" s="358">
        <v>8.64</v>
      </c>
      <c r="AD17" s="358">
        <v>25.34</v>
      </c>
      <c r="AE17" s="358">
        <v>0.02</v>
      </c>
      <c r="AF17" s="360">
        <v>34.119999999999997</v>
      </c>
    </row>
    <row r="18" spans="1:32" x14ac:dyDescent="0.25">
      <c r="A18" s="346" t="s">
        <v>701</v>
      </c>
      <c r="B18" s="370" t="s">
        <v>765</v>
      </c>
      <c r="C18" s="371"/>
      <c r="D18" s="358">
        <v>0</v>
      </c>
      <c r="E18" s="358">
        <v>0</v>
      </c>
      <c r="F18" s="359">
        <v>0</v>
      </c>
      <c r="G18" s="359">
        <v>10.08</v>
      </c>
      <c r="H18" s="359">
        <v>0</v>
      </c>
      <c r="I18" s="359">
        <v>0</v>
      </c>
      <c r="J18" s="359">
        <v>0</v>
      </c>
      <c r="K18" s="359">
        <v>0.26</v>
      </c>
      <c r="L18" s="359">
        <v>0</v>
      </c>
      <c r="M18" s="359">
        <v>0</v>
      </c>
      <c r="N18" s="359">
        <v>0</v>
      </c>
      <c r="O18" s="358">
        <v>0</v>
      </c>
      <c r="P18" s="358">
        <v>0</v>
      </c>
      <c r="Q18" s="358">
        <v>0</v>
      </c>
      <c r="R18" s="359">
        <v>0</v>
      </c>
      <c r="S18" s="359">
        <v>0</v>
      </c>
      <c r="T18" s="359">
        <v>0</v>
      </c>
      <c r="U18" s="359">
        <v>0</v>
      </c>
      <c r="V18" s="359">
        <v>0</v>
      </c>
      <c r="W18" s="359">
        <v>0</v>
      </c>
      <c r="X18" s="359">
        <v>0</v>
      </c>
      <c r="Y18" s="359">
        <v>0</v>
      </c>
      <c r="Z18" s="359">
        <v>0</v>
      </c>
      <c r="AA18" s="359">
        <v>0</v>
      </c>
      <c r="AB18" s="359">
        <v>0</v>
      </c>
      <c r="AC18" s="358">
        <v>0</v>
      </c>
      <c r="AD18" s="358">
        <v>0</v>
      </c>
      <c r="AE18" s="358">
        <v>0</v>
      </c>
      <c r="AF18" s="360">
        <v>10.35</v>
      </c>
    </row>
    <row r="19" spans="1:32" x14ac:dyDescent="0.25">
      <c r="A19" s="352"/>
      <c r="B19" s="346" t="s">
        <v>239</v>
      </c>
      <c r="C19" s="346" t="s">
        <v>678</v>
      </c>
      <c r="D19" s="358">
        <v>0</v>
      </c>
      <c r="E19" s="358">
        <v>55.24</v>
      </c>
      <c r="F19" s="359">
        <v>0</v>
      </c>
      <c r="G19" s="359">
        <v>0</v>
      </c>
      <c r="H19" s="359">
        <v>0</v>
      </c>
      <c r="I19" s="359">
        <v>0</v>
      </c>
      <c r="J19" s="359">
        <v>0</v>
      </c>
      <c r="K19" s="359">
        <v>0</v>
      </c>
      <c r="L19" s="359">
        <v>99.97</v>
      </c>
      <c r="M19" s="359">
        <v>0</v>
      </c>
      <c r="N19" s="359">
        <v>0</v>
      </c>
      <c r="O19" s="358">
        <v>0.27</v>
      </c>
      <c r="P19" s="358">
        <v>0</v>
      </c>
      <c r="Q19" s="358">
        <v>0</v>
      </c>
      <c r="R19" s="359">
        <v>0</v>
      </c>
      <c r="S19" s="359">
        <v>0</v>
      </c>
      <c r="T19" s="359">
        <v>0</v>
      </c>
      <c r="U19" s="359">
        <v>0</v>
      </c>
      <c r="V19" s="359">
        <v>0</v>
      </c>
      <c r="W19" s="359">
        <v>9.26</v>
      </c>
      <c r="X19" s="359">
        <v>0</v>
      </c>
      <c r="Y19" s="359">
        <v>0</v>
      </c>
      <c r="Z19" s="359">
        <v>0</v>
      </c>
      <c r="AA19" s="359">
        <v>0</v>
      </c>
      <c r="AB19" s="359">
        <v>0.03</v>
      </c>
      <c r="AC19" s="358">
        <v>0.28000000000000003</v>
      </c>
      <c r="AD19" s="358">
        <v>0</v>
      </c>
      <c r="AE19" s="358">
        <v>0</v>
      </c>
      <c r="AF19" s="360">
        <v>165.04</v>
      </c>
    </row>
    <row r="20" spans="1:32" x14ac:dyDescent="0.25">
      <c r="A20" s="352"/>
      <c r="B20" s="352"/>
      <c r="C20" s="361" t="s">
        <v>702</v>
      </c>
      <c r="D20" s="362">
        <v>0</v>
      </c>
      <c r="E20" s="362">
        <v>0</v>
      </c>
      <c r="F20" s="363">
        <v>0</v>
      </c>
      <c r="G20" s="363">
        <v>0</v>
      </c>
      <c r="H20" s="363">
        <v>0</v>
      </c>
      <c r="I20" s="363">
        <v>0</v>
      </c>
      <c r="J20" s="363">
        <v>0</v>
      </c>
      <c r="K20" s="363">
        <v>0</v>
      </c>
      <c r="L20" s="363">
        <v>3.31</v>
      </c>
      <c r="M20" s="363">
        <v>0</v>
      </c>
      <c r="N20" s="363">
        <v>0</v>
      </c>
      <c r="O20" s="362">
        <v>0</v>
      </c>
      <c r="P20" s="362">
        <v>0</v>
      </c>
      <c r="Q20" s="362">
        <v>0</v>
      </c>
      <c r="R20" s="363">
        <v>0</v>
      </c>
      <c r="S20" s="363">
        <v>0</v>
      </c>
      <c r="T20" s="363">
        <v>0</v>
      </c>
      <c r="U20" s="363">
        <v>0</v>
      </c>
      <c r="V20" s="363">
        <v>0</v>
      </c>
      <c r="W20" s="363">
        <v>0</v>
      </c>
      <c r="X20" s="363">
        <v>0</v>
      </c>
      <c r="Y20" s="363">
        <v>0</v>
      </c>
      <c r="Z20" s="363">
        <v>0</v>
      </c>
      <c r="AA20" s="363">
        <v>0</v>
      </c>
      <c r="AB20" s="363">
        <v>0</v>
      </c>
      <c r="AC20" s="362">
        <v>1.55</v>
      </c>
      <c r="AD20" s="362">
        <v>0</v>
      </c>
      <c r="AE20" s="362">
        <v>0</v>
      </c>
      <c r="AF20" s="364">
        <v>4.8600000000000003</v>
      </c>
    </row>
    <row r="21" spans="1:32" x14ac:dyDescent="0.25">
      <c r="A21" s="352"/>
      <c r="B21" s="352"/>
      <c r="C21" s="361" t="s">
        <v>689</v>
      </c>
      <c r="D21" s="362">
        <v>0</v>
      </c>
      <c r="E21" s="362">
        <v>0.03</v>
      </c>
      <c r="F21" s="363">
        <v>0</v>
      </c>
      <c r="G21" s="363">
        <v>0</v>
      </c>
      <c r="H21" s="363">
        <v>0</v>
      </c>
      <c r="I21" s="363">
        <v>0</v>
      </c>
      <c r="J21" s="363">
        <v>0</v>
      </c>
      <c r="K21" s="363">
        <v>0</v>
      </c>
      <c r="L21" s="363">
        <v>0</v>
      </c>
      <c r="M21" s="363">
        <v>0</v>
      </c>
      <c r="N21" s="363">
        <v>1.26</v>
      </c>
      <c r="O21" s="362">
        <v>0</v>
      </c>
      <c r="P21" s="362">
        <v>0</v>
      </c>
      <c r="Q21" s="362">
        <v>0</v>
      </c>
      <c r="R21" s="363">
        <v>0</v>
      </c>
      <c r="S21" s="363">
        <v>0</v>
      </c>
      <c r="T21" s="363">
        <v>0</v>
      </c>
      <c r="U21" s="363">
        <v>0</v>
      </c>
      <c r="V21" s="363">
        <v>0</v>
      </c>
      <c r="W21" s="363">
        <v>0</v>
      </c>
      <c r="X21" s="363">
        <v>0</v>
      </c>
      <c r="Y21" s="363">
        <v>0</v>
      </c>
      <c r="Z21" s="363">
        <v>0</v>
      </c>
      <c r="AA21" s="363">
        <v>0</v>
      </c>
      <c r="AB21" s="363">
        <v>0</v>
      </c>
      <c r="AC21" s="362">
        <v>0</v>
      </c>
      <c r="AD21" s="362">
        <v>0</v>
      </c>
      <c r="AE21" s="362">
        <v>0</v>
      </c>
      <c r="AF21" s="364">
        <v>1.29</v>
      </c>
    </row>
    <row r="22" spans="1:32" x14ac:dyDescent="0.25">
      <c r="A22" s="352"/>
      <c r="B22" s="352"/>
      <c r="C22" s="361" t="s">
        <v>693</v>
      </c>
      <c r="D22" s="362">
        <v>0</v>
      </c>
      <c r="E22" s="362">
        <v>0</v>
      </c>
      <c r="F22" s="363">
        <v>0</v>
      </c>
      <c r="G22" s="363">
        <v>0</v>
      </c>
      <c r="H22" s="363">
        <v>0</v>
      </c>
      <c r="I22" s="363">
        <v>0</v>
      </c>
      <c r="J22" s="363">
        <v>0</v>
      </c>
      <c r="K22" s="363">
        <v>0</v>
      </c>
      <c r="L22" s="363">
        <v>0</v>
      </c>
      <c r="M22" s="363">
        <v>0</v>
      </c>
      <c r="N22" s="363">
        <v>41.42</v>
      </c>
      <c r="O22" s="362">
        <v>0</v>
      </c>
      <c r="P22" s="362">
        <v>0</v>
      </c>
      <c r="Q22" s="362">
        <v>0</v>
      </c>
      <c r="R22" s="363">
        <v>0</v>
      </c>
      <c r="S22" s="363">
        <v>0</v>
      </c>
      <c r="T22" s="363">
        <v>0</v>
      </c>
      <c r="U22" s="363">
        <v>0</v>
      </c>
      <c r="V22" s="363">
        <v>0</v>
      </c>
      <c r="W22" s="363">
        <v>0</v>
      </c>
      <c r="X22" s="363">
        <v>0</v>
      </c>
      <c r="Y22" s="363">
        <v>0</v>
      </c>
      <c r="Z22" s="363">
        <v>0</v>
      </c>
      <c r="AA22" s="363">
        <v>0</v>
      </c>
      <c r="AB22" s="363">
        <v>0</v>
      </c>
      <c r="AC22" s="362">
        <v>0</v>
      </c>
      <c r="AD22" s="362">
        <v>0</v>
      </c>
      <c r="AE22" s="362">
        <v>0</v>
      </c>
      <c r="AF22" s="364">
        <v>41.42</v>
      </c>
    </row>
    <row r="23" spans="1:32" x14ac:dyDescent="0.25">
      <c r="A23" s="352"/>
      <c r="B23" s="352"/>
      <c r="C23" s="361" t="s">
        <v>694</v>
      </c>
      <c r="D23" s="362">
        <v>0</v>
      </c>
      <c r="E23" s="362">
        <v>0</v>
      </c>
      <c r="F23" s="363">
        <v>0</v>
      </c>
      <c r="G23" s="363">
        <v>0</v>
      </c>
      <c r="H23" s="363">
        <v>0</v>
      </c>
      <c r="I23" s="363">
        <v>0</v>
      </c>
      <c r="J23" s="363">
        <v>0</v>
      </c>
      <c r="K23" s="363">
        <v>0</v>
      </c>
      <c r="L23" s="363">
        <v>6.16</v>
      </c>
      <c r="M23" s="363">
        <v>0</v>
      </c>
      <c r="N23" s="363">
        <v>0</v>
      </c>
      <c r="O23" s="362">
        <v>0</v>
      </c>
      <c r="P23" s="362">
        <v>0</v>
      </c>
      <c r="Q23" s="362">
        <v>0</v>
      </c>
      <c r="R23" s="363">
        <v>0</v>
      </c>
      <c r="S23" s="363">
        <v>0</v>
      </c>
      <c r="T23" s="363">
        <v>0</v>
      </c>
      <c r="U23" s="363">
        <v>0</v>
      </c>
      <c r="V23" s="363">
        <v>0</v>
      </c>
      <c r="W23" s="363">
        <v>0</v>
      </c>
      <c r="X23" s="363">
        <v>0</v>
      </c>
      <c r="Y23" s="363">
        <v>0</v>
      </c>
      <c r="Z23" s="363">
        <v>0</v>
      </c>
      <c r="AA23" s="363">
        <v>0</v>
      </c>
      <c r="AB23" s="363">
        <v>0</v>
      </c>
      <c r="AC23" s="362">
        <v>0.01</v>
      </c>
      <c r="AD23" s="362">
        <v>0</v>
      </c>
      <c r="AE23" s="362">
        <v>0</v>
      </c>
      <c r="AF23" s="364">
        <v>6.17</v>
      </c>
    </row>
    <row r="24" spans="1:32" x14ac:dyDescent="0.25">
      <c r="A24" s="352"/>
      <c r="B24" s="352"/>
      <c r="C24" s="361" t="s">
        <v>703</v>
      </c>
      <c r="D24" s="362">
        <v>0</v>
      </c>
      <c r="E24" s="362">
        <v>0</v>
      </c>
      <c r="F24" s="363">
        <v>0</v>
      </c>
      <c r="G24" s="363">
        <v>0</v>
      </c>
      <c r="H24" s="363">
        <v>0</v>
      </c>
      <c r="I24" s="363">
        <v>0</v>
      </c>
      <c r="J24" s="363">
        <v>0</v>
      </c>
      <c r="K24" s="363">
        <v>0</v>
      </c>
      <c r="L24" s="363">
        <v>1.49</v>
      </c>
      <c r="M24" s="363">
        <v>0</v>
      </c>
      <c r="N24" s="363">
        <v>1.36</v>
      </c>
      <c r="O24" s="362">
        <v>0</v>
      </c>
      <c r="P24" s="362">
        <v>0</v>
      </c>
      <c r="Q24" s="362">
        <v>0</v>
      </c>
      <c r="R24" s="363">
        <v>0</v>
      </c>
      <c r="S24" s="363">
        <v>0</v>
      </c>
      <c r="T24" s="363">
        <v>0</v>
      </c>
      <c r="U24" s="363">
        <v>0</v>
      </c>
      <c r="V24" s="363">
        <v>0</v>
      </c>
      <c r="W24" s="363">
        <v>0</v>
      </c>
      <c r="X24" s="363">
        <v>0</v>
      </c>
      <c r="Y24" s="363">
        <v>0</v>
      </c>
      <c r="Z24" s="363">
        <v>0</v>
      </c>
      <c r="AA24" s="363">
        <v>0</v>
      </c>
      <c r="AB24" s="363">
        <v>0</v>
      </c>
      <c r="AC24" s="362">
        <v>0</v>
      </c>
      <c r="AD24" s="362">
        <v>0</v>
      </c>
      <c r="AE24" s="362">
        <v>0</v>
      </c>
      <c r="AF24" s="364">
        <v>2.85</v>
      </c>
    </row>
    <row r="25" spans="1:32" x14ac:dyDescent="0.25">
      <c r="A25" s="352"/>
      <c r="B25" s="346" t="s">
        <v>766</v>
      </c>
      <c r="C25" s="346" t="s">
        <v>767</v>
      </c>
      <c r="D25" s="358">
        <v>0.41</v>
      </c>
      <c r="E25" s="358">
        <v>0.08</v>
      </c>
      <c r="F25" s="359">
        <v>0</v>
      </c>
      <c r="G25" s="359">
        <v>0.02</v>
      </c>
      <c r="H25" s="359">
        <v>0</v>
      </c>
      <c r="I25" s="359">
        <v>0</v>
      </c>
      <c r="J25" s="359">
        <v>0</v>
      </c>
      <c r="K25" s="359">
        <v>0</v>
      </c>
      <c r="L25" s="359">
        <v>17.47</v>
      </c>
      <c r="M25" s="359">
        <v>0.22</v>
      </c>
      <c r="N25" s="359">
        <v>0</v>
      </c>
      <c r="O25" s="358">
        <v>1.68</v>
      </c>
      <c r="P25" s="358">
        <v>0</v>
      </c>
      <c r="Q25" s="358">
        <v>0</v>
      </c>
      <c r="R25" s="359">
        <v>2.0099999999999998</v>
      </c>
      <c r="S25" s="359">
        <v>0.7</v>
      </c>
      <c r="T25" s="359">
        <v>0</v>
      </c>
      <c r="U25" s="359">
        <v>0</v>
      </c>
      <c r="V25" s="359">
        <v>0</v>
      </c>
      <c r="W25" s="359">
        <v>0</v>
      </c>
      <c r="X25" s="359">
        <v>0.25</v>
      </c>
      <c r="Y25" s="359">
        <v>0.03</v>
      </c>
      <c r="Z25" s="359">
        <v>0</v>
      </c>
      <c r="AA25" s="359">
        <v>0.15</v>
      </c>
      <c r="AB25" s="359">
        <v>0.17</v>
      </c>
      <c r="AC25" s="358">
        <v>6.33</v>
      </c>
      <c r="AD25" s="358">
        <v>1.58</v>
      </c>
      <c r="AE25" s="358">
        <v>0</v>
      </c>
      <c r="AF25" s="360">
        <v>31.09</v>
      </c>
    </row>
    <row r="26" spans="1:32" x14ac:dyDescent="0.25">
      <c r="A26" s="352"/>
      <c r="B26" s="352"/>
      <c r="C26" s="361" t="s">
        <v>268</v>
      </c>
      <c r="D26" s="362">
        <v>4.78</v>
      </c>
      <c r="E26" s="362">
        <v>0.02</v>
      </c>
      <c r="F26" s="363">
        <v>0</v>
      </c>
      <c r="G26" s="363">
        <v>1.73</v>
      </c>
      <c r="H26" s="363">
        <v>8.2200000000000006</v>
      </c>
      <c r="I26" s="363">
        <v>0</v>
      </c>
      <c r="J26" s="363">
        <v>0</v>
      </c>
      <c r="K26" s="363">
        <v>0</v>
      </c>
      <c r="L26" s="363">
        <v>1.77</v>
      </c>
      <c r="M26" s="363">
        <v>1</v>
      </c>
      <c r="N26" s="363">
        <v>0</v>
      </c>
      <c r="O26" s="362">
        <v>27.15</v>
      </c>
      <c r="P26" s="362">
        <v>0.69</v>
      </c>
      <c r="Q26" s="362">
        <v>0.84</v>
      </c>
      <c r="R26" s="363">
        <v>0</v>
      </c>
      <c r="S26" s="363">
        <v>2.19</v>
      </c>
      <c r="T26" s="363">
        <v>0</v>
      </c>
      <c r="U26" s="363">
        <v>0</v>
      </c>
      <c r="V26" s="363">
        <v>0.03</v>
      </c>
      <c r="W26" s="363">
        <v>0</v>
      </c>
      <c r="X26" s="363">
        <v>0.55000000000000004</v>
      </c>
      <c r="Y26" s="363">
        <v>1.42</v>
      </c>
      <c r="Z26" s="363">
        <v>1.33</v>
      </c>
      <c r="AA26" s="363">
        <v>3.81</v>
      </c>
      <c r="AB26" s="363">
        <v>2.69</v>
      </c>
      <c r="AC26" s="362">
        <v>30.09</v>
      </c>
      <c r="AD26" s="362">
        <v>3.41</v>
      </c>
      <c r="AE26" s="362">
        <v>0.2</v>
      </c>
      <c r="AF26" s="364">
        <v>91.91</v>
      </c>
    </row>
    <row r="27" spans="1:32" x14ac:dyDescent="0.25">
      <c r="A27" s="352"/>
      <c r="B27" s="352"/>
      <c r="C27" s="361" t="s">
        <v>768</v>
      </c>
      <c r="D27" s="362">
        <v>0</v>
      </c>
      <c r="E27" s="362">
        <v>0.01</v>
      </c>
      <c r="F27" s="363">
        <v>0</v>
      </c>
      <c r="G27" s="363">
        <v>0</v>
      </c>
      <c r="H27" s="363">
        <v>0</v>
      </c>
      <c r="I27" s="363">
        <v>0</v>
      </c>
      <c r="J27" s="363">
        <v>0</v>
      </c>
      <c r="K27" s="363">
        <v>0</v>
      </c>
      <c r="L27" s="363">
        <v>5.41</v>
      </c>
      <c r="M27" s="363">
        <v>0.08</v>
      </c>
      <c r="N27" s="363">
        <v>0</v>
      </c>
      <c r="O27" s="362">
        <v>0.32</v>
      </c>
      <c r="P27" s="362">
        <v>0</v>
      </c>
      <c r="Q27" s="362">
        <v>0</v>
      </c>
      <c r="R27" s="363">
        <v>0</v>
      </c>
      <c r="S27" s="363">
        <v>0</v>
      </c>
      <c r="T27" s="363">
        <v>0</v>
      </c>
      <c r="U27" s="363">
        <v>0</v>
      </c>
      <c r="V27" s="363">
        <v>0</v>
      </c>
      <c r="W27" s="363">
        <v>0</v>
      </c>
      <c r="X27" s="363">
        <v>0</v>
      </c>
      <c r="Y27" s="363">
        <v>0</v>
      </c>
      <c r="Z27" s="363">
        <v>0</v>
      </c>
      <c r="AA27" s="363">
        <v>0</v>
      </c>
      <c r="AB27" s="363">
        <v>0.03</v>
      </c>
      <c r="AC27" s="362">
        <v>1.43</v>
      </c>
      <c r="AD27" s="362">
        <v>0</v>
      </c>
      <c r="AE27" s="362">
        <v>0</v>
      </c>
      <c r="AF27" s="364">
        <v>7.28</v>
      </c>
    </row>
    <row r="28" spans="1:32" x14ac:dyDescent="0.25">
      <c r="A28" s="352"/>
      <c r="B28" s="346" t="s">
        <v>769</v>
      </c>
      <c r="C28" s="346" t="s">
        <v>260</v>
      </c>
      <c r="D28" s="358">
        <v>0</v>
      </c>
      <c r="E28" s="358">
        <v>0</v>
      </c>
      <c r="F28" s="359">
        <v>0</v>
      </c>
      <c r="G28" s="359">
        <v>0.01</v>
      </c>
      <c r="H28" s="359">
        <v>0</v>
      </c>
      <c r="I28" s="359">
        <v>0</v>
      </c>
      <c r="J28" s="359">
        <v>0</v>
      </c>
      <c r="K28" s="359">
        <v>0</v>
      </c>
      <c r="L28" s="359">
        <v>1.07</v>
      </c>
      <c r="M28" s="359">
        <v>0.15</v>
      </c>
      <c r="N28" s="359">
        <v>0</v>
      </c>
      <c r="O28" s="358">
        <v>2.5499999999999998</v>
      </c>
      <c r="P28" s="358">
        <v>0</v>
      </c>
      <c r="Q28" s="358">
        <v>0</v>
      </c>
      <c r="R28" s="359">
        <v>0</v>
      </c>
      <c r="S28" s="359">
        <v>0.1</v>
      </c>
      <c r="T28" s="359">
        <v>0</v>
      </c>
      <c r="U28" s="359">
        <v>0</v>
      </c>
      <c r="V28" s="359">
        <v>0.08</v>
      </c>
      <c r="W28" s="359">
        <v>0</v>
      </c>
      <c r="X28" s="359">
        <v>0.06</v>
      </c>
      <c r="Y28" s="359">
        <v>0.13</v>
      </c>
      <c r="Z28" s="359">
        <v>1.19</v>
      </c>
      <c r="AA28" s="359">
        <v>0</v>
      </c>
      <c r="AB28" s="359">
        <v>0.25</v>
      </c>
      <c r="AC28" s="358">
        <v>8.58</v>
      </c>
      <c r="AD28" s="358">
        <v>10.78</v>
      </c>
      <c r="AE28" s="358">
        <v>0.02</v>
      </c>
      <c r="AF28" s="360">
        <v>24.97</v>
      </c>
    </row>
    <row r="29" spans="1:32" x14ac:dyDescent="0.25">
      <c r="A29" s="352"/>
      <c r="B29" s="352"/>
      <c r="C29" s="361" t="s">
        <v>262</v>
      </c>
      <c r="D29" s="362">
        <v>0</v>
      </c>
      <c r="E29" s="362">
        <v>0</v>
      </c>
      <c r="F29" s="363">
        <v>0</v>
      </c>
      <c r="G29" s="363">
        <v>0.01</v>
      </c>
      <c r="H29" s="363">
        <v>0</v>
      </c>
      <c r="I29" s="363">
        <v>0</v>
      </c>
      <c r="J29" s="363">
        <v>0</v>
      </c>
      <c r="K29" s="363">
        <v>0</v>
      </c>
      <c r="L29" s="363">
        <v>0.83</v>
      </c>
      <c r="M29" s="363">
        <v>0.21</v>
      </c>
      <c r="N29" s="363">
        <v>0</v>
      </c>
      <c r="O29" s="362">
        <v>5.2</v>
      </c>
      <c r="P29" s="362">
        <v>0.32</v>
      </c>
      <c r="Q29" s="362">
        <v>0.39</v>
      </c>
      <c r="R29" s="363">
        <v>0</v>
      </c>
      <c r="S29" s="363">
        <v>0.33</v>
      </c>
      <c r="T29" s="363">
        <v>0</v>
      </c>
      <c r="U29" s="363">
        <v>0</v>
      </c>
      <c r="V29" s="363">
        <v>0.1</v>
      </c>
      <c r="W29" s="363">
        <v>0</v>
      </c>
      <c r="X29" s="363">
        <v>0.47</v>
      </c>
      <c r="Y29" s="363">
        <v>0.02</v>
      </c>
      <c r="Z29" s="363">
        <v>0</v>
      </c>
      <c r="AA29" s="363">
        <v>0.08</v>
      </c>
      <c r="AB29" s="363">
        <v>0.51</v>
      </c>
      <c r="AC29" s="362">
        <v>30.82</v>
      </c>
      <c r="AD29" s="362">
        <v>22.4</v>
      </c>
      <c r="AE29" s="362">
        <v>0.01</v>
      </c>
      <c r="AF29" s="364">
        <v>61.7</v>
      </c>
    </row>
    <row r="30" spans="1:32" x14ac:dyDescent="0.25">
      <c r="A30" s="352"/>
      <c r="B30" s="346" t="s">
        <v>696</v>
      </c>
      <c r="C30" s="347"/>
      <c r="D30" s="358">
        <v>0</v>
      </c>
      <c r="E30" s="358">
        <v>0.72</v>
      </c>
      <c r="F30" s="359">
        <v>0</v>
      </c>
      <c r="G30" s="359">
        <v>0.01</v>
      </c>
      <c r="H30" s="359">
        <v>0.65</v>
      </c>
      <c r="I30" s="359">
        <v>0</v>
      </c>
      <c r="J30" s="359">
        <v>0</v>
      </c>
      <c r="K30" s="359">
        <v>0</v>
      </c>
      <c r="L30" s="359">
        <v>6.27</v>
      </c>
      <c r="M30" s="359">
        <v>0.76</v>
      </c>
      <c r="N30" s="359">
        <v>0</v>
      </c>
      <c r="O30" s="358">
        <v>23.36</v>
      </c>
      <c r="P30" s="358">
        <v>0</v>
      </c>
      <c r="Q30" s="358">
        <v>0</v>
      </c>
      <c r="R30" s="359">
        <v>3.02</v>
      </c>
      <c r="S30" s="359">
        <v>8.5299999999999994</v>
      </c>
      <c r="T30" s="359">
        <v>0</v>
      </c>
      <c r="U30" s="359">
        <v>0</v>
      </c>
      <c r="V30" s="359">
        <v>0.48</v>
      </c>
      <c r="W30" s="359">
        <v>0</v>
      </c>
      <c r="X30" s="359">
        <v>0</v>
      </c>
      <c r="Y30" s="359">
        <v>0.08</v>
      </c>
      <c r="Z30" s="359">
        <v>14.56</v>
      </c>
      <c r="AA30" s="359">
        <v>25.03</v>
      </c>
      <c r="AB30" s="359">
        <v>2.31</v>
      </c>
      <c r="AC30" s="358">
        <v>36.57</v>
      </c>
      <c r="AD30" s="358">
        <v>70.010000000000005</v>
      </c>
      <c r="AE30" s="358">
        <v>0.35</v>
      </c>
      <c r="AF30" s="360">
        <v>192.71</v>
      </c>
    </row>
    <row r="31" spans="1:32" x14ac:dyDescent="0.25">
      <c r="A31" s="372" t="s">
        <v>733</v>
      </c>
      <c r="B31" s="373"/>
      <c r="C31" s="373"/>
      <c r="D31" s="367">
        <v>65.36</v>
      </c>
      <c r="E31" s="367">
        <v>-35.14</v>
      </c>
      <c r="F31" s="368">
        <v>0</v>
      </c>
      <c r="G31" s="368">
        <v>-33.5</v>
      </c>
      <c r="H31" s="368">
        <v>8.8699999999999992</v>
      </c>
      <c r="I31" s="368">
        <v>0</v>
      </c>
      <c r="J31" s="368">
        <v>305.56</v>
      </c>
      <c r="K31" s="368">
        <v>0.27</v>
      </c>
      <c r="L31" s="368">
        <v>3.89</v>
      </c>
      <c r="M31" s="368">
        <v>-2.4300000000000002</v>
      </c>
      <c r="N31" s="368">
        <v>38.75</v>
      </c>
      <c r="O31" s="367">
        <v>99.82</v>
      </c>
      <c r="P31" s="367">
        <v>18.489999999999998</v>
      </c>
      <c r="Q31" s="367">
        <v>22.6</v>
      </c>
      <c r="R31" s="368">
        <v>20.079999999999998</v>
      </c>
      <c r="S31" s="368">
        <v>12.82</v>
      </c>
      <c r="T31" s="368">
        <v>7.0000000000000007E-2</v>
      </c>
      <c r="U31" s="368">
        <v>62.27</v>
      </c>
      <c r="V31" s="368">
        <v>6.39</v>
      </c>
      <c r="W31" s="368">
        <v>9.39</v>
      </c>
      <c r="X31" s="368">
        <v>7.99</v>
      </c>
      <c r="Y31" s="368">
        <v>38.409999999999997</v>
      </c>
      <c r="Z31" s="368">
        <v>63.37</v>
      </c>
      <c r="AA31" s="368">
        <v>33.01</v>
      </c>
      <c r="AB31" s="368">
        <v>7.93</v>
      </c>
      <c r="AC31" s="367">
        <v>5.1100000000000003</v>
      </c>
      <c r="AD31" s="367">
        <v>0.87</v>
      </c>
      <c r="AE31" s="367">
        <v>0</v>
      </c>
      <c r="AF31" s="374">
        <v>760.26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113"/>
  <sheetViews>
    <sheetView workbookViewId="0">
      <selection activeCell="G3" sqref="G3"/>
    </sheetView>
  </sheetViews>
  <sheetFormatPr defaultRowHeight="15" x14ac:dyDescent="0.25"/>
  <cols>
    <col min="1" max="1" width="46.28515625" customWidth="1"/>
    <col min="3" max="3" width="16.7109375" style="332" customWidth="1"/>
    <col min="4" max="4" width="15.42578125" customWidth="1"/>
    <col min="5" max="5" width="11.7109375" style="332" customWidth="1"/>
    <col min="6" max="6" width="13.140625" customWidth="1"/>
    <col min="8" max="8" width="12.5703125" customWidth="1"/>
    <col min="9" max="9" width="48.28515625" customWidth="1"/>
  </cols>
  <sheetData>
    <row r="1" spans="1:9" x14ac:dyDescent="0.25">
      <c r="B1" s="329" t="s">
        <v>3</v>
      </c>
      <c r="C1" s="329" t="s">
        <v>424</v>
      </c>
      <c r="D1" s="329" t="s">
        <v>5</v>
      </c>
      <c r="E1" s="329" t="s">
        <v>736</v>
      </c>
      <c r="F1" s="329" t="s">
        <v>700</v>
      </c>
      <c r="G1" s="329" t="s">
        <v>27</v>
      </c>
      <c r="H1" s="329" t="s">
        <v>28</v>
      </c>
      <c r="I1" s="329" t="s">
        <v>772</v>
      </c>
    </row>
    <row r="2" spans="1:9" x14ac:dyDescent="0.25">
      <c r="A2" s="346" t="s">
        <v>260</v>
      </c>
      <c r="B2" s="331">
        <f>('BF - overblik 2030'!O28/'BF - overblik 2019'!O28)^(1/('BF - overblik 2030'!A1-'BF - overblik 2019'!A1))-1</f>
        <v>-9.7288691289405538E-3</v>
      </c>
      <c r="C2" s="331">
        <f>(('BF - overblik 2030'!K28+'BF - overblik 2030'!M28)/IF('BF - overblik 2019'!K28+'BF - overblik 2019'!M28=0,1,'BF - overblik 2019'!K28+'BF - overblik 2019'!M28))^(1/('BF - overblik 2030'!A$1-'BF - overblik 2019'!A$1))-1</f>
        <v>-2.0081405291969112E-2</v>
      </c>
      <c r="D2" s="331">
        <f>((SUM('BF - overblik 2030'!E28:L28)+'BF - overblik 2030'!L28+'BF - overblik 2030'!N28)/(SUM('BF - overblik 2019'!E28:L28)+'BF - overblik 2019'!L28+'BF - overblik 2019'!N28))^(1/('BF - overblik 2030'!A$1-'BF - overblik 2019'!A$1))-1</f>
        <v>-3.3378035002761375E-2</v>
      </c>
      <c r="E2" s="331">
        <f>IF((('BF - overblik 2030'!P28/IF('BF - overblik 2019'!P28&gt;0,'BF - overblik 2019'!P28,1))^(1/('BF - overblik 2030'!A$1-'BF - overblik 2019'!A$1))-1)=-1,0,(('BF - overblik 2030'!P28/IF('BF - overblik 2019'!P28&gt;0,'BF - overblik 2019'!P28,1))^(1/('BF - overblik 2030'!$A$1-'BF - overblik 2019'!A$1))-1))</f>
        <v>0</v>
      </c>
      <c r="F2" s="331">
        <f>((SUM('BF - overblik 2030'!Q28:R28)+SUM('BF - overblik 2030'!W28:AB28))/(SUM('BF - overblik 2019'!Q28:R28)+SUM('BF - overblik 2019'!W28:AB28)))^(1/('BF - overblik 2030'!A$1-'BF - overblik 2019'!A$1))-1</f>
        <v>2.6783757255721241E-2</v>
      </c>
      <c r="G2" s="331">
        <f>('BF - overblik 2030'!AC28/'BF - overblik 2019'!AC28)^(1/('BF - overblik 2030'!A$1-'BF - overblik 2019'!A$1))-1</f>
        <v>3.8455222818443158E-3</v>
      </c>
      <c r="H2" s="331">
        <f>('BF - overblik 2030'!AD28/'BF - overblik 2019'!AD28)^(1/('BF - overblik 2030'!A$1-'BF - overblik 2019'!A$1))-1</f>
        <v>2.498490204587922E-3</v>
      </c>
      <c r="I2" s="331">
        <f>((SUM('BF - overblik 2030'!D28:J28)+'BF - overblik 2030'!L28+SUM('BF - overblik 2030'!N28:AB28))/(SUM('BF - overblik 2019'!D28:J28)+'BF - overblik 2019'!L28+ SUM('BF - overblik 2019'!N28:AB28)))^(1/('BF - overblik 2030'!A$1-'BF - overblik 2019'!A$1))-1</f>
        <v>1.0614824662905642E-2</v>
      </c>
    </row>
    <row r="3" spans="1:9" x14ac:dyDescent="0.25">
      <c r="A3" s="361" t="s">
        <v>262</v>
      </c>
      <c r="B3" s="331">
        <f>('BF - overblik 2030'!O29/'BF - overblik 2019'!O29)^(1/('BF - overblik 2030'!A1-'BF - overblik 2019'!A1))-1</f>
        <v>-8.9569830343898538E-3</v>
      </c>
      <c r="C3" s="331">
        <f>(('BF - overblik 2030'!K29+'BF - overblik 2030'!M29)/IF('BF - overblik 2019'!K29+'BF - overblik 2019'!M29=0,1,'BF - overblik 2019'!K29+'BF - overblik 2019'!M29))^(1/('BF - overblik 2030'!A$1-'BF - overblik 2019'!A$1))-1</f>
        <v>-2.4418179377386218E-2</v>
      </c>
      <c r="D3" s="331">
        <f>((SUM('BF - overblik 2030'!E29:L29)+'BF - overblik 2030'!L29+'BF - overblik 2030'!N29)/(SUM('BF - overblik 2019'!E29:L29)+'BF - overblik 2019'!L29+'BF - overblik 2019'!N29))^(1/('BF - overblik 2030'!A$1-'BF - overblik 2019'!A$1))-1</f>
        <v>-1.915231253877292E-2</v>
      </c>
      <c r="E3" s="331">
        <f>IF((('BF - overblik 2030'!P29/IF('BF - overblik 2019'!P29&gt;0,'BF - overblik 2019'!P29,1))^(1/('BF - overblik 2030'!A$1-'BF - overblik 2019'!A$1))-1)=-1,0,(('BF - overblik 2030'!P29/IF('BF - overblik 2019'!P29&gt;0,'BF - overblik 2019'!P29,1))^(1/('BF - overblik 2030'!$A$1-'BF - overblik 2019'!A$1))-1))</f>
        <v>0</v>
      </c>
      <c r="F3" s="331">
        <f>((SUM('BF - overblik 2030'!Q29:R29)+SUM('BF - overblik 2030'!W29:AB29))/(SUM('BF - overblik 2019'!Q29:R29)+SUM('BF - overblik 2019'!W29:AB29)))^(1/('BF - overblik 2030'!A$1-'BF - overblik 2019'!A$1))-1</f>
        <v>4.9077217455559818E-2</v>
      </c>
      <c r="G3" s="331">
        <f>(('BF - overblik 2030'!AC29-'BF - elforbrug'!B12)/('BF - overblik 2019'!AC29-'BF - elforbrug'!B2))^(1/('BF - overblik 2030'!A$1-'BF - overblik 2019'!A$1))-1</f>
        <v>1.9072358978824866E-2</v>
      </c>
      <c r="H3" s="331">
        <f>('BF - overblik 2030'!AD29/'BF - overblik 2019'!AD29)^(1/('BF - overblik 2030'!A$1-'BF - overblik 2019'!A$1))-1</f>
        <v>5.025994025584124E-3</v>
      </c>
      <c r="I3" s="331">
        <f>((SUM('BF - overblik 2030'!D29:J29)+'BF - overblik 2030'!L29+SUM('BF - overblik 2030'!N29:AB29))/(SUM('BF - overblik 2019'!D29:J29)+'BF - overblik 2019'!L29+ SUM('BF - overblik 2019'!N29:AB29)))^(1/('BF - overblik 2030'!A$1-'BF - overblik 2019'!A$1))-1</f>
        <v>2.8566976600855387E-2</v>
      </c>
    </row>
    <row r="4" spans="1:9" x14ac:dyDescent="0.25">
      <c r="B4" s="331"/>
      <c r="C4" s="331"/>
      <c r="D4" s="331"/>
      <c r="E4" s="331"/>
      <c r="F4" s="331"/>
      <c r="G4" s="331"/>
      <c r="H4" s="331"/>
      <c r="I4" s="331"/>
    </row>
    <row r="5" spans="1:9" x14ac:dyDescent="0.25">
      <c r="A5" s="346" t="s">
        <v>767</v>
      </c>
      <c r="B5" s="331">
        <f>('BF - overblik 2030'!O25/'BF - overblik 2019'!O25)^(1/('BF - overblik 2030'!A$1-'BF - overblik 2019'!A$1))-1</f>
        <v>-5.5634614327043641E-3</v>
      </c>
      <c r="C5" s="331">
        <f>(('BF - overblik 2030'!K25+'BF - overblik 2030'!M25)/IF('BF - overblik 2019'!K25+'BF - overblik 2019'!M25=0,1,'BF - overblik 2019'!K25+'BF - overblik 2019'!M25))^(1/('BF - overblik 2030'!A$1-'BF - overblik 2019'!A$1))-1</f>
        <v>-0.11140759433466829</v>
      </c>
      <c r="D5" s="331">
        <f>((SUM('BF - overblik 2030'!E25:L25)+'BF - overblik 2030'!L25+'BF - overblik 2030'!N25)/(SUM('BF - overblik 2019'!E25:L25)+'BF - overblik 2019'!L25+'BF - overblik 2019'!N25))^(1/('BF - overblik 2030'!A$1-'BF - overblik 2019'!A$1))-1</f>
        <v>1.595757902103534E-3</v>
      </c>
      <c r="E5" s="331">
        <f>IF((('BF - overblik 2030'!P25/IF('BF - overblik 2019'!P25&gt;0,'BF - overblik 2019'!P25,1))^(1/('BF - overblik 2030'!A$1-'BF - overblik 2019'!A$1))-1)=-1,0,(('BF - overblik 2030'!P25/IF('BF - overblik 2019'!P25&gt;0,'BF - overblik 2019'!P25,1))^(1/('BF - overblik 2030'!$A$1-'BF - overblik 2019'!A$1))-1))</f>
        <v>0</v>
      </c>
      <c r="F5" s="331">
        <f>((SUM('BF - overblik 2030'!Q25:R25)+SUM('BF - overblik 2030'!W25:AB25))/(SUM('BF - overblik 2019'!Q25:R25)+SUM('BF - overblik 2019'!W25:AB25)))^(1/('BF - overblik 2030'!A$1-'BF - overblik 2019'!A$1))-1</f>
        <v>1.0882365008777262E-2</v>
      </c>
      <c r="G5" s="331">
        <f>('BF - overblik 2030'!AC25/'BF - overblik 2019'!AC25)^(1/('BF - overblik 2030'!A$1-'BF - overblik 2019'!A$1))-1</f>
        <v>-7.2067252490326528E-4</v>
      </c>
      <c r="H5" s="331">
        <f>('BF - overblik 2030'!AD25/'BF - overblik 2019'!AD25)^(1/('BF - overblik 2030'!A$1-'BF - overblik 2019'!A$1))-1</f>
        <v>-1.4200055811431134E-2</v>
      </c>
      <c r="I5" s="331">
        <f>((SUM('BF - overblik 2030'!D25:J25)+'BF - overblik 2030'!L25+SUM('BF - overblik 2030'!N25:AB25))/(SUM('BF - overblik 2019'!D25:J25)+'BF - overblik 2019'!L25+ SUM('BF - overblik 2019'!N25:AB25)))^(1/('BF - overblik 2030'!A$1-'BF - overblik 2019'!A$1))-1</f>
        <v>2.9635694192420292E-3</v>
      </c>
    </row>
    <row r="6" spans="1:9" x14ac:dyDescent="0.25">
      <c r="A6" s="361" t="s">
        <v>268</v>
      </c>
      <c r="B6" s="331">
        <f>('BF - overblik 2030'!O26/'BF - overblik 2019'!O26)^(1/('BF - overblik 2030'!A$1-'BF - overblik 2019'!A$1))-1</f>
        <v>-1.488928221137209E-2</v>
      </c>
      <c r="C6" s="331">
        <f>(('BF - overblik 2030'!K26+'BF - overblik 2030'!M26)/IF('BF - overblik 2019'!K26+'BF - overblik 2019'!M26=0,1,'BF - overblik 2019'!K26+'BF - overblik 2019'!M26))^(1/('BF - overblik 2030'!A$1-'BF - overblik 2019'!A$1))-1</f>
        <v>-3.7042128253242934E-3</v>
      </c>
      <c r="D6" s="331">
        <f>((SUM('BF - overblik 2030'!E26:L26)+'BF - overblik 2030'!L26+'BF - overblik 2030'!N26)/(SUM('BF - overblik 2019'!E26:L26)+'BF - overblik 2019'!L26+'BF - overblik 2019'!N26))^(1/('BF - overblik 2030'!A$1-'BF - overblik 2019'!A$1))-1</f>
        <v>-1.6266154307503333E-2</v>
      </c>
      <c r="E6" s="331">
        <f>IF((('BF - overblik 2030'!P26/IF('BF - overblik 2019'!P26&gt;0,'BF - overblik 2019'!P26,1))^(1/('BF - overblik 2030'!A$1-'BF - overblik 2019'!A$1))-1)=-1,0,(('BF - overblik 2030'!P26/IF('BF - overblik 2019'!P26&gt;0,'BF - overblik 2019'!P26,1))^(1/('BF - overblik 2030'!$A$1-'BF - overblik 2019'!A$1))-1))</f>
        <v>1.1208009983850298E-2</v>
      </c>
      <c r="F6" s="331">
        <f>((SUM('BF - overblik 2030'!Q26:R26)+SUM('BF - overblik 2030'!W26:AB26))/(SUM('BF - overblik 2019'!Q26:R26)+SUM('BF - overblik 2019'!W26:AB26)))^(1/('BF - overblik 2030'!A$1-'BF - overblik 2019'!A$1))-1</f>
        <v>3.3387968450933725E-2</v>
      </c>
      <c r="G6" s="331">
        <f>('BF - overblik 2030'!AC26/'BF - overblik 2019'!AC26)^(1/('BF - overblik 2030'!A$1-'BF - overblik 2019'!A$1))-1</f>
        <v>6.1518412046075444E-3</v>
      </c>
      <c r="H6" s="331">
        <f>('BF - overblik 2030'!AD26/'BF - overblik 2019'!AD26)^(1/('BF - overblik 2030'!A$1-'BF - overblik 2019'!A$1))-1</f>
        <v>-5.1983444847796267E-3</v>
      </c>
      <c r="I6" s="331">
        <f>((SUM('BF - overblik 2030'!D26:J26)+'BF - overblik 2030'!L26+SUM('BF - overblik 2030'!N26:AB26))/(SUM('BF - overblik 2019'!D26:J26)+'BF - overblik 2019'!L26+ SUM('BF - overblik 2019'!N26:AB26)))^(1/('BF - overblik 2030'!A$1-'BF - overblik 2019'!A$1))-1</f>
        <v>4.6866842988202428E-3</v>
      </c>
    </row>
    <row r="7" spans="1:9" x14ac:dyDescent="0.25">
      <c r="A7" s="361" t="s">
        <v>768</v>
      </c>
      <c r="B7" s="331">
        <f>('BF - overblik 2030'!O27/'BF - overblik 2019'!O27)^(1/('BF - overblik 2030'!A$1-'BF - overblik 2019'!A$1))-1</f>
        <v>-8.9091735385130599E-3</v>
      </c>
      <c r="C7" s="331">
        <f>(('BF - overblik 2030'!K27+'BF - overblik 2030'!M27)/IF('BF - overblik 2019'!K27+'BF - overblik 2019'!M27=0,1,'BF - overblik 2019'!K27+'BF - overblik 2019'!M27))^(1/('BF - overblik 2030'!A$1-'BF - overblik 2019'!A$1))-1</f>
        <v>0</v>
      </c>
      <c r="D7" s="331">
        <f>((SUM('BF - overblik 2030'!E27:L27)+'BF - overblik 2030'!L27+'BF - overblik 2030'!N27)/(SUM('BF - overblik 2019'!E27:L27)+'BF - overblik 2019'!L27+'BF - overblik 2019'!N27))^(1/('BF - overblik 2030'!A$1-'BF - overblik 2019'!A$1))-1</f>
        <v>4.9139811789911114E-3</v>
      </c>
      <c r="E7" s="331">
        <f>IF((('BF - overblik 2030'!P27/IF('BF - overblik 2019'!P27&gt;0,'BF - overblik 2019'!P27,1))^(1/('BF - overblik 2030'!A$1-'BF - overblik 2019'!A$1))-1)=-1,0,(('BF - overblik 2030'!P27/IF('BF - overblik 2019'!P27&gt;0,'BF - overblik 2019'!P27,1))^(1/('BF - overblik 2030'!$A$1-'BF - overblik 2019'!A$1))-1))</f>
        <v>0</v>
      </c>
      <c r="F7" s="331">
        <f>((SUM('BF - overblik 2030'!Q27:R27)+SUM('BF - overblik 2030'!W27:AB27))/(SUM('BF - overblik 2019'!Q27:R27)+SUM('BF - overblik 2019'!W27:AB27)))^(1/('BF - overblik 2030'!A$1-'BF - overblik 2019'!A$1))-1</f>
        <v>0.10503150339646661</v>
      </c>
      <c r="G7" s="331">
        <f>('BF - overblik 2030'!AC27/'BF - overblik 2019'!AC27)^(1/('BF - overblik 2030'!A$1-'BF - overblik 2019'!A$1))-1</f>
        <v>3.1292170374361827E-3</v>
      </c>
      <c r="H7" s="331">
        <f>IF((('BF - overblik 2030'!AD27/IF('BF - overblik 2019'!AD27&gt;0,'BF - overblik 2019'!AD27,1))^(1/('BF - overblik 2030'!A$1-'BF - overblik 2019'!A$1))-1)=-1,0,(('BF - overblik 2030'!AD27/IF('BF - overblik 2019'!AD27&gt;0,'BF - overblik 2019'!AD27,1))^(1/('BF - overblik 2030'!A$1-'BF - overblik 2019'!A$1))-1))</f>
        <v>0</v>
      </c>
      <c r="I7" s="331">
        <f>((SUM('BF - overblik 2030'!D27:J27)+'BF - overblik 2030'!L27+SUM('BF - overblik 2030'!N27:AB27))/(SUM('BF - overblik 2019'!D27:J27)+'BF - overblik 2019'!L27+ SUM('BF - overblik 2019'!N27:AB27)))^(1/('BF - overblik 2030'!A$1-'BF - overblik 2019'!A$1))-1</f>
        <v>5.2185414599590363E-3</v>
      </c>
    </row>
    <row r="8" spans="1:9" x14ac:dyDescent="0.25">
      <c r="I8" s="331"/>
    </row>
    <row r="9" spans="1:9" x14ac:dyDescent="0.25">
      <c r="A9" s="375" t="s">
        <v>770</v>
      </c>
      <c r="B9" s="331">
        <f>('BF - overblik 2030'!O30/'BF - overblik 2019'!O30)^(1/('BF - overblik 2030'!A$1-'BF - overblik 2019'!A$1))-1</f>
        <v>-3.3270833460155469E-2</v>
      </c>
      <c r="C9" s="331">
        <f>(('BF - overblik 2030'!K30+'BF - overblik 2030'!M30)/IF('BF - overblik 2019'!K30+'BF - overblik 2019'!M30=0,1,'BF - overblik 2019'!K30+'BF - overblik 2019'!M30))^(1/('BF - overblik 2030'!A$1-'BF - overblik 2019'!A$1))-1</f>
        <v>0</v>
      </c>
      <c r="D9" s="331">
        <f>((SUM('BF - overblik 2030'!E30:L30)+'BF - overblik 2030'!L30+'BF - overblik 2030'!N30)/(SUM('BF - overblik 2019'!E30:L30)+'BF - overblik 2019'!L30+'BF - overblik 2019'!N30))^(1/('BF - overblik 2030'!A$1-'BF - overblik 2019'!A$1))-1</f>
        <v>-0.13022392701756347</v>
      </c>
      <c r="E9" s="331">
        <f>IF((('BF - overblik 2030'!P30/IF('BF - overblik 2019'!P30&gt;0,'BF - overblik 2019'!P30,1))^(1/('BF - overblik 2030'!A$1-'BF - overblik 2019'!A$1))-1)=-1,0,(('BF - overblik 2030'!P30/IF('BF - overblik 2019'!P30&gt;0,'BF - overblik 2019'!P30,1))^(1/('BF - overblik 2030'!$A$1-'BF - overblik 2019'!A$1))-1))</f>
        <v>0</v>
      </c>
      <c r="F9" s="331">
        <f>((SUM('BF - overblik 2030'!Q30:R30)+SUM('BF - overblik 2030'!W30:AB30))/(SUM('BF - overblik 2019'!Q30:R30)+SUM('BF - overblik 2019'!W30:AB30)))^(1/('BF - overblik 2030'!A$1-'BF - overblik 2019'!A$1))-1</f>
        <v>-1.4408573923201828E-2</v>
      </c>
      <c r="G9" s="331">
        <f>('BF - overblik 2030'!AC30/'BF - overblik 2019'!AC30)^(1/('BF - overblik 2030'!A$1-'BF - overblik 2019'!A$1))-1</f>
        <v>7.1470062682066349E-3</v>
      </c>
      <c r="H9" s="331">
        <f>IF((('BF - overblik 2030'!AD30/IF('BF - overblik 2019'!AD30&gt;0,'BF - overblik 2019'!AD30,1))^(1/('BF - overblik 2030'!A$1-'BF - overblik 2019'!A$1))-1)=-1,0,(('BF - overblik 2030'!AD30/IF('BF - overblik 2019'!AD30&gt;0,'BF - overblik 2019'!AD30,1))^(1/('BF - overblik 2030'!A$1-'BF - overblik 2019'!A$1))-1))</f>
        <v>-4.6242853915723359E-3</v>
      </c>
      <c r="I9" s="331">
        <f>((SUM('BF - overblik 2030'!D30:J30)+'BF - overblik 2030'!L30+SUM('BF - overblik 2030'!N30:AB30))/(SUM('BF - overblik 2019'!D30:J30)+'BF - overblik 2019'!L30+ SUM('BF - overblik 2019'!N30:AB30)))^(1/('BF - overblik 2030'!A$1-'BF - overblik 2019'!A$1))-1</f>
        <v>-1.2565094954204881E-2</v>
      </c>
    </row>
    <row r="10" spans="1:9" x14ac:dyDescent="0.25">
      <c r="I10" s="331"/>
    </row>
    <row r="11" spans="1:9" x14ac:dyDescent="0.25">
      <c r="A11" s="376" t="s">
        <v>260</v>
      </c>
    </row>
    <row r="12" spans="1:9" x14ac:dyDescent="0.25">
      <c r="A12" t="s">
        <v>3</v>
      </c>
      <c r="B12" s="232">
        <f>'BF - overblik 2030'!O28/SUM('BF - overblik 2030'!D28:AB28)</f>
        <v>0.36757624398073835</v>
      </c>
    </row>
    <row r="13" spans="1:9" x14ac:dyDescent="0.25">
      <c r="A13" t="s">
        <v>5</v>
      </c>
      <c r="B13" s="232">
        <f>SUM('BF - overblik 2030'!D28:N28)/SUM('BF - overblik 2030'!D28:AB28)</f>
        <v>0.13804173354735153</v>
      </c>
    </row>
    <row r="14" spans="1:9" x14ac:dyDescent="0.25">
      <c r="A14" t="s">
        <v>700</v>
      </c>
      <c r="B14" s="232">
        <f>(SUM('BF - overblik 2030'!Q28:R28)+SUM('BF - overblik 2030'!W28:AB28))/SUM('BF - overblik 2030'!D28:AB28)</f>
        <v>0.3499197431781701</v>
      </c>
    </row>
    <row r="15" spans="1:9" x14ac:dyDescent="0.25">
      <c r="A15" t="s">
        <v>744</v>
      </c>
      <c r="B15" s="232">
        <f>1-B12-B13-B14</f>
        <v>0.14446227929374</v>
      </c>
    </row>
    <row r="16" spans="1:9" x14ac:dyDescent="0.25">
      <c r="A16" s="377" t="s">
        <v>262</v>
      </c>
      <c r="B16" s="232"/>
    </row>
    <row r="17" spans="1:2" x14ac:dyDescent="0.25">
      <c r="A17" s="332" t="s">
        <v>3</v>
      </c>
      <c r="B17" s="232">
        <f>'BF - overblik 2030'!O29/SUM('BF - overblik 2030'!D29:AB29)</f>
        <v>0.41243432574430827</v>
      </c>
    </row>
    <row r="18" spans="1:2" x14ac:dyDescent="0.25">
      <c r="A18" s="332" t="s">
        <v>5</v>
      </c>
      <c r="B18" s="232">
        <f>SUM('BF - overblik 2030'!D29:N29)/SUM('BF - overblik 2030'!D29:AB29)</f>
        <v>7.35551663747811E-2</v>
      </c>
    </row>
    <row r="19" spans="1:2" x14ac:dyDescent="0.25">
      <c r="A19" s="332" t="s">
        <v>700</v>
      </c>
      <c r="B19" s="232">
        <f>(SUM('BF - overblik 2030'!Q29:R29)+SUM('BF - overblik 2030'!W29:AB29))/SUM('BF - overblik 2030'!D29:AB29)</f>
        <v>0.21803852889667255</v>
      </c>
    </row>
    <row r="20" spans="1:2" x14ac:dyDescent="0.25">
      <c r="A20" s="332" t="s">
        <v>744</v>
      </c>
      <c r="B20" s="232">
        <f>1-B17-B18-B19</f>
        <v>0.2959719789842381</v>
      </c>
    </row>
    <row r="21" spans="1:2" x14ac:dyDescent="0.25">
      <c r="A21" s="377" t="s">
        <v>771</v>
      </c>
    </row>
    <row r="22" spans="1:2" x14ac:dyDescent="0.25">
      <c r="A22" s="332" t="s">
        <v>3</v>
      </c>
      <c r="B22" s="232">
        <f>'BF - overblik 2030'!O27/SUM('BF - overblik 2030'!D27:AB27)</f>
        <v>4.6849757673667204E-2</v>
      </c>
    </row>
    <row r="23" spans="1:2" x14ac:dyDescent="0.25">
      <c r="A23" s="332" t="s">
        <v>5</v>
      </c>
      <c r="B23" s="232">
        <f>SUM('BF - overblik 2030'!D27:N27)/SUM('BF - overblik 2030'!D27:AB27)</f>
        <v>0.93699515347334417</v>
      </c>
    </row>
    <row r="24" spans="1:2" x14ac:dyDescent="0.25">
      <c r="A24" s="332" t="s">
        <v>700</v>
      </c>
      <c r="B24" s="232">
        <f>(SUM('BF - overblik 2030'!Q27:R27)+SUM('BF - overblik 2030'!W27:AB27))/SUM('BF - overblik 2030'!D27:AB27)</f>
        <v>1.4539579967689823E-2</v>
      </c>
    </row>
    <row r="25" spans="1:2" x14ac:dyDescent="0.25">
      <c r="A25" s="332" t="s">
        <v>744</v>
      </c>
      <c r="B25" s="232">
        <f>1-B22-B23-B24</f>
        <v>1.6155088852988411E-3</v>
      </c>
    </row>
    <row r="26" spans="1:2" x14ac:dyDescent="0.25">
      <c r="A26" s="377" t="s">
        <v>773</v>
      </c>
    </row>
    <row r="27" spans="1:2" x14ac:dyDescent="0.25">
      <c r="A27" s="332" t="s">
        <v>3</v>
      </c>
      <c r="B27" s="232">
        <f>'BF - overblik 2030'!O26/(SUM('BF - overblik 2030'!D26:J26)+'BF - overblik 2030'!L26+SUM('BF - overblik 2030'!N26:AB26))</f>
        <v>0.38213811420982741</v>
      </c>
    </row>
    <row r="28" spans="1:2" x14ac:dyDescent="0.25">
      <c r="A28" s="332" t="s">
        <v>5</v>
      </c>
      <c r="B28" s="232">
        <f>(SUM('BF - overblik 2030'!D26:J26)+'BF - overblik 2030'!L26+'BF - overblik 2030'!N26)/(SUM('BF - overblik 2030'!D26:J26)+'BF - overblik 2030'!L26+SUM('BF - overblik 2030'!N26:AB26))</f>
        <v>0.26577025232403723</v>
      </c>
    </row>
    <row r="29" spans="1:2" x14ac:dyDescent="0.25">
      <c r="A29" s="332" t="s">
        <v>700</v>
      </c>
      <c r="B29" s="232">
        <f>(SUM('BF - overblik 2030'!Q26:R26)+SUM('BF - overblik 2030'!W26:AB26))/(SUM('BF - overblik 2030'!D26:J26)+'BF - overblik 2030'!L26+SUM('BF - overblik 2030'!N26:AB26))</f>
        <v>0.25348605577689243</v>
      </c>
    </row>
    <row r="30" spans="1:2" x14ac:dyDescent="0.25">
      <c r="A30" s="332" t="s">
        <v>744</v>
      </c>
      <c r="B30" s="232">
        <f>1-B31-B27-B28-B29</f>
        <v>8.5657370517928155E-2</v>
      </c>
    </row>
    <row r="31" spans="1:2" x14ac:dyDescent="0.25">
      <c r="A31" t="s">
        <v>471</v>
      </c>
      <c r="B31" s="232">
        <f>'BF - overblik 2030'!P26/(SUM('BF - overblik 2030'!D26:J26)+'BF - overblik 2030'!L26+SUM('BF - overblik 2030'!N26:AB26))</f>
        <v>1.2948207171314743E-2</v>
      </c>
    </row>
    <row r="32" spans="1:2" x14ac:dyDescent="0.25">
      <c r="A32" t="s">
        <v>774</v>
      </c>
      <c r="B32" s="331">
        <f>G6</f>
        <v>6.1518412046075444E-3</v>
      </c>
    </row>
    <row r="33" spans="1:2" x14ac:dyDescent="0.25">
      <c r="A33" t="s">
        <v>775</v>
      </c>
      <c r="B33" s="331">
        <f>H6</f>
        <v>-5.1983444847796267E-3</v>
      </c>
    </row>
    <row r="34" spans="1:2" x14ac:dyDescent="0.25">
      <c r="A34" s="377" t="s">
        <v>272</v>
      </c>
    </row>
    <row r="35" spans="1:2" x14ac:dyDescent="0.25">
      <c r="A35" s="332" t="s">
        <v>3</v>
      </c>
      <c r="B35" s="232">
        <f>'BF - overblik 2030'!O25/(SUM('BF - overblik 2030'!D25:J25)+'BF - overblik 2030'!L25+SUM('BF - overblik 2030'!N25:AB25))</f>
        <v>6.6582385166455968E-2</v>
      </c>
    </row>
    <row r="36" spans="1:2" x14ac:dyDescent="0.25">
      <c r="A36" s="332" t="s">
        <v>5</v>
      </c>
      <c r="B36" s="232">
        <f>(SUM('BF - overblik 2030'!D25:J25)+'BF - overblik 2030'!L25+'BF - overblik 2030'!N25)/(SUM('BF - overblik 2030'!D25:J25)+'BF - overblik 2030'!L25+SUM('BF - overblik 2030'!N25:AB25))</f>
        <v>0.76991150442477885</v>
      </c>
    </row>
    <row r="37" spans="1:2" x14ac:dyDescent="0.25">
      <c r="A37" s="332" t="s">
        <v>700</v>
      </c>
      <c r="B37" s="232">
        <f>(SUM('BF - overblik 2030'!Q25:R25)+SUM('BF - overblik 2030'!W25:AB25))/(SUM('BF - overblik 2030'!D25:J25)+'BF - overblik 2030'!L25+SUM('BF - overblik 2030'!N25:AB25))</f>
        <v>0.12389380530973453</v>
      </c>
    </row>
    <row r="38" spans="1:2" x14ac:dyDescent="0.25">
      <c r="A38" s="332" t="s">
        <v>744</v>
      </c>
      <c r="B38" s="232">
        <f>1-B39-B35-B36-B37</f>
        <v>3.8012016370568127E-2</v>
      </c>
    </row>
    <row r="39" spans="1:2" x14ac:dyDescent="0.25">
      <c r="A39" s="297" t="s">
        <v>776</v>
      </c>
      <c r="B39" s="331">
        <f>('BF - overblik 2030'!L25/'BF - overblik 2019'!L25)^(1/('BF - overblik 2030'!A1-'BF - overblik 2019'!A1))-1</f>
        <v>1.6002887284625178E-3</v>
      </c>
    </row>
    <row r="40" spans="1:2" x14ac:dyDescent="0.25">
      <c r="A40" s="377" t="s">
        <v>777</v>
      </c>
      <c r="B40" s="232">
        <f>'BF - overblik 2030'!AD17/SUM('BF - overblik 2030'!AD18:'BF - overblik 2030'!AD30)</f>
        <v>0.23429381199811056</v>
      </c>
    </row>
    <row r="41" spans="1:2" x14ac:dyDescent="0.25">
      <c r="A41" s="377" t="s">
        <v>778</v>
      </c>
      <c r="B41" s="232">
        <f>'BF - overblik 2030'!AC17/SUM('BF - overblik 2030'!AC18:'BF - overblik 2030'!AC30)</f>
        <v>6.2411438876722916E-2</v>
      </c>
    </row>
    <row r="42" spans="1:2" x14ac:dyDescent="0.25">
      <c r="A42" s="19" t="s">
        <v>780</v>
      </c>
      <c r="B42" s="331">
        <f>('BF - overblik 2030'!U16/'BF - overblik 2019'!U16)^(1/('BF - overblik 2030'!A1-'BF - overblik 2019'!A1))-1</f>
        <v>7.5229281216496524E-2</v>
      </c>
    </row>
    <row r="43" spans="1:2" x14ac:dyDescent="0.25">
      <c r="A43" s="19" t="s">
        <v>781</v>
      </c>
      <c r="B43" s="331">
        <f>('BF - overblik 2030'!V16/'BF - overblik 2019'!V16)^(1/('BF - overblik 2030'!A1-'BF - overblik 2019'!A1))-1</f>
        <v>0.17809947460285969</v>
      </c>
    </row>
    <row r="44" spans="1:2" x14ac:dyDescent="0.25">
      <c r="A44" s="19"/>
      <c r="B44" s="331"/>
    </row>
    <row r="45" spans="1:2" x14ac:dyDescent="0.25">
      <c r="A45" s="19"/>
    </row>
    <row r="46" spans="1:2" x14ac:dyDescent="0.25">
      <c r="A46" s="19"/>
    </row>
    <row r="47" spans="1:2" x14ac:dyDescent="0.25">
      <c r="A47" s="19"/>
    </row>
    <row r="48" spans="1:2" x14ac:dyDescent="0.25">
      <c r="A48" s="19"/>
    </row>
    <row r="49" spans="1:1" x14ac:dyDescent="0.25">
      <c r="A49" s="19"/>
    </row>
    <row r="50" spans="1:1" x14ac:dyDescent="0.25">
      <c r="A50" s="19"/>
    </row>
    <row r="51" spans="1:1" x14ac:dyDescent="0.25">
      <c r="A51" s="19"/>
    </row>
    <row r="52" spans="1:1" x14ac:dyDescent="0.25">
      <c r="A52" s="19"/>
    </row>
    <row r="53" spans="1:1" x14ac:dyDescent="0.25">
      <c r="A53" s="19"/>
    </row>
    <row r="54" spans="1:1" x14ac:dyDescent="0.25">
      <c r="A54" s="19"/>
    </row>
    <row r="55" spans="1:1" x14ac:dyDescent="0.25">
      <c r="A55" s="19"/>
    </row>
    <row r="56" spans="1:1" x14ac:dyDescent="0.25">
      <c r="A56" s="19"/>
    </row>
    <row r="57" spans="1:1" x14ac:dyDescent="0.25">
      <c r="A57" s="19"/>
    </row>
    <row r="58" spans="1:1" x14ac:dyDescent="0.25">
      <c r="A58" s="19"/>
    </row>
    <row r="59" spans="1:1" x14ac:dyDescent="0.25">
      <c r="A59" s="19"/>
    </row>
    <row r="60" spans="1:1" x14ac:dyDescent="0.25">
      <c r="A60" s="19"/>
    </row>
    <row r="61" spans="1:1" x14ac:dyDescent="0.25">
      <c r="A61" s="19"/>
    </row>
    <row r="62" spans="1:1" x14ac:dyDescent="0.25">
      <c r="A62" s="19"/>
    </row>
    <row r="63" spans="1:1" x14ac:dyDescent="0.25">
      <c r="A63" s="19"/>
    </row>
    <row r="64" spans="1:1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383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383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384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384"/>
    </row>
    <row r="109" spans="1:1" x14ac:dyDescent="0.25">
      <c r="A109" s="2"/>
    </row>
    <row r="110" spans="1:1" x14ac:dyDescent="0.25">
      <c r="A110" s="2"/>
    </row>
    <row r="113" spans="1:1" x14ac:dyDescent="0.25">
      <c r="A113" s="332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F31"/>
  <sheetViews>
    <sheetView workbookViewId="0">
      <selection activeCell="C39" sqref="C39"/>
    </sheetView>
  </sheetViews>
  <sheetFormatPr defaultRowHeight="15" x14ac:dyDescent="0.25"/>
  <cols>
    <col min="1" max="1" width="26.28515625" customWidth="1"/>
    <col min="2" max="2" width="25" customWidth="1"/>
    <col min="3" max="3" width="39" customWidth="1"/>
    <col min="5" max="5" width="16.42578125" customWidth="1"/>
    <col min="6" max="6" width="15" customWidth="1"/>
    <col min="7" max="7" width="20.42578125" customWidth="1"/>
    <col min="8" max="8" width="14.28515625" customWidth="1"/>
    <col min="9" max="9" width="15.42578125" customWidth="1"/>
    <col min="10" max="10" width="13" customWidth="1"/>
    <col min="11" max="11" width="16.85546875" customWidth="1"/>
    <col min="12" max="12" width="19" customWidth="1"/>
    <col min="14" max="14" width="14" customWidth="1"/>
    <col min="17" max="17" width="12.5703125" customWidth="1"/>
    <col min="18" max="18" width="11.140625" customWidth="1"/>
    <col min="19" max="19" width="16.7109375" customWidth="1"/>
    <col min="20" max="20" width="13.28515625" customWidth="1"/>
    <col min="21" max="21" width="13.5703125" customWidth="1"/>
    <col min="22" max="22" width="12.7109375" customWidth="1"/>
    <col min="23" max="23" width="16.42578125" customWidth="1"/>
    <col min="27" max="27" width="12" customWidth="1"/>
    <col min="28" max="28" width="12.85546875" customWidth="1"/>
  </cols>
  <sheetData>
    <row r="1" spans="1:32" ht="19.5" x14ac:dyDescent="0.3">
      <c r="A1" s="336">
        <v>2030</v>
      </c>
      <c r="B1" s="305" t="s">
        <v>729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8"/>
      <c r="AF1" s="338"/>
    </row>
    <row r="2" spans="1:32" x14ac:dyDescent="0.25">
      <c r="A2" s="339" t="s">
        <v>679</v>
      </c>
      <c r="B2" s="340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0"/>
      <c r="AF2" s="340"/>
    </row>
    <row r="3" spans="1:32" x14ac:dyDescent="0.25">
      <c r="A3" s="340"/>
      <c r="B3" s="340"/>
      <c r="C3" s="340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</row>
    <row r="4" spans="1:32" x14ac:dyDescent="0.25">
      <c r="A4" s="343"/>
      <c r="B4" s="344"/>
      <c r="C4" s="345"/>
      <c r="D4" s="346" t="s">
        <v>730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C4" s="346" t="s">
        <v>731</v>
      </c>
      <c r="AD4" s="346" t="s">
        <v>28</v>
      </c>
      <c r="AE4" s="346" t="s">
        <v>732</v>
      </c>
      <c r="AF4" s="348" t="s">
        <v>733</v>
      </c>
    </row>
    <row r="5" spans="1:32" x14ac:dyDescent="0.25">
      <c r="A5" s="349"/>
      <c r="B5" s="350"/>
      <c r="C5" s="351"/>
      <c r="D5" s="346" t="s">
        <v>734</v>
      </c>
      <c r="E5" s="346" t="s">
        <v>735</v>
      </c>
      <c r="F5" s="347"/>
      <c r="G5" s="347"/>
      <c r="H5" s="347"/>
      <c r="I5" s="347"/>
      <c r="J5" s="347"/>
      <c r="K5" s="347"/>
      <c r="L5" s="347"/>
      <c r="M5" s="347"/>
      <c r="N5" s="347"/>
      <c r="O5" s="346" t="s">
        <v>3</v>
      </c>
      <c r="P5" s="346" t="s">
        <v>736</v>
      </c>
      <c r="Q5" s="346" t="s">
        <v>737</v>
      </c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52"/>
      <c r="AD5" s="352"/>
      <c r="AE5" s="352"/>
      <c r="AF5" s="353"/>
    </row>
    <row r="6" spans="1:32" x14ac:dyDescent="0.25">
      <c r="A6" s="354"/>
      <c r="B6" s="355"/>
      <c r="C6" s="356"/>
      <c r="D6" s="352"/>
      <c r="E6" s="346" t="s">
        <v>690</v>
      </c>
      <c r="F6" s="357" t="s">
        <v>738</v>
      </c>
      <c r="G6" s="357" t="s">
        <v>695</v>
      </c>
      <c r="H6" s="357" t="s">
        <v>739</v>
      </c>
      <c r="I6" s="357" t="s">
        <v>740</v>
      </c>
      <c r="J6" s="357" t="s">
        <v>2</v>
      </c>
      <c r="K6" s="357" t="s">
        <v>741</v>
      </c>
      <c r="L6" s="357" t="s">
        <v>742</v>
      </c>
      <c r="M6" s="357" t="s">
        <v>472</v>
      </c>
      <c r="N6" s="357" t="s">
        <v>691</v>
      </c>
      <c r="O6" s="352"/>
      <c r="P6" s="352"/>
      <c r="Q6" s="346" t="s">
        <v>743</v>
      </c>
      <c r="R6" s="357" t="s">
        <v>21</v>
      </c>
      <c r="S6" s="357" t="s">
        <v>706</v>
      </c>
      <c r="T6" s="357" t="s">
        <v>744</v>
      </c>
      <c r="U6" s="357" t="s">
        <v>745</v>
      </c>
      <c r="V6" s="357" t="s">
        <v>413</v>
      </c>
      <c r="W6" s="357" t="s">
        <v>746</v>
      </c>
      <c r="X6" s="357" t="s">
        <v>683</v>
      </c>
      <c r="Y6" s="357" t="s">
        <v>747</v>
      </c>
      <c r="Z6" s="357" t="s">
        <v>705</v>
      </c>
      <c r="AA6" s="357" t="s">
        <v>748</v>
      </c>
      <c r="AB6" s="357" t="s">
        <v>749</v>
      </c>
      <c r="AC6" s="352"/>
      <c r="AD6" s="352"/>
      <c r="AE6" s="352"/>
      <c r="AF6" s="353"/>
    </row>
    <row r="7" spans="1:32" x14ac:dyDescent="0.25">
      <c r="A7" s="346" t="s">
        <v>750</v>
      </c>
      <c r="B7" s="346" t="s">
        <v>751</v>
      </c>
      <c r="C7" s="346" t="s">
        <v>752</v>
      </c>
      <c r="D7" s="358">
        <v>0</v>
      </c>
      <c r="E7" s="358">
        <v>0</v>
      </c>
      <c r="F7" s="359">
        <v>0</v>
      </c>
      <c r="G7" s="359">
        <v>0</v>
      </c>
      <c r="H7" s="359">
        <v>0</v>
      </c>
      <c r="I7" s="359">
        <v>0</v>
      </c>
      <c r="J7" s="359">
        <v>0</v>
      </c>
      <c r="K7" s="359">
        <v>0</v>
      </c>
      <c r="L7" s="359">
        <v>0</v>
      </c>
      <c r="M7" s="359">
        <v>0</v>
      </c>
      <c r="N7" s="359">
        <v>0</v>
      </c>
      <c r="O7" s="358">
        <v>17.670000000000002</v>
      </c>
      <c r="P7" s="358">
        <v>0</v>
      </c>
      <c r="Q7" s="358">
        <v>0</v>
      </c>
      <c r="R7" s="359">
        <v>0</v>
      </c>
      <c r="S7" s="359">
        <v>0</v>
      </c>
      <c r="T7" s="359">
        <v>0</v>
      </c>
      <c r="U7" s="359">
        <v>0</v>
      </c>
      <c r="V7" s="359">
        <v>0</v>
      </c>
      <c r="W7" s="359">
        <v>0</v>
      </c>
      <c r="X7" s="359">
        <v>0</v>
      </c>
      <c r="Y7" s="359">
        <v>0</v>
      </c>
      <c r="Z7" s="359">
        <v>0</v>
      </c>
      <c r="AA7" s="359">
        <v>0</v>
      </c>
      <c r="AB7" s="359">
        <v>0</v>
      </c>
      <c r="AC7" s="358">
        <v>0</v>
      </c>
      <c r="AD7" s="358">
        <v>0</v>
      </c>
      <c r="AE7" s="358">
        <v>0</v>
      </c>
      <c r="AF7" s="360">
        <v>17.670000000000002</v>
      </c>
    </row>
    <row r="8" spans="1:32" x14ac:dyDescent="0.25">
      <c r="A8" s="352"/>
      <c r="B8" s="346" t="s">
        <v>753</v>
      </c>
      <c r="C8" s="346" t="s">
        <v>754</v>
      </c>
      <c r="D8" s="358">
        <v>0</v>
      </c>
      <c r="E8" s="358">
        <v>-91.23</v>
      </c>
      <c r="F8" s="359">
        <v>0</v>
      </c>
      <c r="G8" s="359">
        <v>-47.83</v>
      </c>
      <c r="H8" s="359">
        <v>0</v>
      </c>
      <c r="I8" s="359">
        <v>-15.93</v>
      </c>
      <c r="J8" s="359">
        <v>305.56</v>
      </c>
      <c r="K8" s="359">
        <v>0</v>
      </c>
      <c r="L8" s="359">
        <v>-140.71</v>
      </c>
      <c r="M8" s="359">
        <v>-4.8499999999999996</v>
      </c>
      <c r="N8" s="359">
        <v>-5.29</v>
      </c>
      <c r="O8" s="358">
        <v>0</v>
      </c>
      <c r="P8" s="358">
        <v>0</v>
      </c>
      <c r="Q8" s="358">
        <v>0</v>
      </c>
      <c r="R8" s="359">
        <v>0</v>
      </c>
      <c r="S8" s="359">
        <v>0</v>
      </c>
      <c r="T8" s="359">
        <v>0</v>
      </c>
      <c r="U8" s="359">
        <v>0</v>
      </c>
      <c r="V8" s="359">
        <v>0</v>
      </c>
      <c r="W8" s="359">
        <v>0</v>
      </c>
      <c r="X8" s="359">
        <v>0</v>
      </c>
      <c r="Y8" s="359">
        <v>0</v>
      </c>
      <c r="Z8" s="359">
        <v>0</v>
      </c>
      <c r="AA8" s="359">
        <v>0</v>
      </c>
      <c r="AB8" s="359">
        <v>0</v>
      </c>
      <c r="AC8" s="358">
        <v>0</v>
      </c>
      <c r="AD8" s="358">
        <v>0</v>
      </c>
      <c r="AE8" s="358">
        <v>0</v>
      </c>
      <c r="AF8" s="360">
        <v>-0.28000000000000003</v>
      </c>
    </row>
    <row r="9" spans="1:32" x14ac:dyDescent="0.25">
      <c r="A9" s="352"/>
      <c r="B9" s="352"/>
      <c r="C9" s="361" t="s">
        <v>755</v>
      </c>
      <c r="D9" s="362">
        <v>0</v>
      </c>
      <c r="E9" s="362">
        <v>0</v>
      </c>
      <c r="F9" s="363">
        <v>0</v>
      </c>
      <c r="G9" s="363">
        <v>0.66</v>
      </c>
      <c r="H9" s="363">
        <v>0</v>
      </c>
      <c r="I9" s="363">
        <v>14.5</v>
      </c>
      <c r="J9" s="363">
        <v>0</v>
      </c>
      <c r="K9" s="363">
        <v>0</v>
      </c>
      <c r="L9" s="363">
        <v>0</v>
      </c>
      <c r="M9" s="363">
        <v>0</v>
      </c>
      <c r="N9" s="363">
        <v>0</v>
      </c>
      <c r="O9" s="362">
        <v>0</v>
      </c>
      <c r="P9" s="362">
        <v>0</v>
      </c>
      <c r="Q9" s="362">
        <v>0</v>
      </c>
      <c r="R9" s="363">
        <v>0</v>
      </c>
      <c r="S9" s="363">
        <v>0</v>
      </c>
      <c r="T9" s="363">
        <v>0</v>
      </c>
      <c r="U9" s="363">
        <v>0</v>
      </c>
      <c r="V9" s="363">
        <v>0</v>
      </c>
      <c r="W9" s="363">
        <v>0</v>
      </c>
      <c r="X9" s="363">
        <v>0</v>
      </c>
      <c r="Y9" s="363">
        <v>0</v>
      </c>
      <c r="Z9" s="363">
        <v>0</v>
      </c>
      <c r="AA9" s="363">
        <v>0</v>
      </c>
      <c r="AB9" s="363">
        <v>0</v>
      </c>
      <c r="AC9" s="362">
        <v>1.82</v>
      </c>
      <c r="AD9" s="362">
        <v>0</v>
      </c>
      <c r="AE9" s="362">
        <v>0</v>
      </c>
      <c r="AF9" s="364">
        <v>16.989999999999998</v>
      </c>
    </row>
    <row r="10" spans="1:32" x14ac:dyDescent="0.25">
      <c r="A10" s="352"/>
      <c r="B10" s="346" t="s">
        <v>756</v>
      </c>
      <c r="C10" s="347"/>
      <c r="D10" s="358">
        <v>0</v>
      </c>
      <c r="E10" s="358">
        <v>0</v>
      </c>
      <c r="F10" s="359">
        <v>0</v>
      </c>
      <c r="G10" s="359">
        <v>0</v>
      </c>
      <c r="H10" s="359">
        <v>0</v>
      </c>
      <c r="I10" s="359">
        <v>0</v>
      </c>
      <c r="J10" s="359">
        <v>0</v>
      </c>
      <c r="K10" s="359">
        <v>0</v>
      </c>
      <c r="L10" s="359">
        <v>0.06</v>
      </c>
      <c r="M10" s="359">
        <v>0</v>
      </c>
      <c r="N10" s="359">
        <v>0</v>
      </c>
      <c r="O10" s="358">
        <v>0.34</v>
      </c>
      <c r="P10" s="358">
        <v>0</v>
      </c>
      <c r="Q10" s="358">
        <v>0</v>
      </c>
      <c r="R10" s="359">
        <v>0</v>
      </c>
      <c r="S10" s="359">
        <v>0</v>
      </c>
      <c r="T10" s="359">
        <v>0</v>
      </c>
      <c r="U10" s="359">
        <v>0</v>
      </c>
      <c r="V10" s="359">
        <v>0</v>
      </c>
      <c r="W10" s="359">
        <v>0</v>
      </c>
      <c r="X10" s="359">
        <v>0.09</v>
      </c>
      <c r="Y10" s="359">
        <v>0</v>
      </c>
      <c r="Z10" s="359">
        <v>0</v>
      </c>
      <c r="AA10" s="359">
        <v>0</v>
      </c>
      <c r="AB10" s="359">
        <v>0.11</v>
      </c>
      <c r="AC10" s="358">
        <v>0</v>
      </c>
      <c r="AD10" s="358">
        <v>0</v>
      </c>
      <c r="AE10" s="358">
        <v>-0.55000000000000004</v>
      </c>
      <c r="AF10" s="360">
        <v>0.05</v>
      </c>
    </row>
    <row r="11" spans="1:32" x14ac:dyDescent="0.25">
      <c r="A11" s="346" t="s">
        <v>757</v>
      </c>
      <c r="B11" s="346" t="s">
        <v>758</v>
      </c>
      <c r="C11" s="346" t="s">
        <v>759</v>
      </c>
      <c r="D11" s="358">
        <v>0</v>
      </c>
      <c r="E11" s="358">
        <v>0</v>
      </c>
      <c r="F11" s="359">
        <v>0</v>
      </c>
      <c r="G11" s="359">
        <v>0</v>
      </c>
      <c r="H11" s="359">
        <v>0</v>
      </c>
      <c r="I11" s="359">
        <v>0</v>
      </c>
      <c r="J11" s="359">
        <v>0</v>
      </c>
      <c r="K11" s="359">
        <v>0</v>
      </c>
      <c r="L11" s="359">
        <v>0</v>
      </c>
      <c r="M11" s="359">
        <v>0</v>
      </c>
      <c r="N11" s="359">
        <v>0</v>
      </c>
      <c r="O11" s="358">
        <v>0</v>
      </c>
      <c r="P11" s="358">
        <v>0</v>
      </c>
      <c r="Q11" s="358">
        <v>0</v>
      </c>
      <c r="R11" s="359">
        <v>0</v>
      </c>
      <c r="S11" s="359">
        <v>0</v>
      </c>
      <c r="T11" s="359">
        <v>0</v>
      </c>
      <c r="U11" s="359">
        <v>0</v>
      </c>
      <c r="V11" s="359">
        <v>0</v>
      </c>
      <c r="W11" s="359">
        <v>0</v>
      </c>
      <c r="X11" s="359">
        <v>0</v>
      </c>
      <c r="Y11" s="359">
        <v>0</v>
      </c>
      <c r="Z11" s="359">
        <v>0</v>
      </c>
      <c r="AA11" s="359">
        <v>0</v>
      </c>
      <c r="AB11" s="359">
        <v>0</v>
      </c>
      <c r="AC11" s="358">
        <v>0</v>
      </c>
      <c r="AD11" s="358">
        <v>0</v>
      </c>
      <c r="AE11" s="358">
        <v>0</v>
      </c>
      <c r="AF11" s="360">
        <v>0</v>
      </c>
    </row>
    <row r="12" spans="1:32" x14ac:dyDescent="0.25">
      <c r="A12" s="352"/>
      <c r="B12" s="352"/>
      <c r="C12" s="361" t="s">
        <v>760</v>
      </c>
      <c r="D12" s="362">
        <v>6.96</v>
      </c>
      <c r="E12" s="365">
        <v>0</v>
      </c>
      <c r="F12" s="366">
        <v>0</v>
      </c>
      <c r="G12" s="366">
        <v>0</v>
      </c>
      <c r="H12" s="366">
        <v>0</v>
      </c>
      <c r="I12" s="366">
        <v>0</v>
      </c>
      <c r="J12" s="366">
        <v>0</v>
      </c>
      <c r="K12" s="366">
        <v>0</v>
      </c>
      <c r="L12" s="366">
        <v>0</v>
      </c>
      <c r="M12" s="366">
        <v>0</v>
      </c>
      <c r="N12" s="363">
        <v>0</v>
      </c>
      <c r="O12" s="362">
        <v>1.82</v>
      </c>
      <c r="P12" s="362">
        <v>0</v>
      </c>
      <c r="Q12" s="362">
        <v>0</v>
      </c>
      <c r="R12" s="363">
        <v>3.43</v>
      </c>
      <c r="S12" s="363">
        <v>0</v>
      </c>
      <c r="T12" s="363">
        <v>0</v>
      </c>
      <c r="U12" s="363">
        <v>0</v>
      </c>
      <c r="V12" s="363">
        <v>0</v>
      </c>
      <c r="W12" s="363">
        <v>0</v>
      </c>
      <c r="X12" s="363">
        <v>0.01</v>
      </c>
      <c r="Y12" s="363">
        <v>24.33</v>
      </c>
      <c r="Z12" s="363">
        <v>33.270000000000003</v>
      </c>
      <c r="AA12" s="363">
        <v>0.91</v>
      </c>
      <c r="AB12" s="363">
        <v>0.59</v>
      </c>
      <c r="AC12" s="362">
        <v>-21.64</v>
      </c>
      <c r="AD12" s="362">
        <v>-40.549999999999997</v>
      </c>
      <c r="AE12" s="362">
        <v>0</v>
      </c>
      <c r="AF12" s="364">
        <v>9.14</v>
      </c>
    </row>
    <row r="13" spans="1:32" x14ac:dyDescent="0.25">
      <c r="A13" s="352"/>
      <c r="B13" s="346" t="s">
        <v>761</v>
      </c>
      <c r="C13" s="347"/>
      <c r="D13" s="358">
        <v>0</v>
      </c>
      <c r="E13" s="367">
        <v>0</v>
      </c>
      <c r="F13" s="368">
        <v>0</v>
      </c>
      <c r="G13" s="368">
        <v>0</v>
      </c>
      <c r="H13" s="368">
        <v>0</v>
      </c>
      <c r="I13" s="368">
        <v>0</v>
      </c>
      <c r="J13" s="368">
        <v>0</v>
      </c>
      <c r="K13" s="368">
        <v>0</v>
      </c>
      <c r="L13" s="368">
        <v>0</v>
      </c>
      <c r="M13" s="368">
        <v>0</v>
      </c>
      <c r="N13" s="369">
        <v>0</v>
      </c>
      <c r="O13" s="358">
        <v>1.07</v>
      </c>
      <c r="P13" s="358">
        <v>0</v>
      </c>
      <c r="Q13" s="358">
        <v>0</v>
      </c>
      <c r="R13" s="359">
        <v>2.67</v>
      </c>
      <c r="S13" s="359">
        <v>0</v>
      </c>
      <c r="T13" s="359">
        <v>0</v>
      </c>
      <c r="U13" s="359">
        <v>0</v>
      </c>
      <c r="V13" s="359">
        <v>0</v>
      </c>
      <c r="W13" s="359">
        <v>0</v>
      </c>
      <c r="X13" s="359">
        <v>4.92</v>
      </c>
      <c r="Y13" s="359">
        <v>6.99</v>
      </c>
      <c r="Z13" s="359">
        <v>0.2</v>
      </c>
      <c r="AA13" s="359">
        <v>0.39</v>
      </c>
      <c r="AB13" s="359">
        <v>0.35</v>
      </c>
      <c r="AC13" s="358">
        <v>-4.54</v>
      </c>
      <c r="AD13" s="358">
        <v>-10.55</v>
      </c>
      <c r="AE13" s="358">
        <v>0</v>
      </c>
      <c r="AF13" s="360">
        <v>1.5</v>
      </c>
    </row>
    <row r="14" spans="1:32" x14ac:dyDescent="0.25">
      <c r="A14" s="352"/>
      <c r="B14" s="346" t="s">
        <v>199</v>
      </c>
      <c r="C14" s="347"/>
      <c r="D14" s="358">
        <v>0</v>
      </c>
      <c r="E14" s="367">
        <v>0</v>
      </c>
      <c r="F14" s="368">
        <v>0</v>
      </c>
      <c r="G14" s="368">
        <v>0.01</v>
      </c>
      <c r="H14" s="368">
        <v>0</v>
      </c>
      <c r="I14" s="368">
        <v>0</v>
      </c>
      <c r="J14" s="368">
        <v>0</v>
      </c>
      <c r="K14" s="368">
        <v>0</v>
      </c>
      <c r="L14" s="368">
        <v>0.14000000000000001</v>
      </c>
      <c r="M14" s="368">
        <v>0</v>
      </c>
      <c r="N14" s="369">
        <v>0</v>
      </c>
      <c r="O14" s="358">
        <v>2.88</v>
      </c>
      <c r="P14" s="358">
        <v>0</v>
      </c>
      <c r="Q14" s="358">
        <v>0</v>
      </c>
      <c r="R14" s="359">
        <v>5.82</v>
      </c>
      <c r="S14" s="359">
        <v>9.99</v>
      </c>
      <c r="T14" s="359">
        <v>0</v>
      </c>
      <c r="U14" s="359">
        <v>0</v>
      </c>
      <c r="V14" s="359">
        <v>4.45</v>
      </c>
      <c r="W14" s="359">
        <v>0.04</v>
      </c>
      <c r="X14" s="359">
        <v>0.52</v>
      </c>
      <c r="Y14" s="359">
        <v>13</v>
      </c>
      <c r="Z14" s="359">
        <v>1.32</v>
      </c>
      <c r="AA14" s="359">
        <v>1.3</v>
      </c>
      <c r="AB14" s="359">
        <v>0.94</v>
      </c>
      <c r="AC14" s="358">
        <v>4.0999999999999996</v>
      </c>
      <c r="AD14" s="358">
        <v>-44.4</v>
      </c>
      <c r="AE14" s="358">
        <v>0</v>
      </c>
      <c r="AF14" s="360">
        <v>0.11</v>
      </c>
    </row>
    <row r="15" spans="1:32" x14ac:dyDescent="0.25">
      <c r="A15" s="352"/>
      <c r="B15" s="370" t="s">
        <v>762</v>
      </c>
      <c r="C15" s="371"/>
      <c r="D15" s="358">
        <v>0</v>
      </c>
      <c r="E15" s="367">
        <v>0</v>
      </c>
      <c r="F15" s="368">
        <v>0</v>
      </c>
      <c r="G15" s="368">
        <v>0.35</v>
      </c>
      <c r="H15" s="368">
        <v>0</v>
      </c>
      <c r="I15" s="368">
        <v>1.43</v>
      </c>
      <c r="J15" s="368">
        <v>0</v>
      </c>
      <c r="K15" s="368">
        <v>0</v>
      </c>
      <c r="L15" s="368">
        <v>0.68</v>
      </c>
      <c r="M15" s="368">
        <v>0</v>
      </c>
      <c r="N15" s="369">
        <v>0</v>
      </c>
      <c r="O15" s="358">
        <v>2.23</v>
      </c>
      <c r="P15" s="358">
        <v>16.47</v>
      </c>
      <c r="Q15" s="358">
        <v>20.14</v>
      </c>
      <c r="R15" s="359">
        <v>0.95</v>
      </c>
      <c r="S15" s="359">
        <v>0.01</v>
      </c>
      <c r="T15" s="359">
        <v>0</v>
      </c>
      <c r="U15" s="359">
        <v>0</v>
      </c>
      <c r="V15" s="359">
        <v>0</v>
      </c>
      <c r="W15" s="359">
        <v>0.01</v>
      </c>
      <c r="X15" s="359">
        <v>1.0900000000000001</v>
      </c>
      <c r="Y15" s="359">
        <v>0.61</v>
      </c>
      <c r="Z15" s="359">
        <v>0</v>
      </c>
      <c r="AA15" s="359">
        <v>1</v>
      </c>
      <c r="AB15" s="359">
        <v>0.73</v>
      </c>
      <c r="AC15" s="358">
        <v>-7.36</v>
      </c>
      <c r="AD15" s="358">
        <v>-32.03</v>
      </c>
      <c r="AE15" s="358">
        <v>0</v>
      </c>
      <c r="AF15" s="360">
        <v>6.3</v>
      </c>
    </row>
    <row r="16" spans="1:32" x14ac:dyDescent="0.25">
      <c r="A16" s="352"/>
      <c r="B16" s="370" t="s">
        <v>763</v>
      </c>
      <c r="C16" s="371"/>
      <c r="D16" s="358">
        <v>0</v>
      </c>
      <c r="E16" s="358">
        <v>0</v>
      </c>
      <c r="F16" s="359">
        <v>0</v>
      </c>
      <c r="G16" s="359">
        <v>0</v>
      </c>
      <c r="H16" s="359">
        <v>0</v>
      </c>
      <c r="I16" s="359">
        <v>0</v>
      </c>
      <c r="J16" s="359">
        <v>0</v>
      </c>
      <c r="K16" s="359">
        <v>0</v>
      </c>
      <c r="L16" s="359">
        <v>0</v>
      </c>
      <c r="M16" s="359">
        <v>0</v>
      </c>
      <c r="N16" s="359">
        <v>0</v>
      </c>
      <c r="O16" s="358">
        <v>0</v>
      </c>
      <c r="P16" s="358">
        <v>0</v>
      </c>
      <c r="Q16" s="358">
        <v>0</v>
      </c>
      <c r="R16" s="359">
        <v>0</v>
      </c>
      <c r="S16" s="359">
        <v>0</v>
      </c>
      <c r="T16" s="359">
        <v>0.06</v>
      </c>
      <c r="U16" s="359">
        <v>138.29</v>
      </c>
      <c r="V16" s="359">
        <v>22.51</v>
      </c>
      <c r="W16" s="359">
        <v>0</v>
      </c>
      <c r="X16" s="359">
        <v>0</v>
      </c>
      <c r="Y16" s="359">
        <v>0</v>
      </c>
      <c r="Z16" s="359">
        <v>0</v>
      </c>
      <c r="AA16" s="359">
        <v>0</v>
      </c>
      <c r="AB16" s="359">
        <v>0</v>
      </c>
      <c r="AC16" s="358">
        <v>-160.86000000000001</v>
      </c>
      <c r="AD16" s="358">
        <v>0</v>
      </c>
      <c r="AE16" s="358">
        <v>0</v>
      </c>
      <c r="AF16" s="360">
        <v>0</v>
      </c>
    </row>
    <row r="17" spans="1:32" x14ac:dyDescent="0.25">
      <c r="A17" s="352"/>
      <c r="B17" s="370" t="s">
        <v>764</v>
      </c>
      <c r="C17" s="371"/>
      <c r="D17" s="358">
        <v>0</v>
      </c>
      <c r="E17" s="358">
        <v>0</v>
      </c>
      <c r="F17" s="359">
        <v>0</v>
      </c>
      <c r="G17" s="359">
        <v>0</v>
      </c>
      <c r="H17" s="359">
        <v>0</v>
      </c>
      <c r="I17" s="359">
        <v>0</v>
      </c>
      <c r="J17" s="359">
        <v>0</v>
      </c>
      <c r="K17" s="359">
        <v>0</v>
      </c>
      <c r="L17" s="359">
        <v>0</v>
      </c>
      <c r="M17" s="359">
        <v>0</v>
      </c>
      <c r="N17" s="359">
        <v>0</v>
      </c>
      <c r="O17" s="358">
        <v>0.09</v>
      </c>
      <c r="P17" s="358">
        <v>0</v>
      </c>
      <c r="Q17" s="358">
        <v>0</v>
      </c>
      <c r="R17" s="359">
        <v>0</v>
      </c>
      <c r="S17" s="359">
        <v>0</v>
      </c>
      <c r="T17" s="359">
        <v>0</v>
      </c>
      <c r="U17" s="359">
        <v>0</v>
      </c>
      <c r="V17" s="359">
        <v>0</v>
      </c>
      <c r="W17" s="359">
        <v>0</v>
      </c>
      <c r="X17" s="359">
        <v>0</v>
      </c>
      <c r="Y17" s="359">
        <v>0</v>
      </c>
      <c r="Z17" s="359">
        <v>0</v>
      </c>
      <c r="AA17" s="359">
        <v>0</v>
      </c>
      <c r="AB17" s="359">
        <v>0.03</v>
      </c>
      <c r="AC17" s="358">
        <v>9.69</v>
      </c>
      <c r="AD17" s="358">
        <v>24.8</v>
      </c>
      <c r="AE17" s="358">
        <v>0.02</v>
      </c>
      <c r="AF17" s="360">
        <v>34.619999999999997</v>
      </c>
    </row>
    <row r="18" spans="1:32" x14ac:dyDescent="0.25">
      <c r="A18" s="346" t="s">
        <v>701</v>
      </c>
      <c r="B18" s="370" t="s">
        <v>765</v>
      </c>
      <c r="C18" s="371"/>
      <c r="D18" s="358">
        <v>0</v>
      </c>
      <c r="E18" s="358">
        <v>0</v>
      </c>
      <c r="F18" s="359">
        <v>0</v>
      </c>
      <c r="G18" s="359">
        <v>10.08</v>
      </c>
      <c r="H18" s="359">
        <v>0</v>
      </c>
      <c r="I18" s="359">
        <v>0</v>
      </c>
      <c r="J18" s="359">
        <v>0</v>
      </c>
      <c r="K18" s="359">
        <v>0.26</v>
      </c>
      <c r="L18" s="359">
        <v>0</v>
      </c>
      <c r="M18" s="359">
        <v>0</v>
      </c>
      <c r="N18" s="359">
        <v>0</v>
      </c>
      <c r="O18" s="358">
        <v>0</v>
      </c>
      <c r="P18" s="358">
        <v>0</v>
      </c>
      <c r="Q18" s="358">
        <v>0</v>
      </c>
      <c r="R18" s="359">
        <v>0</v>
      </c>
      <c r="S18" s="359">
        <v>0</v>
      </c>
      <c r="T18" s="359">
        <v>0</v>
      </c>
      <c r="U18" s="359">
        <v>0</v>
      </c>
      <c r="V18" s="359">
        <v>0</v>
      </c>
      <c r="W18" s="359">
        <v>0</v>
      </c>
      <c r="X18" s="359">
        <v>0</v>
      </c>
      <c r="Y18" s="359">
        <v>0</v>
      </c>
      <c r="Z18" s="359">
        <v>0</v>
      </c>
      <c r="AA18" s="359">
        <v>0</v>
      </c>
      <c r="AB18" s="359">
        <v>0</v>
      </c>
      <c r="AC18" s="358">
        <v>0</v>
      </c>
      <c r="AD18" s="358">
        <v>0</v>
      </c>
      <c r="AE18" s="358">
        <v>0</v>
      </c>
      <c r="AF18" s="360">
        <v>10.35</v>
      </c>
    </row>
    <row r="19" spans="1:32" x14ac:dyDescent="0.25">
      <c r="A19" s="352"/>
      <c r="B19" s="346" t="s">
        <v>239</v>
      </c>
      <c r="C19" s="346" t="s">
        <v>678</v>
      </c>
      <c r="D19" s="358">
        <v>0</v>
      </c>
      <c r="E19" s="358">
        <v>57.15</v>
      </c>
      <c r="F19" s="359">
        <v>0</v>
      </c>
      <c r="G19" s="359">
        <v>0</v>
      </c>
      <c r="H19" s="359">
        <v>0</v>
      </c>
      <c r="I19" s="359">
        <v>0</v>
      </c>
      <c r="J19" s="359">
        <v>0</v>
      </c>
      <c r="K19" s="359">
        <v>0</v>
      </c>
      <c r="L19" s="359">
        <v>92.83</v>
      </c>
      <c r="M19" s="359">
        <v>0</v>
      </c>
      <c r="N19" s="359">
        <v>0</v>
      </c>
      <c r="O19" s="358">
        <v>0.44</v>
      </c>
      <c r="P19" s="358">
        <v>0</v>
      </c>
      <c r="Q19" s="358">
        <v>0</v>
      </c>
      <c r="R19" s="359">
        <v>0</v>
      </c>
      <c r="S19" s="359">
        <v>0</v>
      </c>
      <c r="T19" s="359">
        <v>0.05</v>
      </c>
      <c r="U19" s="359">
        <v>0</v>
      </c>
      <c r="V19" s="359">
        <v>0</v>
      </c>
      <c r="W19" s="359">
        <v>9.8000000000000007</v>
      </c>
      <c r="X19" s="359">
        <v>0</v>
      </c>
      <c r="Y19" s="359">
        <v>0</v>
      </c>
      <c r="Z19" s="359">
        <v>0</v>
      </c>
      <c r="AA19" s="359">
        <v>0</v>
      </c>
      <c r="AB19" s="359">
        <v>0.14000000000000001</v>
      </c>
      <c r="AC19" s="358">
        <v>3.63</v>
      </c>
      <c r="AD19" s="358">
        <v>0</v>
      </c>
      <c r="AE19" s="358">
        <v>0</v>
      </c>
      <c r="AF19" s="360">
        <v>164.03</v>
      </c>
    </row>
    <row r="20" spans="1:32" x14ac:dyDescent="0.25">
      <c r="A20" s="352"/>
      <c r="B20" s="352"/>
      <c r="C20" s="361" t="s">
        <v>702</v>
      </c>
      <c r="D20" s="362">
        <v>0</v>
      </c>
      <c r="E20" s="362">
        <v>0</v>
      </c>
      <c r="F20" s="363">
        <v>0</v>
      </c>
      <c r="G20" s="363">
        <v>0</v>
      </c>
      <c r="H20" s="363">
        <v>0</v>
      </c>
      <c r="I20" s="363">
        <v>0</v>
      </c>
      <c r="J20" s="363">
        <v>0</v>
      </c>
      <c r="K20" s="363">
        <v>0</v>
      </c>
      <c r="L20" s="363">
        <v>0.94</v>
      </c>
      <c r="M20" s="363">
        <v>0</v>
      </c>
      <c r="N20" s="363">
        <v>0</v>
      </c>
      <c r="O20" s="362">
        <v>0</v>
      </c>
      <c r="P20" s="362">
        <v>0</v>
      </c>
      <c r="Q20" s="362">
        <v>0</v>
      </c>
      <c r="R20" s="363">
        <v>0</v>
      </c>
      <c r="S20" s="363">
        <v>0</v>
      </c>
      <c r="T20" s="363">
        <v>0</v>
      </c>
      <c r="U20" s="363">
        <v>0</v>
      </c>
      <c r="V20" s="363">
        <v>0</v>
      </c>
      <c r="W20" s="363">
        <v>0</v>
      </c>
      <c r="X20" s="363">
        <v>0</v>
      </c>
      <c r="Y20" s="363">
        <v>0</v>
      </c>
      <c r="Z20" s="363">
        <v>0</v>
      </c>
      <c r="AA20" s="363">
        <v>0</v>
      </c>
      <c r="AB20" s="363">
        <v>0</v>
      </c>
      <c r="AC20" s="362">
        <v>3.82</v>
      </c>
      <c r="AD20" s="362">
        <v>0</v>
      </c>
      <c r="AE20" s="362">
        <v>0</v>
      </c>
      <c r="AF20" s="364">
        <v>4.7699999999999996</v>
      </c>
    </row>
    <row r="21" spans="1:32" x14ac:dyDescent="0.25">
      <c r="A21" s="352"/>
      <c r="B21" s="352"/>
      <c r="C21" s="361" t="s">
        <v>689</v>
      </c>
      <c r="D21" s="362">
        <v>0</v>
      </c>
      <c r="E21" s="362">
        <v>0.04</v>
      </c>
      <c r="F21" s="363">
        <v>0</v>
      </c>
      <c r="G21" s="363">
        <v>0</v>
      </c>
      <c r="H21" s="363">
        <v>0</v>
      </c>
      <c r="I21" s="363">
        <v>0</v>
      </c>
      <c r="J21" s="363">
        <v>0</v>
      </c>
      <c r="K21" s="363">
        <v>0</v>
      </c>
      <c r="L21" s="363">
        <v>0</v>
      </c>
      <c r="M21" s="363">
        <v>0</v>
      </c>
      <c r="N21" s="363">
        <v>1.44</v>
      </c>
      <c r="O21" s="362">
        <v>0</v>
      </c>
      <c r="P21" s="362">
        <v>0</v>
      </c>
      <c r="Q21" s="362">
        <v>0</v>
      </c>
      <c r="R21" s="363">
        <v>0</v>
      </c>
      <c r="S21" s="363">
        <v>0</v>
      </c>
      <c r="T21" s="363">
        <v>0</v>
      </c>
      <c r="U21" s="363">
        <v>0</v>
      </c>
      <c r="V21" s="363">
        <v>0</v>
      </c>
      <c r="W21" s="363">
        <v>0</v>
      </c>
      <c r="X21" s="363">
        <v>0</v>
      </c>
      <c r="Y21" s="363">
        <v>0</v>
      </c>
      <c r="Z21" s="363">
        <v>0</v>
      </c>
      <c r="AA21" s="363">
        <v>0</v>
      </c>
      <c r="AB21" s="363">
        <v>0</v>
      </c>
      <c r="AC21" s="362">
        <v>0</v>
      </c>
      <c r="AD21" s="362">
        <v>0</v>
      </c>
      <c r="AE21" s="362">
        <v>0</v>
      </c>
      <c r="AF21" s="364">
        <v>1.47</v>
      </c>
    </row>
    <row r="22" spans="1:32" x14ac:dyDescent="0.25">
      <c r="A22" s="352"/>
      <c r="B22" s="352"/>
      <c r="C22" s="361" t="s">
        <v>693</v>
      </c>
      <c r="D22" s="362">
        <v>0</v>
      </c>
      <c r="E22" s="362">
        <v>0</v>
      </c>
      <c r="F22" s="363">
        <v>0</v>
      </c>
      <c r="G22" s="363">
        <v>0</v>
      </c>
      <c r="H22" s="363">
        <v>0</v>
      </c>
      <c r="I22" s="363">
        <v>0</v>
      </c>
      <c r="J22" s="363">
        <v>0</v>
      </c>
      <c r="K22" s="363">
        <v>0</v>
      </c>
      <c r="L22" s="363">
        <v>0</v>
      </c>
      <c r="M22" s="363">
        <v>0</v>
      </c>
      <c r="N22" s="363">
        <v>44.08</v>
      </c>
      <c r="O22" s="362">
        <v>0</v>
      </c>
      <c r="P22" s="362">
        <v>0</v>
      </c>
      <c r="Q22" s="362">
        <v>0</v>
      </c>
      <c r="R22" s="363">
        <v>0</v>
      </c>
      <c r="S22" s="363">
        <v>0</v>
      </c>
      <c r="T22" s="363">
        <v>0</v>
      </c>
      <c r="U22" s="363">
        <v>0</v>
      </c>
      <c r="V22" s="363">
        <v>0</v>
      </c>
      <c r="W22" s="363">
        <v>0</v>
      </c>
      <c r="X22" s="363">
        <v>0</v>
      </c>
      <c r="Y22" s="363">
        <v>0</v>
      </c>
      <c r="Z22" s="363">
        <v>0</v>
      </c>
      <c r="AA22" s="363">
        <v>0</v>
      </c>
      <c r="AB22" s="363">
        <v>0</v>
      </c>
      <c r="AC22" s="362">
        <v>0</v>
      </c>
      <c r="AD22" s="362">
        <v>0</v>
      </c>
      <c r="AE22" s="362">
        <v>0</v>
      </c>
      <c r="AF22" s="364">
        <v>44.08</v>
      </c>
    </row>
    <row r="23" spans="1:32" x14ac:dyDescent="0.25">
      <c r="A23" s="352"/>
      <c r="B23" s="352"/>
      <c r="C23" s="361" t="s">
        <v>694</v>
      </c>
      <c r="D23" s="362">
        <v>0</v>
      </c>
      <c r="E23" s="362">
        <v>0</v>
      </c>
      <c r="F23" s="363">
        <v>0</v>
      </c>
      <c r="G23" s="363">
        <v>0</v>
      </c>
      <c r="H23" s="363">
        <v>0</v>
      </c>
      <c r="I23" s="363">
        <v>0</v>
      </c>
      <c r="J23" s="363">
        <v>0</v>
      </c>
      <c r="K23" s="363">
        <v>0</v>
      </c>
      <c r="L23" s="363">
        <v>5.86</v>
      </c>
      <c r="M23" s="363">
        <v>0</v>
      </c>
      <c r="N23" s="363">
        <v>0</v>
      </c>
      <c r="O23" s="362">
        <v>0</v>
      </c>
      <c r="P23" s="362">
        <v>0</v>
      </c>
      <c r="Q23" s="362">
        <v>0</v>
      </c>
      <c r="R23" s="363">
        <v>0</v>
      </c>
      <c r="S23" s="363">
        <v>0</v>
      </c>
      <c r="T23" s="363">
        <v>0</v>
      </c>
      <c r="U23" s="363">
        <v>0</v>
      </c>
      <c r="V23" s="363">
        <v>0</v>
      </c>
      <c r="W23" s="363">
        <v>0</v>
      </c>
      <c r="X23" s="363">
        <v>0</v>
      </c>
      <c r="Y23" s="363">
        <v>0</v>
      </c>
      <c r="Z23" s="363">
        <v>0</v>
      </c>
      <c r="AA23" s="363">
        <v>0</v>
      </c>
      <c r="AB23" s="363">
        <v>0</v>
      </c>
      <c r="AC23" s="362">
        <v>0.06</v>
      </c>
      <c r="AD23" s="362">
        <v>0</v>
      </c>
      <c r="AE23" s="362">
        <v>0</v>
      </c>
      <c r="AF23" s="364">
        <v>5.93</v>
      </c>
    </row>
    <row r="24" spans="1:32" x14ac:dyDescent="0.25">
      <c r="A24" s="352"/>
      <c r="B24" s="352"/>
      <c r="C24" s="361" t="s">
        <v>703</v>
      </c>
      <c r="D24" s="362">
        <v>0</v>
      </c>
      <c r="E24" s="362">
        <v>0</v>
      </c>
      <c r="F24" s="363">
        <v>0</v>
      </c>
      <c r="G24" s="363">
        <v>0</v>
      </c>
      <c r="H24" s="363">
        <v>0</v>
      </c>
      <c r="I24" s="363">
        <v>0</v>
      </c>
      <c r="J24" s="363">
        <v>0</v>
      </c>
      <c r="K24" s="363">
        <v>0</v>
      </c>
      <c r="L24" s="363">
        <v>1.49</v>
      </c>
      <c r="M24" s="363">
        <v>0</v>
      </c>
      <c r="N24" s="363">
        <v>1.36</v>
      </c>
      <c r="O24" s="362">
        <v>0</v>
      </c>
      <c r="P24" s="362">
        <v>0</v>
      </c>
      <c r="Q24" s="362">
        <v>0</v>
      </c>
      <c r="R24" s="363">
        <v>0</v>
      </c>
      <c r="S24" s="363">
        <v>0</v>
      </c>
      <c r="T24" s="363">
        <v>0</v>
      </c>
      <c r="U24" s="363">
        <v>0</v>
      </c>
      <c r="V24" s="363">
        <v>0</v>
      </c>
      <c r="W24" s="363">
        <v>0</v>
      </c>
      <c r="X24" s="363">
        <v>0</v>
      </c>
      <c r="Y24" s="363">
        <v>0</v>
      </c>
      <c r="Z24" s="363">
        <v>0</v>
      </c>
      <c r="AA24" s="363">
        <v>0</v>
      </c>
      <c r="AB24" s="363">
        <v>0</v>
      </c>
      <c r="AC24" s="362">
        <v>0</v>
      </c>
      <c r="AD24" s="362">
        <v>0</v>
      </c>
      <c r="AE24" s="362">
        <v>0</v>
      </c>
      <c r="AF24" s="364">
        <v>2.85</v>
      </c>
    </row>
    <row r="25" spans="1:32" x14ac:dyDescent="0.25">
      <c r="A25" s="352"/>
      <c r="B25" s="346" t="s">
        <v>766</v>
      </c>
      <c r="C25" s="346" t="s">
        <v>767</v>
      </c>
      <c r="D25" s="358">
        <v>0.39</v>
      </c>
      <c r="E25" s="358">
        <v>0.08</v>
      </c>
      <c r="F25" s="359">
        <v>0</v>
      </c>
      <c r="G25" s="359">
        <v>0.02</v>
      </c>
      <c r="H25" s="359">
        <v>0</v>
      </c>
      <c r="I25" s="359">
        <v>0</v>
      </c>
      <c r="J25" s="359">
        <v>0</v>
      </c>
      <c r="K25" s="359">
        <v>0</v>
      </c>
      <c r="L25" s="359">
        <v>17.78</v>
      </c>
      <c r="M25" s="359">
        <v>0.06</v>
      </c>
      <c r="N25" s="359">
        <v>0</v>
      </c>
      <c r="O25" s="358">
        <v>1.58</v>
      </c>
      <c r="P25" s="358">
        <v>0</v>
      </c>
      <c r="Q25" s="358">
        <v>0</v>
      </c>
      <c r="R25" s="359">
        <v>2.0099999999999998</v>
      </c>
      <c r="S25" s="359">
        <v>0.93</v>
      </c>
      <c r="T25" s="359">
        <v>0</v>
      </c>
      <c r="U25" s="359">
        <v>0</v>
      </c>
      <c r="V25" s="359">
        <v>0.01</v>
      </c>
      <c r="W25" s="359">
        <v>0</v>
      </c>
      <c r="X25" s="359">
        <v>0.31</v>
      </c>
      <c r="Y25" s="359">
        <v>0.02</v>
      </c>
      <c r="Z25" s="359">
        <v>0</v>
      </c>
      <c r="AA25" s="359">
        <v>0.08</v>
      </c>
      <c r="AB25" s="359">
        <v>0.52</v>
      </c>
      <c r="AC25" s="358">
        <v>6.28</v>
      </c>
      <c r="AD25" s="358">
        <v>1.35</v>
      </c>
      <c r="AE25" s="358">
        <v>0</v>
      </c>
      <c r="AF25" s="360">
        <v>31.44</v>
      </c>
    </row>
    <row r="26" spans="1:32" x14ac:dyDescent="0.25">
      <c r="A26" s="352"/>
      <c r="B26" s="352"/>
      <c r="C26" s="361" t="s">
        <v>268</v>
      </c>
      <c r="D26" s="362">
        <v>5.4</v>
      </c>
      <c r="E26" s="362">
        <v>0.01</v>
      </c>
      <c r="F26" s="363">
        <v>0</v>
      </c>
      <c r="G26" s="363">
        <v>0.65</v>
      </c>
      <c r="H26" s="363">
        <v>9.2799999999999994</v>
      </c>
      <c r="I26" s="363">
        <v>0</v>
      </c>
      <c r="J26" s="363">
        <v>0</v>
      </c>
      <c r="K26" s="363">
        <v>0</v>
      </c>
      <c r="L26" s="363">
        <v>0.67</v>
      </c>
      <c r="M26" s="363">
        <v>0.96</v>
      </c>
      <c r="N26" s="363">
        <v>0</v>
      </c>
      <c r="O26" s="362">
        <v>23.02</v>
      </c>
      <c r="P26" s="362">
        <v>0.78</v>
      </c>
      <c r="Q26" s="362">
        <v>0.95</v>
      </c>
      <c r="R26" s="363">
        <v>0</v>
      </c>
      <c r="S26" s="363">
        <v>4.97</v>
      </c>
      <c r="T26" s="363">
        <v>0</v>
      </c>
      <c r="U26" s="363">
        <v>0</v>
      </c>
      <c r="V26" s="363">
        <v>0.19</v>
      </c>
      <c r="W26" s="363">
        <v>0</v>
      </c>
      <c r="X26" s="363">
        <v>0.74</v>
      </c>
      <c r="Y26" s="363">
        <v>2.2999999999999998</v>
      </c>
      <c r="Z26" s="363">
        <v>0.98</v>
      </c>
      <c r="AA26" s="363">
        <v>2.8</v>
      </c>
      <c r="AB26" s="363">
        <v>7.5</v>
      </c>
      <c r="AC26" s="362">
        <v>32.19</v>
      </c>
      <c r="AD26" s="362">
        <v>3.22</v>
      </c>
      <c r="AE26" s="362">
        <v>0.21</v>
      </c>
      <c r="AF26" s="364">
        <v>96.82</v>
      </c>
    </row>
    <row r="27" spans="1:32" x14ac:dyDescent="0.25">
      <c r="A27" s="352"/>
      <c r="B27" s="352"/>
      <c r="C27" s="361" t="s">
        <v>768</v>
      </c>
      <c r="D27" s="362">
        <v>0</v>
      </c>
      <c r="E27" s="362">
        <v>0.01</v>
      </c>
      <c r="F27" s="363">
        <v>0</v>
      </c>
      <c r="G27" s="363">
        <v>0</v>
      </c>
      <c r="H27" s="363">
        <v>0</v>
      </c>
      <c r="I27" s="363">
        <v>0</v>
      </c>
      <c r="J27" s="363">
        <v>0</v>
      </c>
      <c r="K27" s="363">
        <v>0</v>
      </c>
      <c r="L27" s="363">
        <v>5.71</v>
      </c>
      <c r="M27" s="363">
        <v>0.08</v>
      </c>
      <c r="N27" s="363">
        <v>0</v>
      </c>
      <c r="O27" s="362">
        <v>0.28999999999999998</v>
      </c>
      <c r="P27" s="362">
        <v>0</v>
      </c>
      <c r="Q27" s="362">
        <v>0</v>
      </c>
      <c r="R27" s="363">
        <v>0</v>
      </c>
      <c r="S27" s="363">
        <v>0.01</v>
      </c>
      <c r="T27" s="363">
        <v>0</v>
      </c>
      <c r="U27" s="363">
        <v>0</v>
      </c>
      <c r="V27" s="363">
        <v>0</v>
      </c>
      <c r="W27" s="363">
        <v>0</v>
      </c>
      <c r="X27" s="363">
        <v>0</v>
      </c>
      <c r="Y27" s="363">
        <v>0</v>
      </c>
      <c r="Z27" s="363">
        <v>0</v>
      </c>
      <c r="AA27" s="363">
        <v>0</v>
      </c>
      <c r="AB27" s="363">
        <v>0.09</v>
      </c>
      <c r="AC27" s="362">
        <v>1.48</v>
      </c>
      <c r="AD27" s="362">
        <v>0</v>
      </c>
      <c r="AE27" s="362">
        <v>0</v>
      </c>
      <c r="AF27" s="364">
        <v>7.67</v>
      </c>
    </row>
    <row r="28" spans="1:32" x14ac:dyDescent="0.25">
      <c r="A28" s="352"/>
      <c r="B28" s="346" t="s">
        <v>769</v>
      </c>
      <c r="C28" s="346" t="s">
        <v>260</v>
      </c>
      <c r="D28" s="358">
        <v>0</v>
      </c>
      <c r="E28" s="358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0.74</v>
      </c>
      <c r="M28" s="359">
        <v>0.12</v>
      </c>
      <c r="N28" s="359">
        <v>0</v>
      </c>
      <c r="O28" s="358">
        <v>2.29</v>
      </c>
      <c r="P28" s="358">
        <v>0</v>
      </c>
      <c r="Q28" s="358">
        <v>0</v>
      </c>
      <c r="R28" s="359">
        <v>0</v>
      </c>
      <c r="S28" s="359">
        <v>0.82</v>
      </c>
      <c r="T28" s="359">
        <v>0</v>
      </c>
      <c r="U28" s="359">
        <v>0</v>
      </c>
      <c r="V28" s="359">
        <v>0.08</v>
      </c>
      <c r="W28" s="359">
        <v>0</v>
      </c>
      <c r="X28" s="359">
        <v>0.08</v>
      </c>
      <c r="Y28" s="359">
        <v>0.16</v>
      </c>
      <c r="Z28" s="359">
        <v>1.19</v>
      </c>
      <c r="AA28" s="359">
        <v>0</v>
      </c>
      <c r="AB28" s="359">
        <v>0.75</v>
      </c>
      <c r="AC28" s="358">
        <v>8.9499999999999993</v>
      </c>
      <c r="AD28" s="358">
        <v>11.08</v>
      </c>
      <c r="AE28" s="358">
        <v>0.02</v>
      </c>
      <c r="AF28" s="360">
        <v>26.27</v>
      </c>
    </row>
    <row r="29" spans="1:32" x14ac:dyDescent="0.25">
      <c r="A29" s="352"/>
      <c r="B29" s="352"/>
      <c r="C29" s="361" t="s">
        <v>262</v>
      </c>
      <c r="D29" s="362">
        <v>0</v>
      </c>
      <c r="E29" s="362">
        <v>0</v>
      </c>
      <c r="F29" s="363">
        <v>0</v>
      </c>
      <c r="G29" s="363">
        <v>0.01</v>
      </c>
      <c r="H29" s="363">
        <v>0</v>
      </c>
      <c r="I29" s="363">
        <v>0</v>
      </c>
      <c r="J29" s="363">
        <v>0</v>
      </c>
      <c r="K29" s="363">
        <v>0</v>
      </c>
      <c r="L29" s="363">
        <v>0.67</v>
      </c>
      <c r="M29" s="363">
        <v>0.16</v>
      </c>
      <c r="N29" s="363">
        <v>0</v>
      </c>
      <c r="O29" s="362">
        <v>4.71</v>
      </c>
      <c r="P29" s="362">
        <v>0.32</v>
      </c>
      <c r="Q29" s="362">
        <v>0.39</v>
      </c>
      <c r="R29" s="363">
        <v>0</v>
      </c>
      <c r="S29" s="363">
        <v>2.41</v>
      </c>
      <c r="T29" s="363">
        <v>0</v>
      </c>
      <c r="U29" s="363">
        <v>0</v>
      </c>
      <c r="V29" s="363">
        <v>0.65</v>
      </c>
      <c r="W29" s="363">
        <v>0</v>
      </c>
      <c r="X29" s="363">
        <v>0.51</v>
      </c>
      <c r="Y29" s="363">
        <v>0.02</v>
      </c>
      <c r="Z29" s="363">
        <v>0</v>
      </c>
      <c r="AA29" s="363">
        <v>0.04</v>
      </c>
      <c r="AB29" s="363">
        <v>1.53</v>
      </c>
      <c r="AC29" s="362">
        <v>59.3</v>
      </c>
      <c r="AD29" s="362">
        <v>23.67</v>
      </c>
      <c r="AE29" s="362">
        <v>0.01</v>
      </c>
      <c r="AF29" s="364">
        <v>94.4</v>
      </c>
    </row>
    <row r="30" spans="1:32" x14ac:dyDescent="0.25">
      <c r="A30" s="352"/>
      <c r="B30" s="346" t="s">
        <v>696</v>
      </c>
      <c r="C30" s="347"/>
      <c r="D30" s="358">
        <v>0</v>
      </c>
      <c r="E30" s="358">
        <v>0.13</v>
      </c>
      <c r="F30" s="359">
        <v>0</v>
      </c>
      <c r="G30" s="359">
        <v>0</v>
      </c>
      <c r="H30" s="359">
        <v>0.65</v>
      </c>
      <c r="I30" s="359">
        <v>0</v>
      </c>
      <c r="J30" s="359">
        <v>0</v>
      </c>
      <c r="K30" s="359">
        <v>0</v>
      </c>
      <c r="L30" s="359">
        <v>1.1100000000000001</v>
      </c>
      <c r="M30" s="359">
        <v>0.76</v>
      </c>
      <c r="N30" s="359">
        <v>0</v>
      </c>
      <c r="O30" s="358">
        <v>16.100000000000001</v>
      </c>
      <c r="P30" s="358">
        <v>0</v>
      </c>
      <c r="Q30" s="358">
        <v>0</v>
      </c>
      <c r="R30" s="359">
        <v>2.2799999999999998</v>
      </c>
      <c r="S30" s="359">
        <v>17.21</v>
      </c>
      <c r="T30" s="359">
        <v>0</v>
      </c>
      <c r="U30" s="359">
        <v>0</v>
      </c>
      <c r="V30" s="359">
        <v>0.42</v>
      </c>
      <c r="W30" s="359">
        <v>0</v>
      </c>
      <c r="X30" s="359">
        <v>0</v>
      </c>
      <c r="Y30" s="359">
        <v>0.05</v>
      </c>
      <c r="Z30" s="359">
        <v>9.39</v>
      </c>
      <c r="AA30" s="359">
        <v>21.39</v>
      </c>
      <c r="AB30" s="359">
        <v>5.25</v>
      </c>
      <c r="AC30" s="358">
        <v>39.549999999999997</v>
      </c>
      <c r="AD30" s="358">
        <v>66.53</v>
      </c>
      <c r="AE30" s="358">
        <v>0.28999999999999998</v>
      </c>
      <c r="AF30" s="360">
        <v>181.11</v>
      </c>
    </row>
    <row r="31" spans="1:32" x14ac:dyDescent="0.25">
      <c r="A31" s="372" t="s">
        <v>733</v>
      </c>
      <c r="B31" s="373"/>
      <c r="C31" s="373"/>
      <c r="D31" s="367">
        <v>12.75</v>
      </c>
      <c r="E31" s="367">
        <v>-33.82</v>
      </c>
      <c r="F31" s="368">
        <v>0</v>
      </c>
      <c r="G31" s="368">
        <v>-36.03</v>
      </c>
      <c r="H31" s="368">
        <v>9.93</v>
      </c>
      <c r="I31" s="368">
        <v>0</v>
      </c>
      <c r="J31" s="368">
        <v>305.56</v>
      </c>
      <c r="K31" s="368">
        <v>0.27</v>
      </c>
      <c r="L31" s="368">
        <v>-12.03</v>
      </c>
      <c r="M31" s="368">
        <v>-2.72</v>
      </c>
      <c r="N31" s="368">
        <v>41.59</v>
      </c>
      <c r="O31" s="367">
        <v>74.52</v>
      </c>
      <c r="P31" s="367">
        <v>17.579999999999998</v>
      </c>
      <c r="Q31" s="367">
        <v>21.48</v>
      </c>
      <c r="R31" s="368">
        <v>17.16</v>
      </c>
      <c r="S31" s="368">
        <v>36.35</v>
      </c>
      <c r="T31" s="368">
        <v>0.12</v>
      </c>
      <c r="U31" s="368">
        <v>138.29</v>
      </c>
      <c r="V31" s="368">
        <v>28.31</v>
      </c>
      <c r="W31" s="368">
        <v>9.85</v>
      </c>
      <c r="X31" s="368">
        <v>8.2899999999999991</v>
      </c>
      <c r="Y31" s="368">
        <v>47.47</v>
      </c>
      <c r="Z31" s="368">
        <v>46.35</v>
      </c>
      <c r="AA31" s="368">
        <v>27.92</v>
      </c>
      <c r="AB31" s="368">
        <v>18.53</v>
      </c>
      <c r="AC31" s="367">
        <v>-23.54</v>
      </c>
      <c r="AD31" s="367">
        <v>3.13</v>
      </c>
      <c r="AE31" s="367">
        <v>0</v>
      </c>
      <c r="AF31" s="374">
        <v>757.29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1"/>
  <dimension ref="A1:CC1223"/>
  <sheetViews>
    <sheetView topLeftCell="AA1" zoomScale="80" zoomScaleNormal="80" workbookViewId="0">
      <pane ySplit="1" topLeftCell="A2" activePane="bottomLeft" state="frozen"/>
      <selection pane="bottomLeft" activeCell="AK1" sqref="AK1"/>
    </sheetView>
  </sheetViews>
  <sheetFormatPr defaultRowHeight="15" x14ac:dyDescent="0.25"/>
  <cols>
    <col min="1" max="2" width="9.140625" style="148"/>
    <col min="3" max="4" width="12.140625" style="148" customWidth="1"/>
    <col min="5" max="5" width="11.7109375" style="148" customWidth="1"/>
    <col min="6" max="6" width="12.7109375" style="148" customWidth="1"/>
    <col min="7" max="7" width="15" style="148" customWidth="1"/>
    <col min="8" max="8" width="9.140625" style="148"/>
    <col min="9" max="9" width="12" style="148" customWidth="1"/>
    <col min="10" max="10" width="9.140625" style="148"/>
    <col min="11" max="11" width="12.140625" style="148" customWidth="1"/>
    <col min="12" max="12" width="9.140625" style="148"/>
    <col min="13" max="13" width="9.7109375" style="148" customWidth="1"/>
    <col min="14" max="14" width="11.7109375" style="148" customWidth="1"/>
    <col min="15" max="18" width="9.140625" style="148"/>
    <col min="19" max="19" width="16.5703125" style="148" bestFit="1" customWidth="1"/>
    <col min="20" max="20" width="12" style="148" customWidth="1"/>
    <col min="21" max="21" width="15" style="148" bestFit="1" customWidth="1"/>
    <col min="22" max="22" width="14.7109375" style="148" customWidth="1"/>
    <col min="23" max="23" width="12.85546875" style="148" customWidth="1"/>
    <col min="24" max="24" width="9.140625" style="148"/>
    <col min="25" max="25" width="12.42578125" style="148" customWidth="1"/>
    <col min="26" max="26" width="9.140625" style="148"/>
    <col min="27" max="27" width="18.28515625" style="148" customWidth="1"/>
    <col min="28" max="28" width="13.28515625" style="148" customWidth="1"/>
    <col min="29" max="29" width="11" style="148" customWidth="1"/>
    <col min="30" max="30" width="10.85546875" style="148" customWidth="1"/>
    <col min="31" max="31" width="10.85546875" style="231" customWidth="1"/>
    <col min="32" max="32" width="10.85546875" style="148" customWidth="1"/>
    <col min="33" max="33" width="8.5703125" style="148" customWidth="1"/>
    <col min="34" max="35" width="14.42578125" style="148" customWidth="1"/>
    <col min="36" max="36" width="17.85546875" style="148" customWidth="1"/>
    <col min="37" max="37" width="58.42578125" style="148" customWidth="1"/>
    <col min="38" max="38" width="16" style="148" customWidth="1"/>
    <col min="39" max="39" width="11.85546875" style="148" customWidth="1"/>
    <col min="40" max="40" width="11.85546875" style="231" customWidth="1"/>
    <col min="41" max="41" width="17.28515625" style="148" customWidth="1"/>
    <col min="42" max="42" width="12.42578125" style="9" customWidth="1"/>
    <col min="43" max="52" width="9.140625" style="148"/>
    <col min="53" max="53" width="9.140625" style="22"/>
    <col min="54" max="69" width="9.140625" style="148"/>
    <col min="70" max="70" width="12.42578125" style="148" customWidth="1"/>
    <col min="71" max="71" width="11.140625" style="148" customWidth="1"/>
    <col min="72" max="72" width="11.140625" style="231" customWidth="1"/>
    <col min="73" max="76" width="9.140625" style="148"/>
    <col min="77" max="77" width="18.85546875" style="148" customWidth="1"/>
    <col min="78" max="78" width="23.28515625" style="148" customWidth="1"/>
    <col min="79" max="79" width="8.7109375" style="148" customWidth="1"/>
    <col min="80" max="80" width="13.85546875" style="148" customWidth="1"/>
    <col min="81" max="81" width="17.42578125" style="148" customWidth="1"/>
    <col min="82" max="82" width="18.85546875" style="148" customWidth="1"/>
    <col min="83" max="16384" width="9.140625" style="148"/>
  </cols>
  <sheetData>
    <row r="1" spans="1:81" ht="178.5" customHeight="1" x14ac:dyDescent="0.25">
      <c r="A1" s="231"/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  <c r="CA1" s="231"/>
      <c r="CB1" s="231"/>
    </row>
    <row r="2" spans="1:81" ht="24.75" customHeight="1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  <c r="CA2" s="231"/>
      <c r="CB2" s="231"/>
    </row>
    <row r="3" spans="1:81" ht="24.75" customHeight="1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  <c r="CA3" s="231"/>
      <c r="CB3" s="231"/>
    </row>
    <row r="4" spans="1:81" s="231" customFormat="1" ht="24.75" customHeight="1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</row>
    <row r="5" spans="1:81" x14ac:dyDescent="0.25">
      <c r="A5" s="231"/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4873.1350122683243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2566.3598477902306</v>
      </c>
      <c r="AU5" s="11">
        <f>(F7+F5)*-1</f>
        <v>217.45291861526195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1430.0864457373111</v>
      </c>
      <c r="BJ5" s="11">
        <f t="shared" ref="BJ5:BQ5" si="4">(U7+U5)*-1</f>
        <v>0</v>
      </c>
      <c r="BK5" s="11">
        <f t="shared" si="4"/>
        <v>98.924307121989372</v>
      </c>
      <c r="BL5" s="11">
        <f t="shared" si="4"/>
        <v>20.000000000000004</v>
      </c>
      <c r="BM5" s="11">
        <f t="shared" si="4"/>
        <v>948.21367712612471</v>
      </c>
      <c r="BN5" s="11">
        <f t="shared" si="4"/>
        <v>83.432782865056254</v>
      </c>
      <c r="BO5" s="11">
        <f t="shared" si="4"/>
        <v>0</v>
      </c>
      <c r="BP5" s="11">
        <f t="shared" si="4"/>
        <v>265.77578941865352</v>
      </c>
      <c r="BQ5" s="11">
        <f t="shared" si="4"/>
        <v>13.739889205487248</v>
      </c>
      <c r="BR5" s="11"/>
      <c r="BS5" s="11"/>
      <c r="BT5" s="11"/>
      <c r="BU5" s="11">
        <f>-1*SUM(AF5,AF7,AF9,AF66,AF68)</f>
        <v>374.43500012552028</v>
      </c>
      <c r="BV5" s="11">
        <f>-1*SUM(AG5,AG7,AG9,AG66,AG68)</f>
        <v>0</v>
      </c>
      <c r="BW5" s="11">
        <f>-1*SUM(AH5,AH7,AH9,AH66,AH68)</f>
        <v>284.80080000000004</v>
      </c>
      <c r="BX5" s="11"/>
      <c r="BY5" s="123">
        <v>0</v>
      </c>
      <c r="BZ5" s="123">
        <f>(C5*Emissionsfaktorer!$J$4+E5*Emissionsfaktorer!$J$3+F5*Emissionsfaktorer!$J$5+H5*Emissionsfaktorer!$J$7+I5*Emissionsfaktorer!$J$8+J5*Emissionsfaktorer!$J$9+K5*Emissionsfaktorer!$J$10+L5*Emissionsfaktorer!$J$11+M5*Emissionsfaktorer!$J$12)*-1</f>
        <v>0</v>
      </c>
      <c r="CA5" s="231"/>
      <c r="CB5" s="231"/>
    </row>
    <row r="6" spans="1:81" x14ac:dyDescent="0.25">
      <c r="A6" s="231"/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Nøgletal!$T$283/IF(Nøgletal!$U$399=0,1,Nøgletal!$U$399)*Nøgletal!$T419*-1</f>
        <v>0</v>
      </c>
      <c r="V6" s="84"/>
      <c r="W6" s="84"/>
      <c r="X6" s="84"/>
      <c r="Y6" s="84"/>
      <c r="Z6" s="84">
        <f>Nøgletal!$T$283/IF(Nøgletal!$U$399=0,1,Nøgletal!$U$399)*Nøgletal!$T420*-1</f>
        <v>0</v>
      </c>
      <c r="AA6" s="84">
        <f>Nøgletal!$T$283/IF(Nøgletal!$U$399=0,1,Nøgletal!$U$399)*Nøgletal!$T421*-1</f>
        <v>0</v>
      </c>
      <c r="AB6" s="84">
        <f>Nøgletal!$T$283/IF(Nøgletal!$U$399=0,1,Nøgletal!$U$399)*Nøgletal!$T422*-1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Nøgletal!T283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(C6*Emissionsfaktorer!$J$4+E6*Emissionsfaktorer!$J$3+F6*Emissionsfaktorer!$J$5+H6*Emissionsfaktorer!$J$7+I6*Emissionsfaktorer!$J$8+J6*Emissionsfaktorer!$J$9+K6*Emissionsfaktorer!$J$10+L6*Emissionsfaktorer!$J$11+M6*Emissionsfaktorer!$J$12)*-1</f>
        <v>0</v>
      </c>
      <c r="CA6" s="231"/>
      <c r="CB6" s="231"/>
    </row>
    <row r="7" spans="1:81" x14ac:dyDescent="0.25">
      <c r="A7" s="231"/>
      <c r="B7" s="31"/>
      <c r="C7" s="11">
        <f>AR7*-1</f>
        <v>0</v>
      </c>
      <c r="D7" s="11">
        <f>AS7*-1</f>
        <v>0</v>
      </c>
      <c r="E7" s="11">
        <f>AT7*-1</f>
        <v>-2566.3598477902306</v>
      </c>
      <c r="F7" s="11">
        <f>AU7*-1</f>
        <v>-217.45291861526195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-1430.0864457373111</v>
      </c>
      <c r="U7" s="11">
        <f>BJ7*-1</f>
        <v>0</v>
      </c>
      <c r="V7" s="11">
        <f t="shared" ref="V7:AB7" si="5">BK7*-1</f>
        <v>-98.924307121989372</v>
      </c>
      <c r="W7" s="11">
        <f t="shared" si="5"/>
        <v>-20.000000000000004</v>
      </c>
      <c r="X7" s="11">
        <f t="shared" si="5"/>
        <v>-948.21367712612471</v>
      </c>
      <c r="Y7" s="11">
        <f t="shared" si="5"/>
        <v>-83.432782865056254</v>
      </c>
      <c r="Z7" s="11">
        <f t="shared" si="5"/>
        <v>0</v>
      </c>
      <c r="AA7" s="11">
        <f t="shared" si="5"/>
        <v>-265.77578941865352</v>
      </c>
      <c r="AB7" s="11">
        <f t="shared" si="5"/>
        <v>-13.739889205487248</v>
      </c>
      <c r="AC7" s="11"/>
      <c r="AD7" s="11"/>
      <c r="AE7" s="11"/>
      <c r="AF7" s="11"/>
      <c r="AG7" s="11"/>
      <c r="AH7" s="11"/>
      <c r="AI7" s="11"/>
      <c r="AJ7" s="105">
        <f t="shared" si="0"/>
        <v>-4213.8992121428037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4213.8992121428037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2566.3598477902306</v>
      </c>
      <c r="AU7" s="11">
        <f>(F9+F68)*-1</f>
        <v>217.45291861526195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1430.0864457373111</v>
      </c>
      <c r="BJ7" s="11">
        <f t="shared" ref="BJ7:BQ7" si="9">(U9+U68)*-1</f>
        <v>0</v>
      </c>
      <c r="BK7" s="11">
        <f t="shared" si="9"/>
        <v>98.924307121989372</v>
      </c>
      <c r="BL7" s="11">
        <f t="shared" si="9"/>
        <v>20.000000000000004</v>
      </c>
      <c r="BM7" s="11">
        <f t="shared" si="9"/>
        <v>948.21367712612471</v>
      </c>
      <c r="BN7" s="11">
        <f t="shared" si="9"/>
        <v>83.432782865056254</v>
      </c>
      <c r="BO7" s="11">
        <f t="shared" si="9"/>
        <v>0</v>
      </c>
      <c r="BP7" s="11">
        <f t="shared" si="9"/>
        <v>265.77578941865352</v>
      </c>
      <c r="BQ7" s="11">
        <f t="shared" si="9"/>
        <v>13.739889205487248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  <c r="CA7" s="231"/>
      <c r="CB7" s="231"/>
    </row>
    <row r="8" spans="1:81" x14ac:dyDescent="0.25">
      <c r="A8" s="231"/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98.700866542750177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98.700866542750177</v>
      </c>
      <c r="BD8" s="11">
        <f>-1*SUM(O5,O7,O9)</f>
        <v>80</v>
      </c>
      <c r="BE8" s="11">
        <f>-1*SUM(P5,P7,P9)</f>
        <v>0</v>
      </c>
      <c r="BF8" s="11">
        <f>-1*SUM(Q5,Q7,Q9)</f>
        <v>18.700866542750177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(C8*Emissionsfaktorer!$J$4+E8*Emissionsfaktorer!$J$3+F8*Emissionsfaktorer!$J$5+H8*Emissionsfaktorer!$J$7+I8*Emissionsfaktorer!$J$8+J8*Emissionsfaktorer!$J$9+K8*Emissionsfaktorer!$J$10+L8*Emissionsfaktorer!$J$11+M8*Emissionsfaktorer!$J$12)*-1</f>
        <v>0</v>
      </c>
      <c r="CA8" s="2"/>
      <c r="CB8" s="2"/>
      <c r="CC8" s="2"/>
    </row>
    <row r="9" spans="1:81" x14ac:dyDescent="0.25">
      <c r="A9" s="231"/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-1812.9598477902305</v>
      </c>
      <c r="F9" s="11">
        <f t="shared" si="10"/>
        <v>-217.45291861526195</v>
      </c>
      <c r="G9" s="11">
        <f t="shared" si="10"/>
        <v>-1.7254744583635151</v>
      </c>
      <c r="H9" s="11">
        <f t="shared" si="10"/>
        <v>0</v>
      </c>
      <c r="I9" s="11">
        <f t="shared" si="10"/>
        <v>0</v>
      </c>
      <c r="J9" s="11">
        <f t="shared" si="10"/>
        <v>-1.7254744583635151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-98.700866542750177</v>
      </c>
      <c r="O9" s="11">
        <f t="shared" si="10"/>
        <v>-80</v>
      </c>
      <c r="P9" s="11">
        <f t="shared" si="10"/>
        <v>0</v>
      </c>
      <c r="Q9" s="11">
        <f t="shared" si="10"/>
        <v>-18.700866542750177</v>
      </c>
      <c r="R9" s="11">
        <f t="shared" si="10"/>
        <v>0</v>
      </c>
      <c r="S9" s="11">
        <f t="shared" si="10"/>
        <v>0</v>
      </c>
      <c r="T9" s="11">
        <f t="shared" si="10"/>
        <v>-1093.6546001537833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-812.70613866458621</v>
      </c>
      <c r="Y9" s="11">
        <f t="shared" ref="Y9:AI9" si="11">SUM(Y10:Y11,Y18,Y57,Y65)</f>
        <v>-1.43278286505624</v>
      </c>
      <c r="Z9" s="11">
        <f t="shared" si="11"/>
        <v>0</v>
      </c>
      <c r="AA9" s="11">
        <f t="shared" si="11"/>
        <v>-265.77578941865352</v>
      </c>
      <c r="AB9" s="11">
        <f t="shared" si="11"/>
        <v>-13.739889205487248</v>
      </c>
      <c r="AC9" s="11">
        <f t="shared" si="11"/>
        <v>-142.40040000000002</v>
      </c>
      <c r="AD9" s="11">
        <f t="shared" si="11"/>
        <v>0</v>
      </c>
      <c r="AE9" s="11">
        <f t="shared" si="11"/>
        <v>0</v>
      </c>
      <c r="AF9" s="11">
        <f t="shared" si="11"/>
        <v>-374.43500012552028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-3741.3291076859095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5441.3413568110318</v>
      </c>
      <c r="AP9" s="37">
        <f t="shared" si="6"/>
        <v>1.4543872512131433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2010.4353661408647</v>
      </c>
      <c r="AW9" s="11">
        <f>H66*-1</f>
        <v>23.698541543143385</v>
      </c>
      <c r="AX9" s="11">
        <f t="shared" ref="AX9:BB9" si="13">I66*-1</f>
        <v>0</v>
      </c>
      <c r="AY9" s="11">
        <f t="shared" si="13"/>
        <v>76.155124999999998</v>
      </c>
      <c r="AZ9" s="11">
        <f t="shared" si="13"/>
        <v>1020.905338680396</v>
      </c>
      <c r="BA9" s="11">
        <f t="shared" si="13"/>
        <v>385.50999999999993</v>
      </c>
      <c r="BB9" s="11">
        <f t="shared" si="13"/>
        <v>504.16636091732539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1272.9984824676362</v>
      </c>
      <c r="BS9" s="11">
        <f>SUM(BS10:BS11,BS18,BS57,BS65)+AD9</f>
        <v>2015.5071082025311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142.40040000000002</v>
      </c>
      <c r="BX9" s="11">
        <f t="shared" si="12"/>
        <v>0</v>
      </c>
      <c r="BY9" s="123">
        <f t="shared" si="12"/>
        <v>778.32241741339203</v>
      </c>
      <c r="BZ9" s="123">
        <f t="shared" si="12"/>
        <v>189.088642146648</v>
      </c>
      <c r="CA9" s="2"/>
      <c r="CB9" s="2"/>
      <c r="CC9" s="2"/>
    </row>
    <row r="10" spans="1:81" x14ac:dyDescent="0.25">
      <c r="A10" s="231"/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2622.4605409968781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2012.1608405992283</v>
      </c>
      <c r="AW10" s="85">
        <f>IF(-(AW$11+AW$18+AW$57+AW65)-(H$70+H$79+H$80+H$84)-H$9&gt;0,-(AW$11+AW$18+AW$57+AW65)-(H$70+H$79+H$80+H$84)-H$9,0)</f>
        <v>23.698541543143385</v>
      </c>
      <c r="AX10" s="85">
        <f t="shared" ref="AX10:BB10" si="17">IF(-(AX$11+AX$18+AX$57+AX65)-(I70+I79+I80+I84)-I$9&gt;0,-(AX$11+AX$18+AX$57+AX65)-(I70+I79+I80+I84)-I$9,0)</f>
        <v>0</v>
      </c>
      <c r="AY10" s="85">
        <f t="shared" si="17"/>
        <v>77.88059945836352</v>
      </c>
      <c r="AZ10" s="85">
        <f t="shared" si="17"/>
        <v>1020.905338680396</v>
      </c>
      <c r="BA10" s="85">
        <f t="shared" si="17"/>
        <v>385.50999999999993</v>
      </c>
      <c r="BB10" s="85">
        <f t="shared" si="17"/>
        <v>504.16636091732539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IF(-($BR$11+$BR$18+$BR$57+BR65)-(AC70+AC79+AC80+AC84)/(1-Nøgletal!$T$294)-$AC$9&gt;0,-($BR$11+$BR$18+$BR$57+BR65)-(AC70+AC79+AC80+AC84)/(1-Nøgletal!$T$294)-$AC$9,0)</f>
        <v>610.29970039764976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BR10*Emissionsfaktorer!J6+BT10*Emissionsfaktorer!J14</f>
        <v>67.74326674413912</v>
      </c>
      <c r="CA10" s="2"/>
      <c r="CB10" s="2"/>
      <c r="CC10" s="2"/>
    </row>
    <row r="11" spans="1:81" x14ac:dyDescent="0.25">
      <c r="A11" s="231"/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-98.67</v>
      </c>
      <c r="O11" s="20">
        <f t="shared" si="18"/>
        <v>-80</v>
      </c>
      <c r="P11" s="20">
        <f t="shared" si="18"/>
        <v>0</v>
      </c>
      <c r="Q11" s="20">
        <f t="shared" si="18"/>
        <v>-18.670000000000002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-98.67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98.67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98.67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  <c r="CC11" s="2"/>
    </row>
    <row r="12" spans="1:81" s="231" customFormat="1" x14ac:dyDescent="0.25"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-18.670000000000002</v>
      </c>
      <c r="O12" s="23"/>
      <c r="P12" s="23"/>
      <c r="Q12" s="23">
        <f>AJ12</f>
        <v>-18.670000000000002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-18.670000000000002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18.670000000000002</v>
      </c>
      <c r="AP12" s="37">
        <f t="shared" si="6"/>
        <v>1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Nøgletal!T279</f>
        <v>18.670000000000002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(C12*Emissionsfaktorer!$J$4+E12*Emissionsfaktorer!$J$3+F12*Emissionsfaktorer!$J$5+H12*Emissionsfaktorer!$J$7+I12*Emissionsfaktorer!$J$8+J12*Emissionsfaktorer!$J$9+K12*Emissionsfaktorer!$J$10+L12*Emissionsfaktorer!$J$11+M12*Emissionsfaktorer!$J$12)*-1</f>
        <v>0</v>
      </c>
      <c r="CA12" s="2"/>
      <c r="CB12" s="2"/>
      <c r="CC12" s="2"/>
    </row>
    <row r="13" spans="1:81" x14ac:dyDescent="0.25">
      <c r="A13" s="231"/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-80</v>
      </c>
      <c r="O13" s="23">
        <f t="shared" si="21"/>
        <v>-80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-80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80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80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  <c r="CC13" s="2"/>
    </row>
    <row r="14" spans="1:81" x14ac:dyDescent="0.25">
      <c r="A14" s="231"/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-80</v>
      </c>
      <c r="O14" s="278">
        <f>AJ14</f>
        <v>-80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-80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80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Nøgletal!T277</f>
        <v>80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(C14*Emissionsfaktorer!$J$4+E14*Emissionsfaktorer!$J$3+F14*Emissionsfaktorer!$J$5+H14*Emissionsfaktorer!$J$7+I14*Emissionsfaktorer!$J$8+J14*Emissionsfaktorer!$J$9+K14*Emissionsfaktorer!$J$10+L14*Emissionsfaktorer!$J$11+M14*Emissionsfaktorer!$J$12)*-1</f>
        <v>0</v>
      </c>
      <c r="CA14" s="231"/>
      <c r="CB14" s="231"/>
      <c r="CC14" s="2"/>
    </row>
    <row r="15" spans="1:81" x14ac:dyDescent="0.25">
      <c r="A15" s="231"/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Nøgletal!T278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(C15*Emissionsfaktorer!$J$4+E15*Emissionsfaktorer!$J$3+F15*Emissionsfaktorer!$J$5+H15*Emissionsfaktorer!$J$7+I15*Emissionsfaktorer!$J$8+J15*Emissionsfaktorer!$J$9+K15*Emissionsfaktorer!$J$10+L15*Emissionsfaktorer!$J$11+M15*Emissionsfaktorer!$J$12)*-1</f>
        <v>0</v>
      </c>
      <c r="CA15" s="231"/>
      <c r="CB15" s="231"/>
    </row>
    <row r="16" spans="1:81" x14ac:dyDescent="0.25">
      <c r="A16" s="231"/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Nøgletal!T280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(C16*Emissionsfaktorer!$J$4+E16*Emissionsfaktorer!$J$3+F16*Emissionsfaktorer!$J$5+H16*Emissionsfaktorer!$J$7+I16*Emissionsfaktorer!$J$8+J16*Emissionsfaktorer!$J$9+K16*Emissionsfaktorer!$J$10+L16*Emissionsfaktorer!$J$11+M16*Emissionsfaktorer!$J$12)*-1</f>
        <v>0</v>
      </c>
      <c r="CA16" s="231"/>
      <c r="CB16" s="231"/>
    </row>
    <row r="17" spans="1:80" x14ac:dyDescent="0.25">
      <c r="A17" s="231"/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Nøgletal!T276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(C17*Emissionsfaktorer!$J$4+E17*Emissionsfaktorer!$J$3+F17*Emissionsfaktorer!$J$5+H17*Emissionsfaktorer!$J$7+I17*Emissionsfaktorer!$J$8+J17*Emissionsfaktorer!$J$9+K17*Emissionsfaktorer!$J$10+L17*Emissionsfaktorer!$J$11+M17*Emissionsfaktorer!$J$12)*-1</f>
        <v>0</v>
      </c>
      <c r="CA17" s="231"/>
      <c r="CB17" s="231"/>
    </row>
    <row r="18" spans="1:80" x14ac:dyDescent="0.25">
      <c r="A18" s="231"/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0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0</v>
      </c>
      <c r="AC18" s="20">
        <f t="shared" si="23"/>
        <v>-142.40040000000002</v>
      </c>
      <c r="AD18" s="20">
        <f t="shared" si="23"/>
        <v>0</v>
      </c>
      <c r="AE18" s="20">
        <f t="shared" si="23"/>
        <v>0</v>
      </c>
      <c r="AF18" s="20">
        <f t="shared" si="23"/>
        <v>-374.43500012552028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-516.83540012552032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516.83540012552032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0</v>
      </c>
      <c r="BS18" s="20">
        <f t="shared" si="24"/>
        <v>374.43500012552028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142.40040000000002</v>
      </c>
      <c r="BX18" s="20">
        <f t="shared" si="24"/>
        <v>0</v>
      </c>
      <c r="BY18" s="263">
        <f t="shared" si="24"/>
        <v>0</v>
      </c>
      <c r="BZ18" s="263">
        <f t="shared" si="24"/>
        <v>0</v>
      </c>
      <c r="CA18" s="231"/>
      <c r="CB18" s="231"/>
    </row>
    <row r="19" spans="1:80" s="231" customFormat="1" x14ac:dyDescent="0.25"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Nøgletal!T268/(1-Nøgletal!T295)</f>
        <v>0</v>
      </c>
      <c r="BT19" s="23">
        <f>Nøgletal!U268/(1-Nøgletal!U295)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</row>
    <row r="20" spans="1:80" x14ac:dyDescent="0.25">
      <c r="A20" s="231"/>
      <c r="B20" s="31"/>
      <c r="C20" s="278">
        <f>AJ20*Nøgletal!T429</f>
        <v>0</v>
      </c>
      <c r="D20" s="278"/>
      <c r="E20" s="278">
        <f>AJ20*Nøgletal!T431</f>
        <v>0</v>
      </c>
      <c r="F20" s="278"/>
      <c r="G20" s="278">
        <f t="shared" ref="G20:G83" si="29">SUM(H20:M20)</f>
        <v>0</v>
      </c>
      <c r="H20" s="278"/>
      <c r="I20" s="278">
        <f>AJ20*Nøgletal!T430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AJ20*Nøgletal!T432</f>
        <v>0</v>
      </c>
      <c r="V20" s="278">
        <f>AJ20*Nøgletal!T433</f>
        <v>0</v>
      </c>
      <c r="W20" s="278">
        <f>AJ20*Nøgletal!T434</f>
        <v>0</v>
      </c>
      <c r="X20" s="278">
        <f>AJ20*Nøgletal!T435</f>
        <v>0</v>
      </c>
      <c r="Y20" s="278">
        <f>AJ20*Nøgletal!T436</f>
        <v>0</v>
      </c>
      <c r="Z20" s="278"/>
      <c r="AA20" s="278"/>
      <c r="AB20" s="278">
        <f>AJ20*Nøgletal!T437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-AO20/IF(Nøgletal!T345+Nøgletal!U345&gt;0,Nøgletal!T345+Nøgletal!U345,1)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BS20/IF(Nøgletal!U345&gt;0,Nøgletal!U345,1)*Nøgletal!T345</f>
        <v>0</v>
      </c>
      <c r="BS20" s="278">
        <f>BS$19*Nøgletal!T303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J$4+E20*Emissionsfaktorer!$J$3+F20*Emissionsfaktorer!$J$5+H20*Emissionsfaktorer!$J$7+I20*Emissionsfaktorer!$J$8+J20*Emissionsfaktorer!$J$9+K20*Emissionsfaktorer!$J$10+L20*Emissionsfaktorer!$J$11+M20*Emissionsfaktorer!$J$12)*-1*(1-Nøgletal!$T$301)+T20*Emissionsfaktorer!$J$13*Nøgletal!$T$301</f>
        <v>0</v>
      </c>
      <c r="CA20" s="231"/>
      <c r="CB20" s="231"/>
    </row>
    <row r="21" spans="1:80" x14ac:dyDescent="0.25">
      <c r="A21" s="231"/>
      <c r="B21" s="31"/>
      <c r="C21" s="278"/>
      <c r="D21" s="278"/>
      <c r="E21" s="278">
        <f>AJ21*Nøgletal!T443</f>
        <v>0</v>
      </c>
      <c r="F21" s="278"/>
      <c r="G21" s="278">
        <f t="shared" si="29"/>
        <v>0</v>
      </c>
      <c r="H21" s="278"/>
      <c r="I21" s="278">
        <f>AJ21*Nøgletal!T439</f>
        <v>0</v>
      </c>
      <c r="J21" s="278">
        <f>AJ21*Nøgletal!T440</f>
        <v>0</v>
      </c>
      <c r="K21" s="278">
        <f>AJ21*Nøgletal!T441</f>
        <v>0</v>
      </c>
      <c r="L21" s="278"/>
      <c r="M21" s="278">
        <f>AJ21*Nøgletal!T442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AJ21*Nøgletal!T444</f>
        <v>0</v>
      </c>
      <c r="V21" s="278">
        <f>AJ21*Nøgletal!T445</f>
        <v>0</v>
      </c>
      <c r="W21" s="278">
        <f>AJ21*Nøgletal!T446</f>
        <v>0</v>
      </c>
      <c r="X21" s="278">
        <f>AJ21*Nøgletal!T447</f>
        <v>0</v>
      </c>
      <c r="Y21" s="278">
        <f>AJ21*Nøgletal!T448</f>
        <v>0</v>
      </c>
      <c r="Z21" s="278"/>
      <c r="AA21" s="278"/>
      <c r="AB21" s="278">
        <f>AJ21*Nøgletal!T449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-AO21/IF(Nøgletal!T346+Nøgletal!U346&gt;0,Nøgletal!T346+Nøgletal!U346,1)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BS21/IF(Nøgletal!U346&gt;0,Nøgletal!U346,1)*Nøgletal!T346</f>
        <v>0</v>
      </c>
      <c r="BS21" s="278">
        <f>BS$19*Nøgletal!T304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J$4+E21*Emissionsfaktorer!$J$3+F21*Emissionsfaktorer!$J$5+H21*Emissionsfaktorer!$J$7+I21*Emissionsfaktorer!$J$8+J21*Emissionsfaktorer!$J$9+K21*Emissionsfaktorer!$J$10+L21*Emissionsfaktorer!$J$11+M21*Emissionsfaktorer!$J$12)*-1*(1-Nøgletal!$T$301)+T21*Emissionsfaktorer!$J$13*Nøgletal!$T$301</f>
        <v>0</v>
      </c>
      <c r="CA21" s="231"/>
      <c r="CB21" s="231"/>
    </row>
    <row r="22" spans="1:80" x14ac:dyDescent="0.25">
      <c r="A22" s="231"/>
      <c r="B22" s="31"/>
      <c r="C22" s="278"/>
      <c r="D22" s="278"/>
      <c r="E22" s="278">
        <f>AJ22*Nøgletal!T451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AJ22*Nøgletal!T452</f>
        <v>0</v>
      </c>
      <c r="V22" s="278"/>
      <c r="W22" s="278"/>
      <c r="X22" s="278"/>
      <c r="Y22" s="278"/>
      <c r="Z22" s="278"/>
      <c r="AA22" s="278"/>
      <c r="AB22" s="278">
        <f>AJ22*Nøgletal!T453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-AO22/IF(Nøgletal!T347+Nøgletal!U347&gt;0,Nøgletal!T347+Nøgletal!U347,1)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BS22/IF(Nøgletal!U347&gt;0,Nøgletal!U347,1)*Nøgletal!T347</f>
        <v>0</v>
      </c>
      <c r="BS22" s="278">
        <f>BS$19*Nøgletal!T305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J$4+E22*Emissionsfaktorer!$J$3+F22*Emissionsfaktorer!$J$5+H22*Emissionsfaktorer!$J$7+I22*Emissionsfaktorer!$J$8+J22*Emissionsfaktorer!$J$9+K22*Emissionsfaktorer!$J$10+L22*Emissionsfaktorer!$J$11+M22*Emissionsfaktorer!$J$12)*-1*(1-Nøgletal!$T$301)+T22*Emissionsfaktorer!$J$13*Nøgletal!$T$301</f>
        <v>0</v>
      </c>
      <c r="CA22" s="231"/>
      <c r="CB22" s="231"/>
    </row>
    <row r="23" spans="1:80" x14ac:dyDescent="0.25">
      <c r="A23" s="231"/>
      <c r="B23" s="31"/>
      <c r="C23" s="278">
        <f>AJ23*Nøgletal!T455</f>
        <v>0</v>
      </c>
      <c r="D23" s="278"/>
      <c r="E23" s="278">
        <f>AJ23*Nøgletal!T457</f>
        <v>0</v>
      </c>
      <c r="F23" s="278"/>
      <c r="G23" s="278">
        <f t="shared" si="29"/>
        <v>0</v>
      </c>
      <c r="H23" s="278"/>
      <c r="I23" s="278">
        <f>AJ23*Nøgletal!T456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AJ23*Nøgletal!T458</f>
        <v>0</v>
      </c>
      <c r="V23" s="278">
        <f>AJ23*Nøgletal!T459</f>
        <v>0</v>
      </c>
      <c r="W23" s="278">
        <f>AJ23*Nøgletal!T460</f>
        <v>0</v>
      </c>
      <c r="X23" s="278">
        <f>AJ23*Nøgletal!T461</f>
        <v>0</v>
      </c>
      <c r="Y23" s="278">
        <f>AJ23*Nøgletal!T462</f>
        <v>0</v>
      </c>
      <c r="Z23" s="278"/>
      <c r="AA23" s="278"/>
      <c r="AB23" s="278">
        <f>AJ23*Nøgletal!T463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-AO23/IF(Nøgletal!T348+Nøgletal!U348&gt;0,Nøgletal!T348+Nøgletal!U348,1)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BS23/IF(Nøgletal!U348&gt;0,Nøgletal!U348,1)*Nøgletal!T348</f>
        <v>0</v>
      </c>
      <c r="BS23" s="278">
        <f>BS$19*Nøgletal!T306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J$4+E23*Emissionsfaktorer!$J$3+F23*Emissionsfaktorer!$J$5+H23*Emissionsfaktorer!$J$7+I23*Emissionsfaktorer!$J$8+J23*Emissionsfaktorer!$J$9+K23*Emissionsfaktorer!$J$10+L23*Emissionsfaktorer!$J$11+M23*Emissionsfaktorer!$J$12)*-1*(1-Nøgletal!$T$301)+T23*Emissionsfaktorer!$J$13*Nøgletal!$T$301</f>
        <v>0</v>
      </c>
      <c r="CA23" s="231"/>
      <c r="CB23" s="231"/>
    </row>
    <row r="24" spans="1:80" x14ac:dyDescent="0.25">
      <c r="A24" s="231"/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-AO24*(1-1/IF(Nøgletal!U349&gt;0,Nøgletal!U349,1))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-AO24/Nøgletal!U465/(1-Nøgletal!T294)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BS$19*Nøgletal!T307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J$4+E24*Emissionsfaktorer!$J$3+F24*Emissionsfaktorer!$J$5+H24*Emissionsfaktorer!$J$7+I24*Emissionsfaktorer!$J$8+J24*Emissionsfaktorer!$J$9+K24*Emissionsfaktorer!$J$10+L24*Emissionsfaktorer!$J$11+M24*Emissionsfaktorer!$J$12)*-1*(1-Nøgletal!$T$301)+T24*Emissionsfaktorer!$J$13*Nøgletal!$T$301</f>
        <v>0</v>
      </c>
      <c r="CA24" s="231"/>
      <c r="CB24" s="231"/>
    </row>
    <row r="25" spans="1:80" x14ac:dyDescent="0.25">
      <c r="A25" s="231"/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-AO25/IF(Nøgletal!T350+Nøgletal!U350&gt;0,Nøgletal!T350+Nøgletal!U350,1)/(1-Nøgletal!T294)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BS$19*Nøgletal!T308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J$4+E25*Emissionsfaktorer!$J$3+F25*Emissionsfaktorer!$J$5+H25*Emissionsfaktorer!$J$7+I25*Emissionsfaktorer!$J$8+J25*Emissionsfaktorer!$J$9+K25*Emissionsfaktorer!$J$10+L25*Emissionsfaktorer!$J$11+M25*Emissionsfaktorer!$J$12)*-1*(1-Nøgletal!$T$301)+T25*Emissionsfaktorer!$J$13*Nøgletal!$T$301</f>
        <v>0</v>
      </c>
      <c r="CA25" s="231"/>
      <c r="CB25" s="231"/>
    </row>
    <row r="26" spans="1:80" x14ac:dyDescent="0.25">
      <c r="A26" s="231"/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-AO26/IF(Nøgletal!T352+Nøgletal!U352&gt;0,Nøgletal!T352+Nøgletal!U352,1)/(1-Nøgletal!T295)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J$4+E26*Emissionsfaktorer!$J$3+F26*Emissionsfaktorer!$J$5+H26*Emissionsfaktorer!$J$7+I26*Emissionsfaktorer!$J$8+J26*Emissionsfaktorer!$J$9+K26*Emissionsfaktorer!$J$10+L26*Emissionsfaktorer!$J$11+M26*Emissionsfaktorer!$J$12)*-1*(1-Nøgletal!$T$301)+T26*Emissionsfaktorer!$J$13*Nøgletal!$T$301</f>
        <v>0</v>
      </c>
      <c r="CA26" s="231"/>
      <c r="CB26" s="231"/>
    </row>
    <row r="27" spans="1:80" x14ac:dyDescent="0.25">
      <c r="A27" s="231"/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Nøgletal!T270/(1-Nøgletal!T297)</f>
        <v>0</v>
      </c>
      <c r="BT27" s="23">
        <f>Nøgletal!U270/(1-Nøgletal!U297)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  <c r="CA27" s="231"/>
      <c r="CB27" s="231"/>
    </row>
    <row r="28" spans="1:80" x14ac:dyDescent="0.25">
      <c r="A28" s="231"/>
      <c r="B28" s="31"/>
      <c r="C28" s="278">
        <f>AJ28*Nøgletal!T479</f>
        <v>0</v>
      </c>
      <c r="D28" s="278"/>
      <c r="E28" s="278">
        <f>AJ28*Nøgletal!T481</f>
        <v>0</v>
      </c>
      <c r="F28" s="278"/>
      <c r="G28" s="278">
        <f t="shared" si="29"/>
        <v>0</v>
      </c>
      <c r="H28" s="278"/>
      <c r="I28" s="278">
        <f>AJ28*Nøgletal!T480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AJ28*Nøgletal!T482</f>
        <v>0</v>
      </c>
      <c r="V28" s="278">
        <f>AJ28*Nøgletal!T483</f>
        <v>0</v>
      </c>
      <c r="W28" s="278">
        <f>AJ28*Nøgletal!T484</f>
        <v>0</v>
      </c>
      <c r="X28" s="278">
        <f>AJ28*Nøgletal!T485</f>
        <v>0</v>
      </c>
      <c r="Y28" s="278">
        <f>AJ28*Nøgletal!T486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-AO28/IF(Nøgletal!T357+Nøgletal!U357&gt;0,Nøgletal!T357+Nøgletal!U357,1)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BS28/IF(Nøgletal!U357&gt;0,Nøgletal!U357,1)*Nøgletal!T357</f>
        <v>0</v>
      </c>
      <c r="BS28" s="286">
        <f>BS$27*Nøgletal!T317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J$4+E28*Emissionsfaktorer!$J$3+F28*Emissionsfaktorer!$J$5+H28*Emissionsfaktorer!$J$7+I28*Emissionsfaktorer!$J$8+J28*Emissionsfaktorer!$J$9+K28*Emissionsfaktorer!$J$10+L28*Emissionsfaktorer!$J$11+M28*Emissionsfaktorer!$J$12)*-1*(1-Nøgletal!$T$315)+T28*Emissionsfaktorer!$J$13*Nøgletal!$T$315</f>
        <v>0</v>
      </c>
      <c r="CA28" s="231"/>
      <c r="CB28" s="231"/>
    </row>
    <row r="29" spans="1:80" x14ac:dyDescent="0.25">
      <c r="A29" s="231"/>
      <c r="B29" s="31"/>
      <c r="C29" s="278"/>
      <c r="D29" s="278"/>
      <c r="E29" s="278">
        <f>AJ29*Nøgletal!T492</f>
        <v>0</v>
      </c>
      <c r="F29" s="278"/>
      <c r="G29" s="278">
        <f t="shared" si="29"/>
        <v>0</v>
      </c>
      <c r="H29" s="278"/>
      <c r="I29" s="278">
        <f>AJ29*Nøgletal!T488</f>
        <v>0</v>
      </c>
      <c r="J29" s="278">
        <f>AJ29*Nøgletal!T489</f>
        <v>0</v>
      </c>
      <c r="K29" s="278">
        <f>AJ29*Nøgletal!T490</f>
        <v>0</v>
      </c>
      <c r="L29" s="278"/>
      <c r="M29" s="278">
        <f>AJ29*Nøgletal!T491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AJ29*Nøgletal!T493</f>
        <v>0</v>
      </c>
      <c r="V29" s="278">
        <f>AJ29*Nøgletal!T494</f>
        <v>0</v>
      </c>
      <c r="W29" s="278">
        <f>AJ29*Nøgletal!T495</f>
        <v>0</v>
      </c>
      <c r="X29" s="278">
        <f>AJ29*Nøgletal!T496</f>
        <v>0</v>
      </c>
      <c r="Y29" s="278">
        <f>Nøgletal!T497</f>
        <v>0</v>
      </c>
      <c r="Z29" s="278"/>
      <c r="AA29" s="278"/>
      <c r="AB29" s="278">
        <f>AJ29*Nøgletal!T498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-AO29/IF(Nøgletal!T358+Nøgletal!U358&gt;0,Nøgletal!T358+Nøgletal!U358,1)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BS29/IF(Nøgletal!U358&gt;0,Nøgletal!U358,1)*Nøgletal!T358</f>
        <v>0</v>
      </c>
      <c r="BS29" s="286">
        <f>BS$27*Nøgletal!T318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J$4+E29*Emissionsfaktorer!$J$3+F29*Emissionsfaktorer!$J$5+H29*Emissionsfaktorer!$J$7+I29*Emissionsfaktorer!$J$8+J29*Emissionsfaktorer!$J$9+K29*Emissionsfaktorer!$J$10+L29*Emissionsfaktorer!$J$11+M29*Emissionsfaktorer!$J$12)*-1*(1-Nøgletal!$T$315)+T29*Emissionsfaktorer!$J$13*Nøgletal!$T$315</f>
        <v>0</v>
      </c>
      <c r="CA29" s="231"/>
      <c r="CB29" s="231"/>
    </row>
    <row r="30" spans="1:80" x14ac:dyDescent="0.25">
      <c r="A30" s="231"/>
      <c r="B30" s="31"/>
      <c r="C30" s="278"/>
      <c r="D30" s="278"/>
      <c r="E30" s="278">
        <f>AJ30*Nøgletal!T500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AJ30*Nøgletal!T501</f>
        <v>0</v>
      </c>
      <c r="V30" s="278"/>
      <c r="W30" s="278"/>
      <c r="X30" s="278"/>
      <c r="Y30" s="278"/>
      <c r="Z30" s="278"/>
      <c r="AA30" s="278"/>
      <c r="AB30" s="278">
        <f>AJ30*Nøgletal!T502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-AO30/IF(Nøgletal!T359+Nøgletal!U359&gt;0,Nøgletal!T359+Nøgletal!U359,1)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BS30/IF(Nøgletal!U359&gt;0,Nøgletal!U359,1)*Nøgletal!T359</f>
        <v>0</v>
      </c>
      <c r="BS30" s="286">
        <f>BS$27*Nøgletal!T319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J$4+E30*Emissionsfaktorer!$J$3+F30*Emissionsfaktorer!$J$5+H30*Emissionsfaktorer!$J$7+I30*Emissionsfaktorer!$J$8+J30*Emissionsfaktorer!$J$9+K30*Emissionsfaktorer!$J$10+L30*Emissionsfaktorer!$J$11+M30*Emissionsfaktorer!$J$12)*-1*(1-Nøgletal!$T$315)+T30*Emissionsfaktorer!$J$13*Nøgletal!$T$315</f>
        <v>0</v>
      </c>
      <c r="CA30" s="231"/>
      <c r="CB30" s="231"/>
    </row>
    <row r="31" spans="1:80" x14ac:dyDescent="0.25">
      <c r="A31" s="231"/>
      <c r="B31" s="31"/>
      <c r="C31" s="278">
        <f>AJ31*Nøgletal!T504</f>
        <v>0</v>
      </c>
      <c r="D31" s="278"/>
      <c r="E31" s="278">
        <f>AJ31*Nøgletal!T506</f>
        <v>0</v>
      </c>
      <c r="F31" s="278"/>
      <c r="G31" s="278">
        <f t="shared" si="29"/>
        <v>0</v>
      </c>
      <c r="H31" s="278"/>
      <c r="I31" s="278">
        <f>AJ31*Nøgletal!T505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AJ31*Nøgletal!T507</f>
        <v>0</v>
      </c>
      <c r="V31" s="278">
        <f>AJ31*Nøgletal!T508</f>
        <v>0</v>
      </c>
      <c r="W31" s="278">
        <f>AJ31*Nøgletal!T509</f>
        <v>0</v>
      </c>
      <c r="X31" s="278">
        <f>AJ31*Nøgletal!T510</f>
        <v>0</v>
      </c>
      <c r="Y31" s="278">
        <f>AJ31*Nøgletal!T511</f>
        <v>0</v>
      </c>
      <c r="Z31" s="278"/>
      <c r="AA31" s="278"/>
      <c r="AB31" s="278">
        <f>AJ31*Nøgletal!T512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-AO31/IF(Nøgletal!T360+Nøgletal!U360&gt;0,Nøgletal!T360+Nøgletal!U360,1)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BS31/IF(Nøgletal!U360&gt;0,Nøgletal!U360,1)*Nøgletal!T360</f>
        <v>0</v>
      </c>
      <c r="BS31" s="286">
        <f>BS$27*Nøgletal!T320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J$4+E31*Emissionsfaktorer!$J$3+F31*Emissionsfaktorer!$J$5+H31*Emissionsfaktorer!$J$7+I31*Emissionsfaktorer!$J$8+J31*Emissionsfaktorer!$J$9+K31*Emissionsfaktorer!$J$10+L31*Emissionsfaktorer!$J$11+M31*Emissionsfaktorer!$J$12)*-1*(1-Nøgletal!$T$315)+T31*Emissionsfaktorer!$J$13*Nøgletal!$T$315</f>
        <v>0</v>
      </c>
      <c r="CA31" s="231"/>
      <c r="CB31" s="231"/>
    </row>
    <row r="32" spans="1:80" x14ac:dyDescent="0.25">
      <c r="A32" s="231"/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AO32*(1-1/IF(Nøgletal!U361&gt;0,Nøgletal!U361,1))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-AO32/Nøgletal!U514/(1-Nøgletal!T294)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BS$27*Nøgletal!T321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J$4+E32*Emissionsfaktorer!$J$3+F32*Emissionsfaktorer!$J$5+H32*Emissionsfaktorer!$J$7+I32*Emissionsfaktorer!$J$8+J32*Emissionsfaktorer!$J$9+K32*Emissionsfaktorer!$J$10+L32*Emissionsfaktorer!$J$11+M32*Emissionsfaktorer!$J$12)*-1*(1-Nøgletal!$T$315)+T32*Emissionsfaktorer!$J$13*Nøgletal!$T$315</f>
        <v>0</v>
      </c>
      <c r="CA32" s="231"/>
      <c r="CB32" s="231"/>
    </row>
    <row r="33" spans="1:80" x14ac:dyDescent="0.25">
      <c r="A33" s="231"/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-AO33/IF(Nøgletal!T362+Nøgletal!U362&gt;0,Nøgletal!T362+Nøgletal!U362,1)/(1-Nøgletal!T294)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BS$27*Nøgletal!T322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J$4+E33*Emissionsfaktorer!$J$3+F33*Emissionsfaktorer!$J$5+H33*Emissionsfaktorer!$J$7+I33*Emissionsfaktorer!$J$8+J33*Emissionsfaktorer!$J$9+K33*Emissionsfaktorer!$J$10+L33*Emissionsfaktorer!$J$11+M33*Emissionsfaktorer!$J$12)*-1*(1-Nøgletal!$T$315)+T33*Emissionsfaktorer!$J$13*Nøgletal!$T$315</f>
        <v>0</v>
      </c>
      <c r="CA33" s="231"/>
      <c r="CB33" s="231"/>
    </row>
    <row r="34" spans="1:80" x14ac:dyDescent="0.25">
      <c r="A34" s="231"/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-AO34/IF(Nøgletal!T363+Nøgletal!U363&gt;0,Nøgletal!T363+Nøgletal!U363,1)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BS34/IF(Nøgletal!U363&gt;0,Nøgletal!U363,1)*Nøgletal!T363</f>
        <v>0</v>
      </c>
      <c r="BS34" s="286">
        <f>BS$27*Nøgletal!T323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J$4+E34*Emissionsfaktorer!$J$3+F34*Emissionsfaktorer!$J$5+H34*Emissionsfaktorer!$J$7+I34*Emissionsfaktorer!$J$8+J34*Emissionsfaktorer!$J$9+K34*Emissionsfaktorer!$J$10+L34*Emissionsfaktorer!$J$11+M34*Emissionsfaktorer!$J$12)*-1*(1-Nøgletal!$T$315)+T34*Emissionsfaktorer!$J$13*Nøgletal!$T$315</f>
        <v>0</v>
      </c>
      <c r="CA34" s="231"/>
      <c r="CB34" s="231"/>
    </row>
    <row r="35" spans="1:80" x14ac:dyDescent="0.25">
      <c r="A35" s="231"/>
      <c r="B35" s="31"/>
      <c r="C35" s="278">
        <f>AJ35*Nøgletal!T518</f>
        <v>0</v>
      </c>
      <c r="D35" s="278"/>
      <c r="E35" s="278">
        <f>AJ35*Nøgletal!T520</f>
        <v>0</v>
      </c>
      <c r="F35" s="278"/>
      <c r="G35" s="278">
        <f t="shared" si="29"/>
        <v>0</v>
      </c>
      <c r="H35" s="278"/>
      <c r="I35" s="278">
        <f>AJ35*Nøgletal!T519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AJ35*Nøgletal!T521</f>
        <v>0</v>
      </c>
      <c r="V35" s="278">
        <f>AJ35*Nøgletal!T522</f>
        <v>0</v>
      </c>
      <c r="W35" s="278">
        <f>AJ35*Nøgletal!T523</f>
        <v>0</v>
      </c>
      <c r="X35" s="278">
        <f>AJ35*Nøgletal!T524</f>
        <v>0</v>
      </c>
      <c r="Y35" s="278">
        <f>AJ35*Nøgletal!T525</f>
        <v>0</v>
      </c>
      <c r="Z35" s="278"/>
      <c r="AA35" s="278"/>
      <c r="AB35" s="278">
        <f>AJ35*Nøgletal!T526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-AO35/IF(Nøgletal!T364+Nøgletal!U364&gt;0,Nøgletal!T364+Nøgletal!U364,1)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BS35/IF(Nøgletal!U364&gt;0,Nøgletal!U364,1)*Nøgletal!T364</f>
        <v>0</v>
      </c>
      <c r="BS35" s="286">
        <f>BS$27*Nøgletal!T324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J$4+E35*Emissionsfaktorer!$J$3+F35*Emissionsfaktorer!$J$5+H35*Emissionsfaktorer!$J$7+I35*Emissionsfaktorer!$J$8+J35*Emissionsfaktorer!$J$9+K35*Emissionsfaktorer!$J$10+L35*Emissionsfaktorer!$J$11+M35*Emissionsfaktorer!$J$12)*-1*(1-Nøgletal!$T$315)+T35*Emissionsfaktorer!$J$13*Nøgletal!$T$315</f>
        <v>0</v>
      </c>
      <c r="CA35" s="231"/>
      <c r="CB35" s="231"/>
    </row>
    <row r="36" spans="1:80" x14ac:dyDescent="0.25">
      <c r="A36" s="231"/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J$4+E36*Emissionsfaktorer!$J$3+F36*Emissionsfaktorer!$J$5+H36*Emissionsfaktorer!$J$7+I36*Emissionsfaktorer!$J$8+J36*Emissionsfaktorer!$J$9+K36*Emissionsfaktorer!$J$10+L36*Emissionsfaktorer!$J$11+M36*Emissionsfaktorer!$J$12)*-1*(1-Nøgletal!$T$315)+T36*Emissionsfaktorer!$J$13*Nøgletal!$T$315</f>
        <v>0</v>
      </c>
      <c r="CA36" s="231"/>
      <c r="CB36" s="231"/>
    </row>
    <row r="37" spans="1:80" x14ac:dyDescent="0.25">
      <c r="A37" s="231"/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0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0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0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0</v>
      </c>
      <c r="AP37" s="37">
        <f t="shared" si="6"/>
        <v>0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0</v>
      </c>
      <c r="BS37" s="23">
        <f>Nøgletal!T271/(1-Nøgletal!T298)</f>
        <v>0</v>
      </c>
      <c r="BT37" s="23">
        <f>Nøgletal!U271/(1-Nøgletal!U298)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0</v>
      </c>
      <c r="BZ37" s="126">
        <f t="shared" si="37"/>
        <v>0</v>
      </c>
      <c r="CA37" s="231"/>
      <c r="CB37" s="231"/>
    </row>
    <row r="38" spans="1:80" x14ac:dyDescent="0.25">
      <c r="A38" s="231"/>
      <c r="B38" s="31"/>
      <c r="C38" s="278"/>
      <c r="D38" s="278"/>
      <c r="E38" s="278">
        <f>AJ38*Nøgletal!T532</f>
        <v>0</v>
      </c>
      <c r="F38" s="278"/>
      <c r="G38" s="278">
        <f t="shared" si="29"/>
        <v>0</v>
      </c>
      <c r="H38" s="278"/>
      <c r="I38" s="278">
        <f>AJ38*Nøgletal!T528</f>
        <v>0</v>
      </c>
      <c r="J38" s="278">
        <f>AJ38*Nøgletal!T529</f>
        <v>0</v>
      </c>
      <c r="K38" s="278">
        <f>AJ38*Nøgletal!T530</f>
        <v>0</v>
      </c>
      <c r="L38" s="278"/>
      <c r="M38" s="278">
        <f>AJ38*Nøgletal!T531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0</v>
      </c>
      <c r="U38" s="278">
        <f>AJ38*Nøgletal!T533</f>
        <v>0</v>
      </c>
      <c r="V38" s="278">
        <f>Nøgletal!T534</f>
        <v>0</v>
      </c>
      <c r="W38" s="278">
        <f>AJ38*Nøgletal!T535</f>
        <v>0</v>
      </c>
      <c r="X38" s="278">
        <f>Nøgletal!T536</f>
        <v>0</v>
      </c>
      <c r="Y38" s="278">
        <f>AJ38*Nøgletal!T537</f>
        <v>0</v>
      </c>
      <c r="Z38" s="278"/>
      <c r="AA38" s="278"/>
      <c r="AB38" s="278">
        <f>AJ38*Nøgletal!T538</f>
        <v>0</v>
      </c>
      <c r="AC38" s="280"/>
      <c r="AD38" s="280"/>
      <c r="AE38" s="280"/>
      <c r="AF38" s="280"/>
      <c r="AG38" s="280"/>
      <c r="AH38" s="280"/>
      <c r="AI38" s="280"/>
      <c r="AJ38" s="105">
        <f>-AO38/IF(Nøgletal!T366+Nøgletal!U366&gt;0,Nøgletal!T366+Nøgletal!U366,1)</f>
        <v>0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0</v>
      </c>
      <c r="AP38" s="37">
        <f t="shared" si="6"/>
        <v>0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Nøgletal!T275</f>
        <v>0</v>
      </c>
      <c r="BS38" s="292">
        <f>BS$37*Nøgletal!T327</f>
        <v>0</v>
      </c>
      <c r="BT38" s="280"/>
      <c r="BU38" s="280"/>
      <c r="BV38" s="280"/>
      <c r="BW38" s="280"/>
      <c r="BX38" s="280"/>
      <c r="BY38" s="124">
        <f>(AJ38+AO38)*-1</f>
        <v>0</v>
      </c>
      <c r="BZ38" s="123">
        <f>(C38*Emissionsfaktorer!$J$4+E38*Emissionsfaktorer!$J$3+F38*Emissionsfaktorer!$J$5+H38*Emissionsfaktorer!$J$7+I38*Emissionsfaktorer!$J$8+J38*Emissionsfaktorer!$J$9+K38*Emissionsfaktorer!$J$10+L38*Emissionsfaktorer!$J$11+M38*Emissionsfaktorer!$J$12)*-1*(1-Nøgletal!$T$325)+T38*Emissionsfaktorer!$J$13*Nøgletal!$T$325</f>
        <v>0</v>
      </c>
      <c r="CA38" s="231"/>
      <c r="CB38" s="231"/>
    </row>
    <row r="39" spans="1:80" x14ac:dyDescent="0.25">
      <c r="A39" s="231"/>
      <c r="B39" s="31"/>
      <c r="C39" s="278">
        <f>AJ39*Nøgletal!T540</f>
        <v>0</v>
      </c>
      <c r="D39" s="278"/>
      <c r="E39" s="278">
        <f>AJ39*Nøgletal!T542</f>
        <v>0</v>
      </c>
      <c r="F39" s="278"/>
      <c r="G39" s="278">
        <f t="shared" si="29"/>
        <v>0</v>
      </c>
      <c r="H39" s="278"/>
      <c r="I39" s="278">
        <f>AJ39*Nøgletal!T541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AJ39*Nøgletal!T543</f>
        <v>0</v>
      </c>
      <c r="V39" s="278">
        <f>AJ39*Nøgletal!T544</f>
        <v>0</v>
      </c>
      <c r="W39" s="278">
        <f>AJ39*Nøgletal!T545</f>
        <v>0</v>
      </c>
      <c r="X39" s="278">
        <f>AJ39*Nøgletal!T547</f>
        <v>0</v>
      </c>
      <c r="Y39" s="278">
        <f>AJ39*Nøgletal!T548</f>
        <v>0</v>
      </c>
      <c r="Z39" s="278"/>
      <c r="AA39" s="278"/>
      <c r="AB39" s="278">
        <f>Nøgletal!T549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-AO39/IF(Nøgletal!T367+Nøgletal!U367&gt;0,Nøgletal!T367+Nøgletal!U367,1)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BS39/IF(Nøgletal!U367&gt;0,Nøgletal!U367,1)*Nøgletal!T367</f>
        <v>0</v>
      </c>
      <c r="BS39" s="292">
        <f>BS$37*Nøgletal!T328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J$4+E39*Emissionsfaktorer!$J$3+F39*Emissionsfaktorer!$J$5+H39*Emissionsfaktorer!$J$7+I39*Emissionsfaktorer!$J$8+J39*Emissionsfaktorer!$J$9+K39*Emissionsfaktorer!$J$10+L39*Emissionsfaktorer!$J$11+M39*Emissionsfaktorer!$J$12)*-1*(1-Nøgletal!$T$325)+T39*Emissionsfaktorer!$J$13*Nøgletal!$T$325</f>
        <v>0</v>
      </c>
      <c r="CA39" s="231"/>
      <c r="CB39" s="231"/>
    </row>
    <row r="40" spans="1:80" x14ac:dyDescent="0.25">
      <c r="A40" s="231"/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J$4+E40*Emissionsfaktorer!$J$3+F40*Emissionsfaktorer!$J$5+H40*Emissionsfaktorer!$J$7+I40*Emissionsfaktorer!$J$8+J40*Emissionsfaktorer!$J$9+K40*Emissionsfaktorer!$J$10+L40*Emissionsfaktorer!$J$11+M40*Emissionsfaktorer!$J$12)*-1*(1-Nøgletal!$T$325)+T40*Emissionsfaktorer!$J$13*Nøgletal!$T$325</f>
        <v>0</v>
      </c>
      <c r="CA40" s="231"/>
      <c r="CB40" s="231"/>
    </row>
    <row r="41" spans="1:80" x14ac:dyDescent="0.25">
      <c r="A41" s="231"/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Nøgletal!T269/(1-Nøgletal!T296)</f>
        <v>0</v>
      </c>
      <c r="BT41" s="23">
        <f>Nøgletal!U269/(1-Nøgletal!U296)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  <c r="CA41" s="231"/>
      <c r="CB41" s="231"/>
    </row>
    <row r="42" spans="1:80" x14ac:dyDescent="0.25">
      <c r="A42" s="231"/>
      <c r="B42" s="31"/>
      <c r="C42" s="278"/>
      <c r="D42" s="278"/>
      <c r="E42" s="278"/>
      <c r="F42" s="278">
        <f>AJ42*Nøgletal!T469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AJ42*Nøgletal!T467</f>
        <v>0</v>
      </c>
      <c r="AA42" s="278">
        <f>AJ42*Nøgletal!T468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-AO42/IF(Nøgletal!T353+Nøgletal!U353&gt;0,Nøgletal!T353+Nøgletal!U353,1)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BS42/IF(Nøgletal!U353&gt;0,Nøgletal!U353,1)*Nøgletal!T353</f>
        <v>0</v>
      </c>
      <c r="BS42" s="289">
        <f>BS$41*Nøgletal!T312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J$4+E42*Emissionsfaktorer!$J$3+F42*Emissionsfaktorer!$J$5+H42*Emissionsfaktorer!$J$7+I42*Emissionsfaktorer!$J$8+J42*Emissionsfaktorer!$J$9+K42*Emissionsfaktorer!$J$10+L42*Emissionsfaktorer!$J$11+M42*Emissionsfaktorer!$J$12)*-1*(1-Nøgletal!$T$310)+T42*Emissionsfaktorer!$J$13*Nøgletal!$T$310</f>
        <v>0</v>
      </c>
      <c r="CA42" s="231"/>
      <c r="CB42" s="231"/>
    </row>
    <row r="43" spans="1:80" x14ac:dyDescent="0.25">
      <c r="A43" s="231"/>
      <c r="B43" s="31"/>
      <c r="C43" s="278"/>
      <c r="D43" s="278"/>
      <c r="E43" s="278"/>
      <c r="F43" s="278">
        <f>AJ43*Nøgletal!T473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AJ43*Nøgletal!T471</f>
        <v>0</v>
      </c>
      <c r="AA43" s="278">
        <f>AJ43*Nøgletal!T472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-AO43/IF(Nøgletal!T354+Nøgletal!U354&gt;0,Nøgletal!T354+Nøgletal!U354,1)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BS43/IF(Nøgletal!U354&gt;0,Nøgletal!U354,1)*Nøgletal!T354</f>
        <v>0</v>
      </c>
      <c r="BS43" s="289">
        <f>BS$41*Nøgletal!T313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J$4+E43*Emissionsfaktorer!$J$3+F43*Emissionsfaktorer!$J$5+H43*Emissionsfaktorer!$J$7+I43*Emissionsfaktorer!$J$8+J43*Emissionsfaktorer!$J$9+K43*Emissionsfaktorer!$J$10+L43*Emissionsfaktorer!$J$11+M43*Emissionsfaktorer!$J$12)*-1*(1-Nøgletal!$T$310)+T43*Emissionsfaktorer!$J$13*Nøgletal!$T$310</f>
        <v>0</v>
      </c>
      <c r="CA43" s="231"/>
      <c r="CB43" s="231"/>
    </row>
    <row r="44" spans="1:80" x14ac:dyDescent="0.25">
      <c r="A44" s="231"/>
      <c r="B44" s="31"/>
      <c r="C44" s="278"/>
      <c r="D44" s="278"/>
      <c r="E44" s="278"/>
      <c r="F44" s="278">
        <f>AJ44*Nøgletal!T477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AJ44*Nøgletal!T475</f>
        <v>0</v>
      </c>
      <c r="AA44" s="278">
        <f>AJ44*Nøgletal!T476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-AO44/IF(Nøgletal!T355+Nøgletal!U355&gt;0,Nøgletal!T355+Nøgletal!U355,1)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BS44/IF(Nøgletal!U355&gt;0,Nøgletal!U355,1)*Nøgletal!T355</f>
        <v>0</v>
      </c>
      <c r="BS44" s="289">
        <f>BS$41*Nøgletal!T314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J$4+E44*Emissionsfaktorer!$J$3+F44*Emissionsfaktorer!$J$5+H44*Emissionsfaktorer!$J$7+I44*Emissionsfaktorer!$J$8+J44*Emissionsfaktorer!$J$9+K44*Emissionsfaktorer!$J$10+L44*Emissionsfaktorer!$J$11+M44*Emissionsfaktorer!$J$12)*-1*(1-Nøgletal!$T$310)+T44*Emissionsfaktorer!$J$13*Nøgletal!$T$310</f>
        <v>0</v>
      </c>
      <c r="CA44" s="231"/>
      <c r="CB44" s="231"/>
    </row>
    <row r="45" spans="1:80" x14ac:dyDescent="0.25">
      <c r="A45" s="231"/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J$4+E45*Emissionsfaktorer!$J$3+F45*Emissionsfaktorer!$J$5+H45*Emissionsfaktorer!$J$7+I45*Emissionsfaktorer!$J$8+J45*Emissionsfaktorer!$J$9+K45*Emissionsfaktorer!$J$10+L45*Emissionsfaktorer!$J$11+M45*Emissionsfaktorer!$J$12)*-1*(1-Nøgletal!$T$310)+T45*Emissionsfaktorer!$J$13*Nøgletal!$T$310</f>
        <v>0</v>
      </c>
      <c r="CA45" s="231"/>
      <c r="CB45" s="231"/>
    </row>
    <row r="46" spans="1:80" x14ac:dyDescent="0.25">
      <c r="A46" s="231"/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-142.40040000000002</v>
      </c>
      <c r="AD46" s="23">
        <f t="shared" si="40"/>
        <v>0</v>
      </c>
      <c r="AE46" s="23">
        <f t="shared" si="40"/>
        <v>0</v>
      </c>
      <c r="AF46" s="23">
        <f t="shared" si="40"/>
        <v>-374.43500012552028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-516.83540012552032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516.83540012552032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374.43500012552028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142.40040000000002</v>
      </c>
      <c r="BX46" s="23"/>
      <c r="BY46" s="126">
        <f t="shared" si="41"/>
        <v>0</v>
      </c>
      <c r="BZ46" s="126">
        <f t="shared" si="41"/>
        <v>0</v>
      </c>
      <c r="CA46" s="231"/>
      <c r="CB46" s="231"/>
    </row>
    <row r="47" spans="1:80" x14ac:dyDescent="0.25">
      <c r="A47" s="231"/>
      <c r="B47" s="31"/>
      <c r="C47" s="278">
        <f>AJ47*Nøgletal!T586</f>
        <v>0</v>
      </c>
      <c r="D47" s="278"/>
      <c r="E47" s="278">
        <f>AJ47*Nøgletal!T588</f>
        <v>0</v>
      </c>
      <c r="F47" s="278"/>
      <c r="G47" s="278">
        <f t="shared" si="29"/>
        <v>0</v>
      </c>
      <c r="H47" s="278"/>
      <c r="I47" s="278">
        <f>AJ47*Nøgletal!T587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AJ47*Nøgletal!T589</f>
        <v>0</v>
      </c>
      <c r="V47" s="278">
        <f>AJ47*Nøgletal!T590</f>
        <v>0</v>
      </c>
      <c r="W47" s="278">
        <f>AJ47*Nøgletal!T591</f>
        <v>0</v>
      </c>
      <c r="X47" s="278">
        <f>AJ47*Nøgletal!T592</f>
        <v>0</v>
      </c>
      <c r="Y47" s="278">
        <f>AJ47*Nøgletal!T593</f>
        <v>0</v>
      </c>
      <c r="Z47" s="278"/>
      <c r="AA47" s="278"/>
      <c r="AB47" s="278">
        <f>AJ47*Nøgletal!T594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-AO47/IF(Nøgletal!T375+Nøgletal!U375&gt;0,Nøgletal!T375+Nøgletal!U375,1)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BS47/IF(Nøgletal!U375&gt;0,Nøgletal!U375,1)*Nøgletal!T375</f>
        <v>0</v>
      </c>
      <c r="BS47" s="292">
        <f>(Nøgletal!T$202+Nøgletal!T$273/(1-Nøgletal!T$300))*Nøgletal!T338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J$4+E47*Emissionsfaktorer!$J$3+F47*Emissionsfaktorer!$J$5+H47*Emissionsfaktorer!$J$7+I47*Emissionsfaktorer!$J$8+J47*Emissionsfaktorer!$J$9+K47*Emissionsfaktorer!$J$10+L47*Emissionsfaktorer!$J$11+M47*Emissionsfaktorer!$J$12)*-1*(1-Nøgletal!$T$336)+T47*Emissionsfaktorer!$J$13*Nøgletal!$T$336</f>
        <v>0</v>
      </c>
      <c r="CA47" s="231"/>
      <c r="CB47" s="231"/>
    </row>
    <row r="48" spans="1:80" x14ac:dyDescent="0.25">
      <c r="A48" s="231"/>
      <c r="B48" s="31"/>
      <c r="C48" s="278"/>
      <c r="D48" s="278"/>
      <c r="E48" s="278">
        <f>AJ48*Nøgletal!T600</f>
        <v>0</v>
      </c>
      <c r="F48" s="278"/>
      <c r="G48" s="278">
        <f t="shared" si="29"/>
        <v>0</v>
      </c>
      <c r="H48" s="278"/>
      <c r="I48" s="278">
        <f>AJ48*Nøgletal!T596</f>
        <v>0</v>
      </c>
      <c r="J48" s="278">
        <f>AJ48*Nøgletal!T597</f>
        <v>0</v>
      </c>
      <c r="K48" s="278">
        <f>AJ48*Nøgletal!T598</f>
        <v>0</v>
      </c>
      <c r="L48" s="278"/>
      <c r="M48" s="278">
        <f>AJ48*Nøgletal!T599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AJ48*Nøgletal!T601</f>
        <v>0</v>
      </c>
      <c r="V48" s="278">
        <f>Nøgletal!T602</f>
        <v>0</v>
      </c>
      <c r="W48" s="278">
        <f>Nøgletal!T603</f>
        <v>0</v>
      </c>
      <c r="X48" s="278">
        <f>AJ48*Nøgletal!T604</f>
        <v>0</v>
      </c>
      <c r="Y48" s="278">
        <f>AJ48*Nøgletal!T605</f>
        <v>0</v>
      </c>
      <c r="Z48" s="278"/>
      <c r="AA48" s="278"/>
      <c r="AB48" s="278">
        <f>AJ48*Nøgletal!T606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-AO48/IF(Nøgletal!T376+Nøgletal!U376&gt;0,Nøgletal!T376+Nøgletal!U376,1)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BS48/IF(Nøgletal!U376&gt;0,Nøgletal!U376,1)*Nøgletal!T376</f>
        <v>0</v>
      </c>
      <c r="BS48" s="292">
        <f>(Nøgletal!T$202+Nøgletal!T$273/(1-Nøgletal!T$300))*Nøgletal!T339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J$4+E48*Emissionsfaktorer!$J$3+F48*Emissionsfaktorer!$J$5+H48*Emissionsfaktorer!$J$7+I48*Emissionsfaktorer!$J$8+J48*Emissionsfaktorer!$J$9+K48*Emissionsfaktorer!$J$10+L48*Emissionsfaktorer!$J$11+M48*Emissionsfaktorer!$J$12)*-1*(1-Nøgletal!$T$336)+T48*Emissionsfaktorer!$J$13*Nøgletal!$T$336</f>
        <v>0</v>
      </c>
      <c r="CA48" s="231"/>
      <c r="CB48" s="231"/>
    </row>
    <row r="49" spans="1:80" x14ac:dyDescent="0.25">
      <c r="A49" s="231"/>
      <c r="B49" s="31"/>
      <c r="C49" s="278"/>
      <c r="D49" s="278"/>
      <c r="E49" s="278">
        <f>AJ49*Nøgletal!T608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AJ49*Nøgletal!T609</f>
        <v>0</v>
      </c>
      <c r="V49" s="278"/>
      <c r="W49" s="278"/>
      <c r="X49" s="278"/>
      <c r="Y49" s="278"/>
      <c r="Z49" s="278"/>
      <c r="AA49" s="278"/>
      <c r="AB49" s="278">
        <f>AJ49*Nøgletal!T610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-AO49/IF(Nøgletal!T377+Nøgletal!U377&gt;0,Nøgletal!T377+Nøgletal!U377,1)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BS49/IF(Nøgletal!U377&gt;0,Nøgletal!U377,1)*Nøgletal!T377</f>
        <v>0</v>
      </c>
      <c r="BS49" s="292">
        <f>(Nøgletal!T$202+Nøgletal!T$273/(1-Nøgletal!T$300))*Nøgletal!T340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J$4+E49*Emissionsfaktorer!$J$3+F49*Emissionsfaktorer!$J$5+H49*Emissionsfaktorer!$J$7+I49*Emissionsfaktorer!$J$8+J49*Emissionsfaktorer!$J$9+K49*Emissionsfaktorer!$J$10+L49*Emissionsfaktorer!$J$11+M49*Emissionsfaktorer!$J$12)*-1*(1-Nøgletal!$T$336)+T49*Emissionsfaktorer!$J$13*Nøgletal!$T$336</f>
        <v>0</v>
      </c>
      <c r="CA49" s="231"/>
      <c r="CB49" s="231"/>
    </row>
    <row r="50" spans="1:80" x14ac:dyDescent="0.25">
      <c r="A50" s="231"/>
      <c r="B50" s="31"/>
      <c r="C50" s="278">
        <f>AJ50*Nøgletal!T612</f>
        <v>0</v>
      </c>
      <c r="D50" s="278"/>
      <c r="E50" s="278">
        <f>AJ50*Nøgletal!T614</f>
        <v>0</v>
      </c>
      <c r="F50" s="278"/>
      <c r="G50" s="278">
        <f t="shared" si="29"/>
        <v>0</v>
      </c>
      <c r="H50" s="278"/>
      <c r="I50" s="278">
        <f>AJ50*Nøgletal!T613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AJ50*Nøgletal!T615</f>
        <v>0</v>
      </c>
      <c r="V50" s="278">
        <f>AJ50*Nøgletal!T626</f>
        <v>0</v>
      </c>
      <c r="W50" s="278">
        <f>AJ50*Nøgletal!T617</f>
        <v>0</v>
      </c>
      <c r="X50" s="278">
        <f>AJ50*Nøgletal!T628</f>
        <v>0</v>
      </c>
      <c r="Y50" s="278">
        <f>AJ50*Nøgletal!T619</f>
        <v>0</v>
      </c>
      <c r="Z50" s="278"/>
      <c r="AA50" s="278"/>
      <c r="AB50" s="278">
        <f>AJ50*Nøgletal!T620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-AO50/IF(Nøgletal!T378+Nøgletal!U378&gt;0,Nøgletal!T378+Nøgletal!U378,1)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BS50/IF(Nøgletal!U378&gt;0,Nøgletal!U378,1)*Nøgletal!T378</f>
        <v>0</v>
      </c>
      <c r="BS50" s="292">
        <f>(Nøgletal!T$202+Nøgletal!T$273/(1-Nøgletal!T$300))*Nøgletal!T341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J$4+E50*Emissionsfaktorer!$J$3+F50*Emissionsfaktorer!$J$5+H50*Emissionsfaktorer!$J$7+I50*Emissionsfaktorer!$J$8+J50*Emissionsfaktorer!$J$9+K50*Emissionsfaktorer!$J$10+L50*Emissionsfaktorer!$J$11+M50*Emissionsfaktorer!$J$12)*-1*(1-Nøgletal!$T$336)+T50*Emissionsfaktorer!$J$13*Nøgletal!$T$336</f>
        <v>0</v>
      </c>
      <c r="CA50" s="231"/>
      <c r="CB50" s="231"/>
    </row>
    <row r="51" spans="1:80" x14ac:dyDescent="0.25">
      <c r="A51" s="231"/>
      <c r="B51" s="31"/>
      <c r="C51" s="278">
        <f>AJ51*Nøgletal!T622</f>
        <v>0</v>
      </c>
      <c r="D51" s="278"/>
      <c r="E51" s="278">
        <f>AJ51*Nøgletal!T624</f>
        <v>0</v>
      </c>
      <c r="F51" s="278"/>
      <c r="G51" s="278">
        <f t="shared" si="29"/>
        <v>0</v>
      </c>
      <c r="H51" s="278"/>
      <c r="I51" s="278">
        <f>AJ51*Nøgletal!T623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AJ51*Nøgletal!T625</f>
        <v>0</v>
      </c>
      <c r="V51" s="278">
        <f>AJ51*Nøgletal!T626</f>
        <v>0</v>
      </c>
      <c r="W51" s="278">
        <f>AJ51*Nøgletal!T627</f>
        <v>0</v>
      </c>
      <c r="X51" s="278">
        <f>AJ51*Nøgletal!T628</f>
        <v>0</v>
      </c>
      <c r="Y51" s="278">
        <f>AJ51*Nøgletal!T629</f>
        <v>0</v>
      </c>
      <c r="Z51" s="278"/>
      <c r="AA51" s="278"/>
      <c r="AB51" s="278">
        <f>AJ51*Nøgletal!T630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-AO51/IF(Nøgletal!T379+Nøgletal!U379&gt;0,Nøgletal!T379+Nøgletal!U379,1)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BS51/IF(Nøgletal!U379&gt;0,Nøgletal!U379,1)*Nøgletal!T379</f>
        <v>0</v>
      </c>
      <c r="BS51" s="292">
        <f>(Nøgletal!T$202+Nøgletal!T$273/(1-Nøgletal!T$300))*Nøgletal!T342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J$4+E51*Emissionsfaktorer!$J$3+F51*Emissionsfaktorer!$J$5+H51*Emissionsfaktorer!$J$7+I51*Emissionsfaktorer!$J$8+J51*Emissionsfaktorer!$J$9+K51*Emissionsfaktorer!$J$10+L51*Emissionsfaktorer!$J$11+M51*Emissionsfaktorer!$J$12)*-1*(1-Nøgletal!$T$336)+T51*Emissionsfaktorer!$J$13*Nøgletal!$T$336</f>
        <v>0</v>
      </c>
      <c r="CA51" s="231"/>
      <c r="CB51" s="231"/>
    </row>
    <row r="52" spans="1:80" x14ac:dyDescent="0.25">
      <c r="A52" s="231"/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-374.43500012552028</v>
      </c>
      <c r="AG52" s="280"/>
      <c r="AH52" s="280"/>
      <c r="AI52" s="280"/>
      <c r="AJ52" s="105">
        <f>-AO52/IF(Nøgletal!T380+Nøgletal!U380&gt;0,Nøgletal!T380+Nøgletal!U380,1)</f>
        <v>-374.43500012552028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374.43500012552028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BS52/IF(Nøgletal!U380&gt;0,Nøgletal!U380,1)*Nøgletal!T380</f>
        <v>0</v>
      </c>
      <c r="BS52" s="292">
        <f>(Nøgletal!T$202+Nøgletal!T$273/(1-Nøgletal!T$300))*Nøgletal!T343</f>
        <v>374.43500012552028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J$4+E52*Emissionsfaktorer!$J$3+F52*Emissionsfaktorer!$J$5+H52*Emissionsfaktorer!$J$7+I52*Emissionsfaktorer!$J$8+J52*Emissionsfaktorer!$J$9+K52*Emissionsfaktorer!$J$10+L52*Emissionsfaktorer!$J$11+M52*Emissionsfaktorer!$J$12)*-1*(1-Nøgletal!$T$336)+T52*Emissionsfaktorer!$J$13*Nøgletal!$T$336</f>
        <v>0</v>
      </c>
      <c r="CA52" s="231"/>
      <c r="CB52" s="231"/>
    </row>
    <row r="53" spans="1:80" x14ac:dyDescent="0.25">
      <c r="A53" s="231"/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Nøgletal!T201*-1</f>
        <v>-142.40040000000002</v>
      </c>
      <c r="AD53" s="280"/>
      <c r="AE53" s="280"/>
      <c r="AF53" s="280"/>
      <c r="AG53" s="280"/>
      <c r="AH53" s="280"/>
      <c r="AI53" s="280"/>
      <c r="AJ53" s="105">
        <f>AC53</f>
        <v>-142.40040000000002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142.40040000000002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Nøgletal!T201</f>
        <v>142.40040000000002</v>
      </c>
      <c r="BX53" s="292"/>
      <c r="BY53" s="124">
        <f t="shared" si="42"/>
        <v>0</v>
      </c>
      <c r="BZ53" s="123">
        <f>(C53*Emissionsfaktorer!$J$4+E53*Emissionsfaktorer!$J$3+F53*Emissionsfaktorer!$J$5+H53*Emissionsfaktorer!$J$7+I53*Emissionsfaktorer!$J$8+J53*Emissionsfaktorer!$J$9+K53*Emissionsfaktorer!$J$10+L53*Emissionsfaktorer!$J$11+M53*Emissionsfaktorer!$J$12)*-1*(1-Nøgletal!$T$336)+T53*Emissionsfaktorer!$J$13*Nøgletal!$T$336</f>
        <v>0</v>
      </c>
      <c r="CA53" s="231"/>
      <c r="CB53" s="231"/>
    </row>
    <row r="54" spans="1:80" x14ac:dyDescent="0.25">
      <c r="A54" s="231"/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Nøgletal!T202</f>
        <v>0</v>
      </c>
      <c r="BX54" s="292"/>
      <c r="BY54" s="124">
        <f t="shared" si="42"/>
        <v>0</v>
      </c>
      <c r="BZ54" s="123">
        <f>(C54*Emissionsfaktorer!$J$4+E54*Emissionsfaktorer!$J$3+F54*Emissionsfaktorer!$J$5+H54*Emissionsfaktorer!$J$7+I54*Emissionsfaktorer!$J$8+J54*Emissionsfaktorer!$J$9+K54*Emissionsfaktorer!$J$10+L54*Emissionsfaktorer!$J$11+M54*Emissionsfaktorer!$J$12)*-1*(1-Nøgletal!$T$336)+T54*Emissionsfaktorer!$J$13*Nøgletal!$T$336</f>
        <v>0</v>
      </c>
      <c r="CA54" s="231"/>
      <c r="CB54" s="231"/>
    </row>
    <row r="55" spans="1:80" x14ac:dyDescent="0.25">
      <c r="A55" s="231"/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J$4+E55*Emissionsfaktorer!$J$3+F55*Emissionsfaktorer!$J$5+H55*Emissionsfaktorer!$J$7+I55*Emissionsfaktorer!$J$8+J55*Emissionsfaktorer!$J$9+K55*Emissionsfaktorer!$J$10+L55*Emissionsfaktorer!$J$11+M55*Emissionsfaktorer!$J$12)*-1*(1-Nøgletal!$T$336)+T55*Emissionsfaktorer!$J$13*Nøgletal!$T$336</f>
        <v>0</v>
      </c>
      <c r="CA55" s="40"/>
      <c r="CB55" s="40"/>
    </row>
    <row r="56" spans="1:80" x14ac:dyDescent="0.25">
      <c r="A56" s="231"/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1:80" s="231" customFormat="1" x14ac:dyDescent="0.25"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-1812.9598477902305</v>
      </c>
      <c r="F57" s="20">
        <f t="shared" si="43"/>
        <v>-217.45291861526195</v>
      </c>
      <c r="G57" s="20">
        <f t="shared" si="43"/>
        <v>-1.7254744583635151</v>
      </c>
      <c r="H57" s="20">
        <f t="shared" si="43"/>
        <v>0</v>
      </c>
      <c r="I57" s="20">
        <f t="shared" si="43"/>
        <v>0</v>
      </c>
      <c r="J57" s="20">
        <f t="shared" si="43"/>
        <v>-1.7254744583635151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-3.0866542750174537E-2</v>
      </c>
      <c r="O57" s="20">
        <f t="shared" si="43"/>
        <v>0</v>
      </c>
      <c r="P57" s="20">
        <f t="shared" si="43"/>
        <v>0</v>
      </c>
      <c r="Q57" s="20">
        <f t="shared" si="43"/>
        <v>-3.0866542750174537E-2</v>
      </c>
      <c r="R57" s="20">
        <f t="shared" si="43"/>
        <v>0</v>
      </c>
      <c r="S57" s="20">
        <f t="shared" si="43"/>
        <v>0</v>
      </c>
      <c r="T57" s="20">
        <f t="shared" si="43"/>
        <v>-1093.6546001537833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-812.70613866458621</v>
      </c>
      <c r="Y57" s="20">
        <f t="shared" si="43"/>
        <v>-1.43278286505624</v>
      </c>
      <c r="Z57" s="20">
        <f t="shared" si="43"/>
        <v>0</v>
      </c>
      <c r="AA57" s="20">
        <f t="shared" si="43"/>
        <v>-265.77578941865352</v>
      </c>
      <c r="AB57" s="20">
        <f t="shared" si="43"/>
        <v>-13.739889205487248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-3125.8237075603893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2347.5012901469972</v>
      </c>
      <c r="AP57" s="37">
        <f t="shared" ref="AP57:AP64" si="44">IF(AJ57=0,0,AO57/AJ57*-1)</f>
        <v>0.75100245879802063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706.4291820699865</v>
      </c>
      <c r="BS57" s="20">
        <f>Nøgletal!T272/(1-Nøgletal!T299)</f>
        <v>1641.0721080770109</v>
      </c>
      <c r="BT57" s="20">
        <f>Nøgletal!U272/(1-Nøgletal!U299)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778.32241741339203</v>
      </c>
      <c r="BZ57" s="126">
        <f t="shared" si="47"/>
        <v>121.34537540250889</v>
      </c>
    </row>
    <row r="58" spans="1:80" x14ac:dyDescent="0.25">
      <c r="A58" s="231"/>
      <c r="B58" s="31"/>
      <c r="C58" s="23">
        <f>AJ58*Nøgletal!T551</f>
        <v>0</v>
      </c>
      <c r="D58" s="23"/>
      <c r="E58" s="23">
        <f>AJ58*Nøgletal!T553</f>
        <v>0</v>
      </c>
      <c r="F58" s="23"/>
      <c r="G58" s="23">
        <f t="shared" ref="G58:G64" si="48">SUM(H58:M58)</f>
        <v>0</v>
      </c>
      <c r="H58" s="23"/>
      <c r="I58" s="23">
        <f>AJ58*Nøgletal!T552</f>
        <v>0</v>
      </c>
      <c r="J58" s="23">
        <f>AJ58*Nøgletal!T557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AJ58*Nøgletal!T554</f>
        <v>0</v>
      </c>
      <c r="V58" s="23">
        <f>AJ58*Nøgletal!T555</f>
        <v>0</v>
      </c>
      <c r="W58" s="23">
        <f>AJ58*Nøgletal!T556</f>
        <v>0</v>
      </c>
      <c r="X58" s="23">
        <f>AJ58*Nøgletal!T558</f>
        <v>0</v>
      </c>
      <c r="Y58" s="23">
        <f>AJ58*Nøgletal!T559</f>
        <v>0</v>
      </c>
      <c r="Z58" s="23"/>
      <c r="AA58" s="23"/>
      <c r="AB58" s="23">
        <f>AJ58*Nøgletal!T560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-AO58/IF(Nøgletal!U369+Nøgletal!T369&gt;0,Nøgletal!U369+Nøgletal!T369,1)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BS58/IF(Nøgletal!U369&gt;0,Nøgletal!U369,1)*Nøgletal!T369</f>
        <v>0</v>
      </c>
      <c r="BS58" s="78">
        <f>BS$57*Nøgletal!T331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J$4+E58*Emissionsfaktorer!$J$3+F58*Emissionsfaktorer!$J$5+H58*Emissionsfaktorer!$J$7+I58*Emissionsfaktorer!$J$8+J58*Emissionsfaktorer!$J$9+K58*Emissionsfaktorer!$J$10+L58*Emissionsfaktorer!$J$11+M58*Emissionsfaktorer!$J$12)*-1*(1-Nøgletal!$T$329)+T58*Emissionsfaktorer!$J$13*Nøgletal!$T$329</f>
        <v>0</v>
      </c>
      <c r="CA58" s="231"/>
      <c r="CB58" s="231"/>
    </row>
    <row r="59" spans="1:80" x14ac:dyDescent="0.25">
      <c r="A59" s="231"/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-AO59*(1-1/IF(Nøgletal!U370&gt;0,Nøgletal!U370,1))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-AO59/IF(Nøgletal!U514&gt;0,Nøgletal!U514,1)/(1-Nøgletal!T294)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BS59/IF(Nøgletal!U370&gt;0,Nøgletal!U370,1)*Nøgletal!T370</f>
        <v>0</v>
      </c>
      <c r="BS59" s="78">
        <f>BS$57*Nøgletal!T332</f>
        <v>0</v>
      </c>
      <c r="BT59" s="32"/>
      <c r="BU59" s="32"/>
      <c r="BV59" s="32"/>
      <c r="BW59" s="32"/>
      <c r="BX59" s="32"/>
      <c r="BY59" s="124"/>
      <c r="BZ59" s="123">
        <f>(C59*Emissionsfaktorer!$J$4+E59*Emissionsfaktorer!$J$3+F59*Emissionsfaktorer!$J$5+H59*Emissionsfaktorer!$J$7+I59*Emissionsfaktorer!$J$8+J59*Emissionsfaktorer!$J$9+K59*Emissionsfaktorer!$J$10+L59*Emissionsfaktorer!$J$11+M59*Emissionsfaktorer!$J$12)*-1*(1-Nøgletal!$T$329)+T59*Emissionsfaktorer!$J$13*Nøgletal!$T$329</f>
        <v>0</v>
      </c>
      <c r="CA59" s="231"/>
      <c r="CB59" s="231"/>
    </row>
    <row r="60" spans="1:80" x14ac:dyDescent="0.25">
      <c r="A60" s="231"/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-AO60/IF(Nøgletal!U371+Nøgletal!T371&gt;0,Nøgletal!U371+Nøgletal!T371,1)/(1-Nøgletal!T294)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BS$57*Nøgletal!T333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J$4+E60*Emissionsfaktorer!$J$3+F60*Emissionsfaktorer!$J$5+H60*Emissionsfaktorer!$J$7+I60*Emissionsfaktorer!$J$8+J60*Emissionsfaktorer!$J$9+K60*Emissionsfaktorer!$J$10+L60*Emissionsfaktorer!$J$11+M60*Emissionsfaktorer!$J$12)*-1*(1-Nøgletal!$T$329)+T60*Emissionsfaktorer!$J$13*Nøgletal!$T$329</f>
        <v>0</v>
      </c>
      <c r="CA60" s="231"/>
      <c r="CB60" s="231"/>
    </row>
    <row r="61" spans="1:80" x14ac:dyDescent="0.25">
      <c r="A61" s="231"/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-AO61/IF(Nøgletal!U372+Nøgletal!T372&gt;0,Nøgletal!U372+Nøgletal!T372,1)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BS61/IF(Nøgletal!U372&gt;0,Nøgletal!U372,1)*Nøgletal!T372</f>
        <v>0</v>
      </c>
      <c r="BS61" s="78">
        <f>BS$57*Nøgletal!T334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J$4+E61*Emissionsfaktorer!$J$3+F61*Emissionsfaktorer!$J$5+H61*Emissionsfaktorer!$J$7+I61*Emissionsfaktorer!$J$8+J61*Emissionsfaktorer!$J$9+K61*Emissionsfaktorer!$J$10+L61*Emissionsfaktorer!$J$11+M61*Emissionsfaktorer!$J$12)*-1*(1-Nøgletal!$T$329)+T61*Emissionsfaktorer!$J$13*Nøgletal!$T$329</f>
        <v>0</v>
      </c>
      <c r="CA61" s="231"/>
      <c r="CB61" s="231"/>
    </row>
    <row r="62" spans="1:80" x14ac:dyDescent="0.25">
      <c r="A62" s="231"/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-3.0866542750174537E-2</v>
      </c>
      <c r="O62" s="23"/>
      <c r="P62" s="23"/>
      <c r="Q62" s="23">
        <f>AJ62</f>
        <v>-3.0866542750174537E-2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-AO62/IF(Nøgletal!U373+Nøgletal!T373&gt;0,Nøgletal!U373+Nøgletal!T373,1)</f>
        <v>-3.0866542750174537E-2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3.0866542750174537E-2</v>
      </c>
      <c r="AP62" s="37">
        <f t="shared" si="44"/>
        <v>1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BS62/IF(Nøgletal!U373&gt;0,Nøgletal!U373,1)*Nøgletal!T373</f>
        <v>0</v>
      </c>
      <c r="BS62" s="78">
        <f>BS$57*Nøgletal!T335</f>
        <v>3.0866542750174537E-2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J$4+E62*Emissionsfaktorer!$J$3+F62*Emissionsfaktorer!$J$5+H62*Emissionsfaktorer!$J$7+I62*Emissionsfaktorer!$J$8+J62*Emissionsfaktorer!$J$9+K62*Emissionsfaktorer!$J$10+L62*Emissionsfaktorer!$J$11+M62*Emissionsfaktorer!$J$12)*-1*(1-Nøgletal!$T$329)+T62*Emissionsfaktorer!$J$13*Nøgletal!$T$329</f>
        <v>0</v>
      </c>
      <c r="CA62" s="231"/>
      <c r="CB62" s="231"/>
    </row>
    <row r="63" spans="1:80" x14ac:dyDescent="0.25">
      <c r="A63" s="231"/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BS63/IF(Nøgletal!U351&gt;0,Nøgletal!U351,1)*Nøgletal!T351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J$4+E63*Emissionsfaktorer!$J$3+F63*Emissionsfaktorer!$J$5+H63*Emissionsfaktorer!$J$7+I63*Emissionsfaktorer!$J$8+J63*Emissionsfaktorer!$J$9+K63*Emissionsfaktorer!$J$10+L63*Emissionsfaktorer!$J$11+M63*Emissionsfaktorer!$J$12)*-1*(1-Nøgletal!$T$329)+T63*Emissionsfaktorer!$J$13*Nøgletal!$T$329</f>
        <v>0</v>
      </c>
      <c r="CA63" s="231"/>
      <c r="CB63" s="231"/>
    </row>
    <row r="64" spans="1:80" x14ac:dyDescent="0.25">
      <c r="A64" s="231"/>
      <c r="B64" s="31"/>
      <c r="C64" s="23">
        <f>AJ64*Nøgletal!T567</f>
        <v>0</v>
      </c>
      <c r="D64" s="23"/>
      <c r="E64" s="23">
        <f>AJ64*Nøgletal!T572</f>
        <v>-1812.9598477902305</v>
      </c>
      <c r="F64" s="23">
        <f>AJ64*Nøgletal!T584</f>
        <v>-217.45291861526195</v>
      </c>
      <c r="G64" s="23">
        <f t="shared" si="48"/>
        <v>-1.7254744583635151</v>
      </c>
      <c r="H64" s="23">
        <f>AJ64*Nøgletal!T566</f>
        <v>0</v>
      </c>
      <c r="I64" s="23">
        <f>AJ64*Nøgletal!T568</f>
        <v>0</v>
      </c>
      <c r="J64" s="23">
        <f>AJ64*Nøgletal!T569</f>
        <v>-1.7254744583635151</v>
      </c>
      <c r="K64" s="23">
        <f>AJ64*Nøgletal!T570</f>
        <v>0</v>
      </c>
      <c r="L64" s="23"/>
      <c r="M64" s="23">
        <f>AJ64*Nøgletal!T571</f>
        <v>0</v>
      </c>
      <c r="N64" s="23">
        <f t="shared" si="49"/>
        <v>0</v>
      </c>
      <c r="O64" s="23"/>
      <c r="P64" s="23"/>
      <c r="Q64" s="23">
        <f>AJ64*Nøgletal!T573</f>
        <v>0</v>
      </c>
      <c r="R64" s="23">
        <f>AJ64*Nøgletal!T574</f>
        <v>0</v>
      </c>
      <c r="S64" s="23">
        <f>AJ64*Nøgletal!T575</f>
        <v>0</v>
      </c>
      <c r="T64" s="23">
        <f t="shared" si="50"/>
        <v>-1093.6546001537833</v>
      </c>
      <c r="U64" s="23">
        <f>AJ64*Nøgletal!T576</f>
        <v>0</v>
      </c>
      <c r="V64" s="23">
        <f>AJ64*Nøgletal!T577</f>
        <v>0</v>
      </c>
      <c r="W64" s="23">
        <f>AJ64*Nøgletal!T578</f>
        <v>0</v>
      </c>
      <c r="X64" s="23">
        <f>AJ64*Nøgletal!T579</f>
        <v>-812.70613866458621</v>
      </c>
      <c r="Y64" s="23">
        <f>AJ64*Nøgletal!T580</f>
        <v>-1.43278286505624</v>
      </c>
      <c r="Z64" s="23">
        <f>AJ64*Nøgletal!T581</f>
        <v>0</v>
      </c>
      <c r="AA64" s="23">
        <f>AJ64*Nøgletal!T582</f>
        <v>-265.77578941865352</v>
      </c>
      <c r="AB64" s="23">
        <f>AJ64*Nøgletal!T583</f>
        <v>-13.739889205487248</v>
      </c>
      <c r="AC64" s="23"/>
      <c r="AD64" s="23"/>
      <c r="AE64" s="23"/>
      <c r="AF64" s="23"/>
      <c r="AG64" s="23"/>
      <c r="AH64" s="23"/>
      <c r="AI64" s="23"/>
      <c r="AJ64" s="105">
        <f>-AO64/IF(Nøgletal!U351+Nøgletal!T351&gt;0,Nøgletal!U351+Nøgletal!T351,1)</f>
        <v>-3125.7928410176391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2347.4704236042471</v>
      </c>
      <c r="AP64" s="37">
        <f t="shared" si="44"/>
        <v>0.751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BS64/IF(Nøgletal!U351&gt;0,Nøgletal!U351,1)*Nøgletal!T351</f>
        <v>706.4291820699865</v>
      </c>
      <c r="BS64" s="78">
        <f>BS$57*Nøgletal!T309</f>
        <v>1641.0412415342607</v>
      </c>
      <c r="BT64" s="23"/>
      <c r="BU64" s="32"/>
      <c r="BV64" s="32"/>
      <c r="BW64" s="93"/>
      <c r="BX64" s="93"/>
      <c r="BY64" s="124">
        <f t="shared" si="54"/>
        <v>778.32241741339203</v>
      </c>
      <c r="BZ64" s="123">
        <f>(C64*Emissionsfaktorer!$J$4+E64*Emissionsfaktorer!$J$3+F64*Emissionsfaktorer!$J$5+H64*Emissionsfaktorer!$J$7+I64*Emissionsfaktorer!$J$8+J64*Emissionsfaktorer!$J$9+K64*Emissionsfaktorer!$J$10+L64*Emissionsfaktorer!$J$11+M64*Emissionsfaktorer!$J$12)*-1*(1-Nøgletal!$T$329)+T64*Emissionsfaktorer!$J$13*Nøgletal!$T$329</f>
        <v>121.34537540250889</v>
      </c>
      <c r="CA64" s="231"/>
      <c r="CB64" s="231"/>
    </row>
    <row r="65" spans="1:80" x14ac:dyDescent="0.25">
      <c r="A65" s="231"/>
      <c r="B65" s="31"/>
      <c r="C65" s="295"/>
      <c r="D65" s="20">
        <f>AV65/IF(Nøgletal!T708&gt;0,Nøgletal!T708,1)*-1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$BT65/IF(Nøgletal!$T$720&gt;0,Nøgletal!$T$720,1)*-Nøgletal!$T711*Nøgletal!$T710</f>
        <v>0</v>
      </c>
      <c r="V65" s="20">
        <f>$BT65/IF(Nøgletal!$T$720&gt;0,Nøgletal!$T$720,1)*-Nøgletal!$T712*Nøgletal!$T710</f>
        <v>0</v>
      </c>
      <c r="W65" s="20">
        <f>$BT65/IF(Nøgletal!$T$720&gt;0,Nøgletal!$T$720,1)*-Nøgletal!$T713*Nøgletal!$T710</f>
        <v>0</v>
      </c>
      <c r="X65" s="20">
        <f>$BT65/IF(Nøgletal!$T$720&gt;0,Nøgletal!$T$720,1)*-Nøgletal!$T714*Nøgletal!$T710</f>
        <v>0</v>
      </c>
      <c r="Y65" s="20">
        <f>$BT65/IF(Nøgletal!$T$720&gt;0,Nøgletal!$T$720,1)*-Nøgletal!$T715*Nøgletal!$T710</f>
        <v>0</v>
      </c>
      <c r="Z65" s="20">
        <f>$BT65/IF(Nøgletal!$T$720&gt;0,Nøgletal!$T$720,1)*-Nøgletal!$T716*Nøgletal!$T710</f>
        <v>0</v>
      </c>
      <c r="AA65" s="20">
        <f>$BT65/IF(Nøgletal!$T$720&gt;0,Nøgletal!$T$720,1)*-Nøgletal!$T717*Nøgletal!$T710</f>
        <v>0</v>
      </c>
      <c r="AB65" s="20">
        <f>$BT65/IF(Nøgletal!$T$720&gt;0,Nøgletal!$T$720,1)*-Nøgletal!$T718*Nøgletal!$T710</f>
        <v>0</v>
      </c>
      <c r="AC65" s="20">
        <f>BT65/IF(Nøgletal!T720&gt;0,Nøgletal!T720,1)*-Nøgletal!T719</f>
        <v>0</v>
      </c>
      <c r="AD65" s="20"/>
      <c r="AE65" s="20"/>
      <c r="AF65" s="20"/>
      <c r="AG65" s="20"/>
      <c r="AH65" s="20"/>
      <c r="AI65" s="20"/>
      <c r="AJ65" s="105">
        <f>AV65/IF(Nøgletal!T708&gt;0,Nøgletal!T708,1)+BT65/IF(Nøgletal!T720&gt;0,Nøgletal!T720,1)*-1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Nøgletal!T701</f>
        <v>0</v>
      </c>
      <c r="AW65" s="20">
        <f>$AV65*Nøgletal!T702</f>
        <v>0</v>
      </c>
      <c r="AX65" s="20">
        <f>$AV65*Nøgletal!T703</f>
        <v>0</v>
      </c>
      <c r="AY65" s="20">
        <f>$AV65*Nøgletal!T704</f>
        <v>0</v>
      </c>
      <c r="AZ65" s="20">
        <f>$AV65*Nøgletal!T705</f>
        <v>0</v>
      </c>
      <c r="BA65" s="20">
        <f>$AV65*Nøgletal!T706</f>
        <v>0</v>
      </c>
      <c r="BB65" s="20">
        <f>$AV65*Nøgletal!T707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Nøgletal!T709</f>
        <v>0</v>
      </c>
      <c r="BU65" s="21"/>
      <c r="BV65" s="21"/>
      <c r="BW65" s="86"/>
      <c r="BX65" s="86"/>
      <c r="BY65" s="124">
        <f t="shared" si="54"/>
        <v>0</v>
      </c>
      <c r="BZ65" s="300"/>
      <c r="CA65" s="231"/>
      <c r="CB65" s="231"/>
    </row>
    <row r="66" spans="1:80" s="231" customFormat="1" x14ac:dyDescent="0.25">
      <c r="B66" s="31"/>
      <c r="C66" s="80"/>
      <c r="D66" s="80"/>
      <c r="E66" s="80"/>
      <c r="F66" s="80"/>
      <c r="G66" s="81">
        <f t="shared" si="29"/>
        <v>-2010.4353661408647</v>
      </c>
      <c r="H66" s="80">
        <f t="shared" ref="H66:M66" si="55">H68</f>
        <v>-23.698541543143385</v>
      </c>
      <c r="I66" s="80">
        <f t="shared" si="55"/>
        <v>0</v>
      </c>
      <c r="J66" s="80">
        <f t="shared" si="55"/>
        <v>-76.155124999999998</v>
      </c>
      <c r="K66" s="80">
        <f t="shared" si="55"/>
        <v>-1020.905338680396</v>
      </c>
      <c r="L66" s="80">
        <f t="shared" si="55"/>
        <v>-385.50999999999993</v>
      </c>
      <c r="M66" s="80">
        <f t="shared" si="55"/>
        <v>-504.16636091732539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-1272.9984824676362</v>
      </c>
      <c r="AD66" s="82">
        <f>-BS9</f>
        <v>-2015.5071082025311</v>
      </c>
      <c r="AE66" s="80"/>
      <c r="AF66" s="80"/>
      <c r="AG66" s="80"/>
      <c r="AH66" s="267">
        <f>-BW9</f>
        <v>-142.40040000000002</v>
      </c>
      <c r="AI66" s="80"/>
      <c r="AJ66" s="105">
        <f t="shared" ref="AJ66:AJ83" si="56">SUM(C66:G66,N66,T66,AC66:AG66)</f>
        <v>-5298.9409568110314</v>
      </c>
      <c r="AK66" s="13" t="s">
        <v>233</v>
      </c>
      <c r="AL66" s="13" t="s">
        <v>234</v>
      </c>
      <c r="AM66" s="99"/>
      <c r="AN66" s="37"/>
      <c r="AO66" s="38">
        <f t="shared" si="1"/>
        <v>4914.2081879191428</v>
      </c>
      <c r="AP66" s="37">
        <f t="shared" si="6"/>
        <v>0.92739440351805214</v>
      </c>
      <c r="AQ66" s="31"/>
      <c r="AR66" s="80"/>
      <c r="AS66" s="80"/>
      <c r="AT66" s="80"/>
      <c r="AU66" s="80"/>
      <c r="AV66" s="95">
        <f t="shared" si="7"/>
        <v>2010.4353661408647</v>
      </c>
      <c r="AW66" s="80">
        <f t="shared" ref="AW66:BB66" si="57">H66*-1</f>
        <v>23.698541543143385</v>
      </c>
      <c r="AX66" s="80">
        <f t="shared" si="57"/>
        <v>0</v>
      </c>
      <c r="AY66" s="80">
        <f t="shared" si="57"/>
        <v>76.155124999999998</v>
      </c>
      <c r="AZ66" s="80">
        <f t="shared" si="57"/>
        <v>1020.905338680396</v>
      </c>
      <c r="BA66" s="80">
        <f t="shared" si="57"/>
        <v>385.50999999999993</v>
      </c>
      <c r="BB66" s="80">
        <f t="shared" si="57"/>
        <v>504.16636091732539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1169.1218062982771</v>
      </c>
      <c r="BS66" s="80">
        <f>AD68*-1</f>
        <v>1592.2506154800003</v>
      </c>
      <c r="BT66" s="80"/>
      <c r="BU66" s="80"/>
      <c r="BV66" s="80"/>
      <c r="BW66" s="267">
        <f>-AH66</f>
        <v>142.40040000000002</v>
      </c>
      <c r="BX66" s="80"/>
      <c r="BY66" s="124">
        <f t="shared" si="54"/>
        <v>384.73276889188855</v>
      </c>
      <c r="BZ66" s="123"/>
    </row>
    <row r="67" spans="1:80" x14ac:dyDescent="0.25">
      <c r="A67" s="231"/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3.09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3.09</v>
      </c>
      <c r="BD67" s="11">
        <f>-1*O68</f>
        <v>0</v>
      </c>
      <c r="BE67" s="11">
        <f>-1*P68</f>
        <v>0</v>
      </c>
      <c r="BF67" s="11">
        <f>-1*Q68</f>
        <v>3.09</v>
      </c>
      <c r="BG67" s="11">
        <f>-1*R68</f>
        <v>0</v>
      </c>
      <c r="BH67" s="11">
        <f>-1*S68</f>
        <v>0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(C67*Emissionsfaktorer!$J$4+E67*Emissionsfaktorer!$J$3+F67*Emissionsfaktorer!$J$5+H67*Emissionsfaktorer!$J$7+I67*Emissionsfaktorer!$J$8+J67*Emissionsfaktorer!$J$9+K67*Emissionsfaktorer!$J$10+L67*Emissionsfaktorer!$J$11+M67*Emissionsfaktorer!$J$12)*-1</f>
        <v>0</v>
      </c>
      <c r="CA67" s="2"/>
      <c r="CB67" s="2"/>
    </row>
    <row r="68" spans="1:80" x14ac:dyDescent="0.25">
      <c r="A68" s="231"/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-753.4</v>
      </c>
      <c r="F68" s="267">
        <f t="shared" si="58"/>
        <v>0</v>
      </c>
      <c r="G68" s="267">
        <f t="shared" si="58"/>
        <v>-2010.4353661408645</v>
      </c>
      <c r="H68" s="267">
        <f t="shared" si="58"/>
        <v>-23.698541543143385</v>
      </c>
      <c r="I68" s="267">
        <f t="shared" si="58"/>
        <v>0</v>
      </c>
      <c r="J68" s="267">
        <f t="shared" si="58"/>
        <v>-76.155124999999998</v>
      </c>
      <c r="K68" s="267">
        <f t="shared" si="58"/>
        <v>-1020.905338680396</v>
      </c>
      <c r="L68" s="267">
        <f t="shared" si="58"/>
        <v>-385.50999999999993</v>
      </c>
      <c r="M68" s="267">
        <f t="shared" si="58"/>
        <v>-504.16636091732539</v>
      </c>
      <c r="N68" s="267">
        <f t="shared" si="58"/>
        <v>-3.09</v>
      </c>
      <c r="O68" s="267">
        <f t="shared" si="58"/>
        <v>0</v>
      </c>
      <c r="P68" s="267">
        <f t="shared" si="58"/>
        <v>0</v>
      </c>
      <c r="Q68" s="267">
        <f t="shared" si="58"/>
        <v>-3.09</v>
      </c>
      <c r="R68" s="267">
        <f t="shared" si="58"/>
        <v>0</v>
      </c>
      <c r="S68" s="267">
        <f t="shared" si="58"/>
        <v>0</v>
      </c>
      <c r="T68" s="267">
        <f t="shared" si="58"/>
        <v>-336.43184558352789</v>
      </c>
      <c r="U68" s="267">
        <f t="shared" si="58"/>
        <v>0</v>
      </c>
      <c r="V68" s="267">
        <f t="shared" si="58"/>
        <v>-98.924307121989372</v>
      </c>
      <c r="W68" s="267">
        <f t="shared" si="58"/>
        <v>-20.000000000000004</v>
      </c>
      <c r="X68" s="267">
        <f t="shared" si="58"/>
        <v>-135.5075384615385</v>
      </c>
      <c r="Y68" s="267">
        <f t="shared" si="58"/>
        <v>-82.000000000000014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-1169.1218062982771</v>
      </c>
      <c r="AD68" s="267">
        <f t="shared" si="58"/>
        <v>-1592.2506154800003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-142.40040000000002</v>
      </c>
      <c r="AI68" s="267">
        <f>SUM(AI69:AI70,AI79:AI80,AI84)</f>
        <v>0</v>
      </c>
      <c r="AJ68" s="105">
        <f t="shared" si="56"/>
        <v>-5864.7296335026704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4213.3894299804006</v>
      </c>
      <c r="AP68" s="37">
        <f t="shared" si="6"/>
        <v>0.71842858806501908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4213.3894299804006</v>
      </c>
      <c r="BX68" s="267">
        <f t="shared" si="59"/>
        <v>0</v>
      </c>
      <c r="BY68" s="268">
        <f t="shared" si="59"/>
        <v>1651.3402035222689</v>
      </c>
      <c r="BZ68" s="268">
        <f t="shared" si="59"/>
        <v>190.18251663068639</v>
      </c>
      <c r="CA68" s="231"/>
      <c r="CB68" s="231"/>
    </row>
    <row r="69" spans="1:80" x14ac:dyDescent="0.25">
      <c r="A69" s="231"/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IF(-($BR$11+$BR$18+$BR$57)-($AC$70+AC79+AC80+AC84)/(1-Nøgletal!$T$294)-$AC$9&lt;0,-($BR$11+$BR$18+$BR$57)-($AC$70+AC79+AC80+AC84)/(1-Nøgletal!$T$294)-$AC$9,0)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AC69*Emissionsfaktorer!J6+AE69*Emissionsfaktorer!J14</f>
        <v>0</v>
      </c>
      <c r="CA69" s="231"/>
      <c r="CB69" s="231"/>
    </row>
    <row r="70" spans="1:80" x14ac:dyDescent="0.25">
      <c r="A70" s="231"/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-1881.5702411408647</v>
      </c>
      <c r="H70" s="79">
        <f t="shared" ref="H70:M70" si="62">SUM(H71:H78)</f>
        <v>-5.898541543143387</v>
      </c>
      <c r="I70" s="79">
        <f t="shared" si="62"/>
        <v>0</v>
      </c>
      <c r="J70" s="79">
        <f t="shared" si="62"/>
        <v>0</v>
      </c>
      <c r="K70" s="79">
        <f t="shared" si="62"/>
        <v>-985.995338680396</v>
      </c>
      <c r="L70" s="79">
        <f t="shared" si="62"/>
        <v>-385.50999999999993</v>
      </c>
      <c r="M70" s="79">
        <f t="shared" si="62"/>
        <v>-504.16636091732539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-98.924307121989372</v>
      </c>
      <c r="U70" s="79">
        <f t="shared" ref="U70:AI70" si="63">SUM(U71:U78)</f>
        <v>0</v>
      </c>
      <c r="V70" s="79">
        <f t="shared" si="63"/>
        <v>-98.924307121989372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0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-1980.4945482628541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536.9821145004006</v>
      </c>
      <c r="AP70" s="37">
        <f t="shared" si="6"/>
        <v>0.27113536614953182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536.9821145004006</v>
      </c>
      <c r="BX70" s="21">
        <f t="shared" si="64"/>
        <v>0</v>
      </c>
      <c r="BY70" s="127">
        <f t="shared" si="64"/>
        <v>1443.5124337624534</v>
      </c>
      <c r="BZ70" s="127">
        <f t="shared" si="64"/>
        <v>137.8967173806864</v>
      </c>
      <c r="CA70" s="231"/>
      <c r="CB70" s="231"/>
    </row>
    <row r="71" spans="1:80" x14ac:dyDescent="0.25">
      <c r="A71" s="231"/>
      <c r="B71" s="31"/>
      <c r="C71" s="78"/>
      <c r="D71" s="78"/>
      <c r="E71" s="78">
        <f>BW71*Nøgletal!T635*-1/Nøgletal!T401</f>
        <v>0</v>
      </c>
      <c r="F71" s="78"/>
      <c r="G71" s="23">
        <f t="shared" si="29"/>
        <v>-893.1882695977215</v>
      </c>
      <c r="H71" s="78"/>
      <c r="I71" s="78"/>
      <c r="J71" s="78"/>
      <c r="K71" s="78">
        <f>AO71*Nøgletal!T287/(Nøgletal!T286+Nøgletal!T287+Nøgletal!T284)*Nøgletal!T642/Nøgletal!T402*-1</f>
        <v>-389.29190868039609</v>
      </c>
      <c r="L71" s="78"/>
      <c r="M71" s="78">
        <f>AO71*Nøgletal!T286/(Nøgletal!T286+Nøgletal!T287+Nøgletal!T284)*Nøgletal!T634/Nøgletal!T401*-1</f>
        <v>-503.89636091732541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-60.937737121989379</v>
      </c>
      <c r="U71" s="78">
        <f>IF(Nøgletal!T636=0,0,$AO$71*Nøgletal!T636/Nøgletal!$T$401*-1)</f>
        <v>0</v>
      </c>
      <c r="V71" s="78">
        <f>AO71*(Nøgletal!T286/(Nøgletal!T286+Nøgletal!T287+Nøgletal!T284)*Nøgletal!T637/Nøgletal!T401+Nøgletal!T287/(Nøgletal!T286+Nøgletal!T287+Nøgletal!T284)*Nøgletal!T646/Nøgletal!T402)*-1</f>
        <v>-60.937737121989379</v>
      </c>
      <c r="W71" s="78"/>
      <c r="X71" s="78"/>
      <c r="Y71" s="78"/>
      <c r="Z71" s="78"/>
      <c r="AA71" s="78"/>
      <c r="AB71" s="78">
        <f>IF(Nøgletal!T638=0,0,AO71*Nøgletal!T638/Nøgletal!T401*-1)</f>
        <v>0</v>
      </c>
      <c r="AC71" s="32">
        <f>AO71*Nøgletal!T284/(Nøgletal!T284+Nøgletal!T286+Nøgletal!T287)/(Nøgletal!T410*-1)</f>
        <v>0</v>
      </c>
      <c r="AD71" s="32"/>
      <c r="AE71" s="32">
        <f>AO71*Nøgletal!T286/(Nøgletal!T286+Nøgletal!T287+Nøgletal!T284)*Nøgletal!T639/Nøgletal!T401*-1+AO71*Nøgletal!T287/(Nøgletal!T286+Nøgletal!T287+Nøgletal!T284)*Nøgletal!T647/Nøgletal!T402*-1</f>
        <v>0</v>
      </c>
      <c r="AF71" s="32"/>
      <c r="AG71" s="32"/>
      <c r="AH71" s="32"/>
      <c r="AI71" s="32"/>
      <c r="AJ71" s="105">
        <f t="shared" si="56"/>
        <v>-954.12600671971086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211.64396871400618</v>
      </c>
      <c r="AP71" s="37">
        <f t="shared" si="6"/>
        <v>0.2218197253019431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Nøgletal!T$282*(Nøgletal!T286+Nøgletal!T287+Nøgletal!T284)</f>
        <v>211.64396871400618</v>
      </c>
      <c r="BX71" s="78"/>
      <c r="BY71" s="127">
        <f t="shared" ref="BY71:BY79" si="67">(AJ71+BW71)*-1</f>
        <v>742.48203800570468</v>
      </c>
      <c r="BZ71" s="123">
        <f>(C71*Emissionsfaktorer!$J$4+E71*Emissionsfaktorer!$J$3+F71*Emissionsfaktorer!$J$5+H71*Emissionsfaktorer!$J$7+I71*Emissionsfaktorer!$J$8+J71*Emissionsfaktorer!$J$9+K71*Emissionsfaktorer!$J$10+L71*Emissionsfaktorer!$J$11+M71*Emissionsfaktorer!$J$12)*-1</f>
        <v>65.592035589314065</v>
      </c>
      <c r="CA71" s="231"/>
      <c r="CB71" s="231"/>
    </row>
    <row r="72" spans="1:80" s="153" customFormat="1" x14ac:dyDescent="0.25">
      <c r="A72" s="231"/>
      <c r="B72" s="31"/>
      <c r="C72" s="78"/>
      <c r="D72" s="78"/>
      <c r="E72" s="149"/>
      <c r="F72" s="78"/>
      <c r="G72" s="23">
        <f>SUM(H72:M72)</f>
        <v>-5.898541543143387</v>
      </c>
      <c r="H72" s="78">
        <f>AO72/Nøgletal!T411*-1</f>
        <v>-5.898541543143387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-5.898541543143387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2.241445786394487</v>
      </c>
      <c r="AP72" s="37">
        <f>IF(AJ72=0,0,AO72/AJ72*-1)</f>
        <v>0.38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Nøgletal!T$282*Nøgletal!T285</f>
        <v>2.241445786394487</v>
      </c>
      <c r="BX72" s="78"/>
      <c r="BY72" s="127">
        <f t="shared" si="67"/>
        <v>3.6570957567489</v>
      </c>
      <c r="BZ72" s="123">
        <f>(C72*Emissionsfaktorer!$J$4+E72*Emissionsfaktorer!$J$3+F72*Emissionsfaktorer!$J$5+H72*Emissionsfaktorer!$J$7+I72*Emissionsfaktorer!$J$8+J72*Emissionsfaktorer!$J$9+K72*Emissionsfaktorer!$J$10+L72*Emissionsfaktorer!$J$11+M72*Emissionsfaktorer!$J$12)*-1</f>
        <v>0.37219797137234772</v>
      </c>
      <c r="CA72" s="231"/>
      <c r="CB72" s="231"/>
    </row>
    <row r="73" spans="1:80" x14ac:dyDescent="0.25">
      <c r="A73" s="231"/>
      <c r="B73" s="31"/>
      <c r="C73" s="78"/>
      <c r="D73" s="78"/>
      <c r="E73" s="78">
        <f>AO73*Nøgletal!T654/IF(Nøgletal!$T$403&gt;0,Nøgletal!T403,1)*-1</f>
        <v>0</v>
      </c>
      <c r="F73" s="78"/>
      <c r="G73" s="23">
        <f t="shared" si="29"/>
        <v>-158.94962999999998</v>
      </c>
      <c r="H73" s="78"/>
      <c r="I73" s="78"/>
      <c r="J73" s="78"/>
      <c r="K73" s="78">
        <f>$AO$73*Nøgletal!T650/IF(Nøgletal!T403&gt;0,Nøgletal!T403,1)*-1</f>
        <v>-158.94962999999998</v>
      </c>
      <c r="L73" s="78"/>
      <c r="M73" s="78">
        <f>AO73*Nøgletal!T651/IF(Nøgletal!T403&gt;0,Nøgletal!T403,1)*-1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-11.780369999999998</v>
      </c>
      <c r="U73" s="78">
        <f>AO73*Nøgletal!T653/IF(Nøgletal!T403&gt;0,Nøgletal!T403,1)*-1</f>
        <v>0</v>
      </c>
      <c r="V73" s="78">
        <f>AO73*Nøgletal!T655/IF(Nøgletal!T403&gt;0,Nøgletal!T403,1)*-1</f>
        <v>-11.780369999999998</v>
      </c>
      <c r="W73" s="78"/>
      <c r="X73" s="78"/>
      <c r="Y73" s="78"/>
      <c r="Z73" s="78"/>
      <c r="AA73" s="78"/>
      <c r="AB73" s="78">
        <f>AO73*Nøgletal!T652/IF(Nøgletal!T403&gt;0,Nøgletal!T403,1)*-1</f>
        <v>0</v>
      </c>
      <c r="AC73" s="32">
        <f>AO73*Nøgletal!T657/IF(Nøgletal!T410&gt;0,Nøgletal!T410,1)*-1</f>
        <v>0</v>
      </c>
      <c r="AD73" s="32"/>
      <c r="AE73" s="32">
        <f>AO73*Nøgletal!T656/IF(Nøgletal!T403&gt;0,Nøgletal!T403,1)*-1</f>
        <v>0</v>
      </c>
      <c r="AF73" s="32"/>
      <c r="AG73" s="32"/>
      <c r="AH73" s="32"/>
      <c r="AI73" s="32"/>
      <c r="AJ73" s="105">
        <f t="shared" si="56"/>
        <v>-170.73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42.68249999999999</v>
      </c>
      <c r="AP73" s="37">
        <f t="shared" si="6"/>
        <v>0.24999999999999997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Nøgletal!T$282*Nøgletal!T288</f>
        <v>42.68249999999999</v>
      </c>
      <c r="BX73" s="78"/>
      <c r="BY73" s="127">
        <f t="shared" si="67"/>
        <v>128.04750000000001</v>
      </c>
      <c r="BZ73" s="123">
        <f>(C73*Emissionsfaktorer!$J$4+E73*Emissionsfaktorer!$J$3+F73*Emissionsfaktorer!$J$5+H73*Emissionsfaktorer!$J$7+I73*Emissionsfaktorer!$J$8+J73*Emissionsfaktorer!$J$9+K73*Emissionsfaktorer!$J$10+L73*Emissionsfaktorer!$J$11+M73*Emissionsfaktorer!$J$12)*-1</f>
        <v>11.762272619999999</v>
      </c>
      <c r="CA73" s="231"/>
      <c r="CB73" s="231"/>
    </row>
    <row r="74" spans="1:80" x14ac:dyDescent="0.25">
      <c r="A74" s="231"/>
      <c r="B74" s="31"/>
      <c r="C74" s="78"/>
      <c r="D74" s="78"/>
      <c r="E74" s="78">
        <f>AO74*Nøgletal!T662/Nøgletal!T404*-1</f>
        <v>0</v>
      </c>
      <c r="F74" s="78"/>
      <c r="G74" s="23">
        <f t="shared" si="29"/>
        <v>-45.7121</v>
      </c>
      <c r="H74" s="78"/>
      <c r="I74" s="78"/>
      <c r="J74" s="78"/>
      <c r="K74" s="78">
        <f>AO74*Nøgletal!T659/Nøgletal!T404*-1</f>
        <v>-45.7121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-3.3878999999999997</v>
      </c>
      <c r="U74" s="78">
        <f>AO75*Nøgletal!T661/Nøgletal!T404*-1</f>
        <v>0</v>
      </c>
      <c r="V74" s="78">
        <f>AO74*Nøgletal!T663/Nøgletal!T404*-1</f>
        <v>-3.3878999999999997</v>
      </c>
      <c r="W74" s="78"/>
      <c r="X74" s="78"/>
      <c r="Y74" s="78"/>
      <c r="Z74" s="78"/>
      <c r="AA74" s="78"/>
      <c r="AB74" s="78">
        <f>AO74*Nøgletal!T660/Nøgletal!T404*-1</f>
        <v>0</v>
      </c>
      <c r="AC74" s="269">
        <f>AO74*Nøgletal!T665/Nøgletal!T410*-1</f>
        <v>0</v>
      </c>
      <c r="AD74" s="32"/>
      <c r="AE74" s="32">
        <f>AO74*Nøgletal!T664/Nøgletal!T404*-1</f>
        <v>0</v>
      </c>
      <c r="AF74" s="32"/>
      <c r="AG74" s="32"/>
      <c r="AH74" s="32"/>
      <c r="AI74" s="32"/>
      <c r="AJ74" s="105">
        <f t="shared" si="56"/>
        <v>-49.1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16.202999999999999</v>
      </c>
      <c r="AP74" s="37">
        <f t="shared" ref="AP74:AP89" si="68">IF(AJ74=0,0,AO74/AJ74*-1)</f>
        <v>0.32999999999999996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Nøgletal!T$282*Nøgletal!T289</f>
        <v>16.202999999999999</v>
      </c>
      <c r="BX74" s="78"/>
      <c r="BY74" s="127">
        <f t="shared" si="67"/>
        <v>32.897000000000006</v>
      </c>
      <c r="BZ74" s="123">
        <f>(C74*Emissionsfaktorer!$J$4+E74*Emissionsfaktorer!$J$3+F74*Emissionsfaktorer!$J$5+H74*Emissionsfaktorer!$J$7+I74*Emissionsfaktorer!$J$8+J74*Emissionsfaktorer!$J$9+K74*Emissionsfaktorer!$J$10+L74*Emissionsfaktorer!$J$11+M74*Emissionsfaktorer!$J$12)*-1</f>
        <v>3.3826953999999998</v>
      </c>
      <c r="CA74" s="231"/>
      <c r="CB74" s="231"/>
    </row>
    <row r="75" spans="1:80" x14ac:dyDescent="0.25">
      <c r="A75" s="231"/>
      <c r="B75" s="31"/>
      <c r="C75" s="78"/>
      <c r="D75" s="78"/>
      <c r="E75" s="78">
        <f>AO75*Nøgletal!T670/Nøgletal!T405*-1</f>
        <v>0</v>
      </c>
      <c r="F75" s="78"/>
      <c r="G75" s="23">
        <f t="shared" si="29"/>
        <v>-307.88170000000002</v>
      </c>
      <c r="H75" s="78"/>
      <c r="I75" s="78"/>
      <c r="J75" s="78"/>
      <c r="K75" s="78">
        <f>AO75*Nøgletal!T667/Nøgletal!T405*-1</f>
        <v>-307.88170000000002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-22.818299999999997</v>
      </c>
      <c r="U75" s="78">
        <f>AO76*Nøgletal!T669/Nøgletal!T405*-1</f>
        <v>0</v>
      </c>
      <c r="V75" s="78">
        <f>AO75*Nøgletal!T671/Nøgletal!T405*-1</f>
        <v>-22.818299999999997</v>
      </c>
      <c r="W75" s="78"/>
      <c r="X75" s="78"/>
      <c r="Y75" s="78"/>
      <c r="Z75" s="78"/>
      <c r="AA75" s="78"/>
      <c r="AB75" s="78">
        <f>AO75*Nøgletal!T668/Nøgletal!T405*-1</f>
        <v>0</v>
      </c>
      <c r="AC75" s="269">
        <f>AO75*Nøgletal!T673/Nøgletal!T410*-1</f>
        <v>0</v>
      </c>
      <c r="AD75" s="32"/>
      <c r="AE75" s="32">
        <f>AO75*Nøgletal!T672/Nøgletal!T405*-1</f>
        <v>0</v>
      </c>
      <c r="AF75" s="32"/>
      <c r="AG75" s="32"/>
      <c r="AH75" s="32"/>
      <c r="AI75" s="32"/>
      <c r="AJ75" s="105">
        <f t="shared" si="56"/>
        <v>-330.70000000000005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109.131</v>
      </c>
      <c r="AP75" s="37">
        <f t="shared" si="68"/>
        <v>0.32999999999999996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Nøgletal!T$282*Nøgletal!T290</f>
        <v>109.131</v>
      </c>
      <c r="BX75" s="78"/>
      <c r="BY75" s="127">
        <f t="shared" si="67"/>
        <v>221.56900000000005</v>
      </c>
      <c r="BZ75" s="123">
        <f>(C75*Emissionsfaktorer!$J$4+E75*Emissionsfaktorer!$J$3+F75*Emissionsfaktorer!$J$5+H75*Emissionsfaktorer!$J$7+I75*Emissionsfaktorer!$J$8+J75*Emissionsfaktorer!$J$9+K75*Emissionsfaktorer!$J$10+L75*Emissionsfaktorer!$J$11+M75*Emissionsfaktorer!$J$12)*-1</f>
        <v>22.7832458</v>
      </c>
      <c r="CA75" s="231"/>
      <c r="CB75" s="231"/>
    </row>
    <row r="76" spans="1:80" x14ac:dyDescent="0.25">
      <c r="A76" s="231"/>
      <c r="B76" s="31"/>
      <c r="C76" s="78"/>
      <c r="D76" s="78"/>
      <c r="E76" s="78"/>
      <c r="F76" s="78"/>
      <c r="G76" s="23">
        <f t="shared" si="29"/>
        <v>-29.169999999999995</v>
      </c>
      <c r="H76" s="78"/>
      <c r="I76" s="78"/>
      <c r="J76" s="78"/>
      <c r="K76" s="78">
        <f>AO76*Nøgletal!T675/Nøgletal!T407*-1</f>
        <v>-29.169999999999995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AO76*Nøgletal!T676/Nøgletal!T407*-1</f>
        <v>0</v>
      </c>
      <c r="W76" s="78"/>
      <c r="X76" s="78"/>
      <c r="Y76" s="78"/>
      <c r="Z76" s="78"/>
      <c r="AA76" s="78"/>
      <c r="AB76" s="78"/>
      <c r="AC76" s="269">
        <f>AO76*Nøgletal!T678/Nøgletal!T410*-1</f>
        <v>0</v>
      </c>
      <c r="AD76" s="32"/>
      <c r="AE76" s="32">
        <f>AO76*Nøgletal!T677/Nøgletal!T407*-1</f>
        <v>0</v>
      </c>
      <c r="AF76" s="32"/>
      <c r="AG76" s="32"/>
      <c r="AH76" s="32"/>
      <c r="AI76" s="32"/>
      <c r="AJ76" s="105">
        <f t="shared" si="56"/>
        <v>-29.169999999999995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9.6260999999999992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Nøgletal!T$282*Nøgletal!T291</f>
        <v>9.6260999999999992</v>
      </c>
      <c r="BX76" s="78"/>
      <c r="BY76" s="127">
        <f t="shared" si="67"/>
        <v>19.543899999999994</v>
      </c>
      <c r="BZ76" s="123">
        <f>(C76*Emissionsfaktorer!$J$4+E76*Emissionsfaktorer!$J$3+F76*Emissionsfaktorer!$J$5+H76*Emissionsfaktorer!$J$7+I76*Emissionsfaktorer!$J$8+J76*Emissionsfaktorer!$J$9+K76*Emissionsfaktorer!$J$10+L76*Emissionsfaktorer!$J$11+M76*Emissionsfaktorer!$J$12)*-1</f>
        <v>2.1585799999999993</v>
      </c>
      <c r="CA76" s="231"/>
      <c r="CB76" s="231"/>
    </row>
    <row r="77" spans="1:80" x14ac:dyDescent="0.25">
      <c r="A77" s="231"/>
      <c r="B77" s="31"/>
      <c r="C77" s="78"/>
      <c r="D77" s="78"/>
      <c r="E77" s="78"/>
      <c r="F77" s="78"/>
      <c r="G77" s="23">
        <f t="shared" si="29"/>
        <v>-385.77999999999992</v>
      </c>
      <c r="H77" s="78"/>
      <c r="I77" s="78"/>
      <c r="J77" s="78"/>
      <c r="K77" s="78"/>
      <c r="L77" s="78">
        <f>AO77*Nøgletal!T680/Nøgletal!T408*-1</f>
        <v>-385.50999999999993</v>
      </c>
      <c r="M77" s="78">
        <f>AO77*Nøgletal!T681/Nøgletal!T408*-1</f>
        <v>-0.27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AO77*Nøgletal!T682/Nøgletal!T407*-1</f>
        <v>0</v>
      </c>
      <c r="W77" s="78"/>
      <c r="X77" s="78"/>
      <c r="Y77" s="78"/>
      <c r="Z77" s="78"/>
      <c r="AA77" s="78"/>
      <c r="AB77" s="78"/>
      <c r="AC77" s="269">
        <f>AO77*Nøgletal!T684/Nøgletal!T410</f>
        <v>0</v>
      </c>
      <c r="AD77" s="32"/>
      <c r="AE77" s="32">
        <f>AO77*Nøgletal!T683/Nøgletal!T408*-1</f>
        <v>0</v>
      </c>
      <c r="AF77" s="32"/>
      <c r="AG77" s="32"/>
      <c r="AH77" s="32"/>
      <c r="AI77" s="32"/>
      <c r="AJ77" s="105">
        <f t="shared" si="56"/>
        <v>-385.77999999999992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127.30739999999999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Nøgletal!T$282*Nøgletal!T292</f>
        <v>127.30739999999999</v>
      </c>
      <c r="BX77" s="78"/>
      <c r="BY77" s="127">
        <f t="shared" si="67"/>
        <v>258.47259999999994</v>
      </c>
      <c r="BZ77" s="123">
        <f>(C77*Emissionsfaktorer!$J$4+E77*Emissionsfaktorer!$J$3+F77*Emissionsfaktorer!$J$5+H77*Emissionsfaktorer!$J$7+I77*Emissionsfaktorer!$J$8+J77*Emissionsfaktorer!$J$9+K77*Emissionsfaktorer!$J$10+L77*Emissionsfaktorer!$J$11+M77*Emissionsfaktorer!$J$12)*-1</f>
        <v>27.776429999999994</v>
      </c>
      <c r="CA77" s="231"/>
      <c r="CB77" s="231"/>
    </row>
    <row r="78" spans="1:80" x14ac:dyDescent="0.25">
      <c r="A78" s="231"/>
      <c r="B78" s="31"/>
      <c r="C78" s="78"/>
      <c r="D78" s="78"/>
      <c r="E78" s="78"/>
      <c r="F78" s="78"/>
      <c r="G78" s="23">
        <f t="shared" si="29"/>
        <v>-54.989999999999981</v>
      </c>
      <c r="H78" s="78"/>
      <c r="I78" s="78">
        <f>-AO78/Nøgletal!T409*Nøgletal!T686</f>
        <v>0</v>
      </c>
      <c r="J78" s="78"/>
      <c r="K78" s="78">
        <f>AO78*Nøgletal!T687/Nøgletal!T409*-1</f>
        <v>-54.989999999999981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AO78*Nøgletal!T688/Nøgletal!T409*-1</f>
        <v>0</v>
      </c>
      <c r="W78" s="78"/>
      <c r="X78" s="78"/>
      <c r="Y78" s="78"/>
      <c r="Z78" s="78"/>
      <c r="AA78" s="78"/>
      <c r="AB78" s="78"/>
      <c r="AC78" s="269">
        <f>AO78*Nøgletal!T690/Nøgletal!T410*-1</f>
        <v>0</v>
      </c>
      <c r="AD78" s="32"/>
      <c r="AE78" s="32">
        <f>AO78*Nøgletal!T689/Nøgletal!T409*-1</f>
        <v>0</v>
      </c>
      <c r="AF78" s="32"/>
      <c r="AG78" s="32"/>
      <c r="AH78" s="32"/>
      <c r="AI78" s="32"/>
      <c r="AJ78" s="105">
        <f t="shared" si="56"/>
        <v>-54.989999999999981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18.146699999999996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Nøgletal!T$282*Nøgletal!T293</f>
        <v>18.146699999999996</v>
      </c>
      <c r="BX78" s="78"/>
      <c r="BY78" s="127">
        <f t="shared" si="67"/>
        <v>36.843299999999985</v>
      </c>
      <c r="BZ78" s="123">
        <f>(C78*Emissionsfaktorer!$J$4+E78*Emissionsfaktorer!$J$3+F78*Emissionsfaktorer!$J$5+H78*Emissionsfaktorer!$J$7+I78*Emissionsfaktorer!$J$8+J78*Emissionsfaktorer!$J$9+K78*Emissionsfaktorer!$J$10+L78*Emissionsfaktorer!$J$11+M78*Emissionsfaktorer!$J$12)*-1</f>
        <v>4.0692599999999981</v>
      </c>
      <c r="CA78" s="231"/>
      <c r="CB78" s="231"/>
    </row>
    <row r="79" spans="1:80" x14ac:dyDescent="0.25">
      <c r="A79" s="231"/>
      <c r="B79" s="31"/>
      <c r="C79" s="21"/>
      <c r="D79" s="21"/>
      <c r="E79" s="21">
        <f>Nøgletal!T37*Nøgletal!T38*Nøgletal!T43/Nøgletal!U391*-1</f>
        <v>-0.4</v>
      </c>
      <c r="F79" s="21"/>
      <c r="G79" s="20">
        <f t="shared" si="29"/>
        <v>-53.225125000000006</v>
      </c>
      <c r="H79" s="21">
        <f>Nøgletal!T34/Nøgletal!U389*-1</f>
        <v>-4.45</v>
      </c>
      <c r="I79" s="21"/>
      <c r="J79" s="21">
        <f>Nøgletal!T37*Nøgletal!T38*Nøgletal!T42/Nøgletal!U390*-1</f>
        <v>-48.775125000000003</v>
      </c>
      <c r="K79" s="21"/>
      <c r="L79" s="21"/>
      <c r="M79" s="21"/>
      <c r="N79" s="20">
        <f t="shared" si="32"/>
        <v>-3.09</v>
      </c>
      <c r="O79" s="21"/>
      <c r="P79" s="21"/>
      <c r="Q79" s="21">
        <f>Nøgletal!T37*Nøgletal!T38*Nøgletal!T47/Nøgletal!U395*-1</f>
        <v>-3.09</v>
      </c>
      <c r="R79" s="21"/>
      <c r="S79" s="21">
        <f>Nøgletal!T37*Nøgletal!T38*Nøgletal!T41*(1-1/Nøgletal!U388)*-1</f>
        <v>0</v>
      </c>
      <c r="T79" s="20">
        <f t="shared" si="30"/>
        <v>-237.5075384615385</v>
      </c>
      <c r="U79" s="21"/>
      <c r="V79" s="21"/>
      <c r="W79" s="21">
        <f>Nøgletal!T37*Nøgletal!T38*Nøgletal!T46/Nøgletal!U394*-1</f>
        <v>-20.000000000000004</v>
      </c>
      <c r="X79" s="21">
        <f>Nøgletal!T37*Nøgletal!T38*Nøgletal!T45/Nøgletal!U393*-1</f>
        <v>-135.5075384615385</v>
      </c>
      <c r="Y79" s="21">
        <f>Nøgletal!T37*Nøgletal!T38*Nøgletal!T44/Nøgletal!U392*-1</f>
        <v>-82.000000000000014</v>
      </c>
      <c r="Z79" s="21"/>
      <c r="AA79" s="21"/>
      <c r="AB79" s="21"/>
      <c r="AC79" s="79">
        <f>-(Nøgletal!T31/Nøgletal!T$385+Nøgletal!T32/Nøgletal!T$386+Nøgletal!T33/Nøgletal!T$387+Nøgletal!T30/Nøgletal!T382+Nøgletal!T37*Nøgletal!T38*Nøgletal!T48/Nøgletal!T384+Nøgletal!T37*Nøgletal!T38*Nøgletal!T49/Nøgletal!T383+Nøgletal!T37*Nøgletal!T38*Nøgletal!T41/Nøgletal!U388)</f>
        <v>-259.61592394533574</v>
      </c>
      <c r="AD79" s="21">
        <f>Nøgletal!T37*Nøgletal!T39*-1</f>
        <v>-1036.55515067748</v>
      </c>
      <c r="AE79" s="21"/>
      <c r="AF79" s="21"/>
      <c r="AG79" s="21"/>
      <c r="AH79" s="21"/>
      <c r="AI79" s="21"/>
      <c r="AJ79" s="105">
        <f t="shared" si="56"/>
        <v>-1590.3937380843543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1467.4761506774801</v>
      </c>
      <c r="AP79" s="37">
        <f t="shared" si="68"/>
        <v>0.92271248027238228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Nøgletal!T28</f>
        <v>1467.4761506774801</v>
      </c>
      <c r="BX79" s="79"/>
      <c r="BY79" s="127">
        <f t="shared" si="67"/>
        <v>122.91758740687419</v>
      </c>
      <c r="BZ79" s="123">
        <f>(C79*Emissionsfaktorer!$J$4+E79*Emissionsfaktorer!$J$3+F79*Emissionsfaktorer!$J$5+H79*Emissionsfaktorer!$J$7+I79*Emissionsfaktorer!$J$8+J79*Emissionsfaktorer!$J$9+K79*Emissionsfaktorer!$J$10+L79*Emissionsfaktorer!$J$11+M79*Emissionsfaktorer!$J$12)*-1</f>
        <v>3.9129542500000003</v>
      </c>
      <c r="CA79" s="231"/>
      <c r="CB79" s="231"/>
    </row>
    <row r="80" spans="1:80" x14ac:dyDescent="0.25">
      <c r="A80" s="231"/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-274.35686274509806</v>
      </c>
      <c r="AD80" s="21">
        <f>SUM(AD81:AD83)</f>
        <v>-480.85968587496006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-755.21654862005812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713.85968587496006</v>
      </c>
      <c r="AP80" s="37">
        <f t="shared" si="68"/>
        <v>0.94523840503671974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713.85968587496006</v>
      </c>
      <c r="BX80" s="79"/>
      <c r="BY80" s="230">
        <f>SUM(BY81:BY83)</f>
        <v>41.356862745098056</v>
      </c>
      <c r="BZ80" s="123">
        <f>(C80*Emissionsfaktorer!$J$4+E80*Emissionsfaktorer!$J$3+F80*Emissionsfaktorer!$J$5+H80*Emissionsfaktorer!$J$7+I80*Emissionsfaktorer!$J$8+J80*Emissionsfaktorer!$J$9+K80*Emissionsfaktorer!$J$10+L80*Emissionsfaktorer!$J$11+M80*Emissionsfaktorer!$J$12)*-1</f>
        <v>0</v>
      </c>
      <c r="CA80" s="231"/>
      <c r="CB80" s="231"/>
    </row>
    <row r="81" spans="1:80" x14ac:dyDescent="0.25">
      <c r="A81" s="231"/>
      <c r="B81" s="31"/>
      <c r="C81" s="32"/>
      <c r="D81" s="32"/>
      <c r="E81" s="32">
        <f>Nøgletal!T65*Nøgletal!T66*Nøgletal!T71/Nøgletal!U391*-1</f>
        <v>0</v>
      </c>
      <c r="F81" s="32"/>
      <c r="G81" s="23">
        <f t="shared" si="29"/>
        <v>0</v>
      </c>
      <c r="H81" s="32">
        <f>Nøgletal!T62/Nøgletal!U389*-1</f>
        <v>0</v>
      </c>
      <c r="I81" s="32"/>
      <c r="J81" s="32">
        <f>Nøgletal!T65*Nøgletal!T66*Nøgletal!T70/Nøgletal!U390*-1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Nøgletal!T65*Nøgletal!T66*Nøgletal!T75/Nøgletal!U395*-1</f>
        <v>0</v>
      </c>
      <c r="R81" s="32"/>
      <c r="S81" s="32">
        <f>Nøgletal!T65*Nøgletal!T66*Nøgletal!T69*(1-1/Nøgletal!U388)*-1</f>
        <v>0</v>
      </c>
      <c r="T81" s="23">
        <f t="shared" si="30"/>
        <v>0</v>
      </c>
      <c r="U81" s="32"/>
      <c r="V81" s="32"/>
      <c r="W81" s="32">
        <f>Nøgletal!T65*Nøgletal!T66*Nøgletal!T74/Nøgletal!U394*-1</f>
        <v>0</v>
      </c>
      <c r="X81" s="32">
        <f>Nøgletal!T65*Nøgletal!T66*Nøgletal!T73/Nøgletal!U393*-1</f>
        <v>0</v>
      </c>
      <c r="Y81" s="32">
        <f>Nøgletal!T65*Nøgletal!T66*Nøgletal!T72/Nøgletal!U392*-1</f>
        <v>0</v>
      </c>
      <c r="Z81" s="32"/>
      <c r="AA81" s="32"/>
      <c r="AB81" s="32"/>
      <c r="AC81" s="78">
        <f>-(Nøgletal!T59/Nøgletal!T$385+Nøgletal!T60/Nøgletal!T$386+Nøgletal!T61/Nøgletal!T$387+Nøgletal!T65*Nøgletal!T66*Nøgletal!T76/Nøgletal!T384+Nøgletal!T65*Nøgletal!T66*Nøgletal!T69/Nøgletal!U388+Nøgletal!T77*Nøgletal!T65*Nøgletal!T66/Nøgletal!T383)</f>
        <v>-137.90588235294118</v>
      </c>
      <c r="AD81" s="32">
        <f>Nøgletal!T65*Nøgletal!T67*-1</f>
        <v>-157.63281093252002</v>
      </c>
      <c r="AE81" s="32"/>
      <c r="AF81" s="32"/>
      <c r="AG81" s="32"/>
      <c r="AH81" s="32"/>
      <c r="AI81" s="32"/>
      <c r="AJ81" s="105">
        <f t="shared" si="56"/>
        <v>-295.53869328546119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261.83281093252003</v>
      </c>
      <c r="AP81" s="37">
        <f t="shared" si="68"/>
        <v>0.88595103409899489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Nøgletal!T57</f>
        <v>261.83281093252003</v>
      </c>
      <c r="BX81" s="78"/>
      <c r="BY81" s="127">
        <f>(AJ81+BW81)*-1</f>
        <v>33.70588235294116</v>
      </c>
      <c r="BZ81" s="123">
        <f>(C81*Emissionsfaktorer!$J$4+E81*Emissionsfaktorer!$J$3+F81*Emissionsfaktorer!$J$5+H81*Emissionsfaktorer!$J$7+I81*Emissionsfaktorer!$J$8+J81*Emissionsfaktorer!$J$9+K81*Emissionsfaktorer!$J$10+L81*Emissionsfaktorer!$J$11+M81*Emissionsfaktorer!$J$12)*-1</f>
        <v>0</v>
      </c>
      <c r="CA81" s="231"/>
      <c r="CB81" s="231"/>
    </row>
    <row r="82" spans="1:80" x14ac:dyDescent="0.25">
      <c r="A82" s="231"/>
      <c r="B82" s="31"/>
      <c r="C82" s="32"/>
      <c r="D82" s="32"/>
      <c r="E82" s="32">
        <f>Nøgletal!T93*Nøgletal!T94*Nøgletal!T99/Nøgletal!U391*-1</f>
        <v>0</v>
      </c>
      <c r="F82" s="32"/>
      <c r="G82" s="23">
        <f t="shared" si="29"/>
        <v>0</v>
      </c>
      <c r="H82" s="32">
        <f>Nøgletal!T90/Nøgletal!U389*-1</f>
        <v>0</v>
      </c>
      <c r="I82" s="32"/>
      <c r="J82" s="32">
        <f>Nøgletal!T93*Nøgletal!T94*Nøgletal!T98/Nøgletal!U390*-1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Nøgletal!T93*Nøgletal!T94*Nøgletal!T103/Nøgletal!U395*-1</f>
        <v>0</v>
      </c>
      <c r="R82" s="32"/>
      <c r="S82" s="32">
        <f>Nøgletal!T93*Nøgletal!T94*Nøgletal!T97*(1-1/Nøgletal!U388)*-1</f>
        <v>0</v>
      </c>
      <c r="T82" s="23">
        <f t="shared" si="30"/>
        <v>0</v>
      </c>
      <c r="U82" s="32"/>
      <c r="V82" s="32"/>
      <c r="W82" s="32">
        <f>Nøgletal!T93*Nøgletal!T94*Nøgletal!T102/Nøgletal!U394*-1</f>
        <v>0</v>
      </c>
      <c r="X82" s="32">
        <f>Nøgletal!T93*Nøgletal!T94*Nøgletal!T101/Nøgletal!U393*-1</f>
        <v>0</v>
      </c>
      <c r="Y82" s="32">
        <f>Nøgletal!T93*Nøgletal!T94*Nøgletal!T100/Nøgletal!U392*-1</f>
        <v>0</v>
      </c>
      <c r="Z82" s="32"/>
      <c r="AA82" s="32"/>
      <c r="AB82" s="32"/>
      <c r="AC82" s="78">
        <f>-(Nøgletal!T87/Nøgletal!T$385+Nøgletal!T88/Nøgletal!T$386+Nøgletal!T89/Nøgletal!T$387+Nøgletal!T93*Nøgletal!T94*(Nøgletal!T97/Nøgletal!U388+Nøgletal!T104/Nøgletal!T384+Nøgletal!T105/Nøgletal!T383))</f>
        <v>-64.61960784313726</v>
      </c>
      <c r="AD82" s="32">
        <f>Nøgletal!T93*Nøgletal!T95*-1</f>
        <v>-211.76933185884002</v>
      </c>
      <c r="AE82" s="32"/>
      <c r="AF82" s="32"/>
      <c r="AG82" s="32"/>
      <c r="AH82" s="32"/>
      <c r="AI82" s="32"/>
      <c r="AJ82" s="105">
        <f t="shared" si="56"/>
        <v>-276.38893970197728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272.76933185884002</v>
      </c>
      <c r="AP82" s="37">
        <f t="shared" si="68"/>
        <v>0.98690393382947894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Nøgletal!T85</f>
        <v>272.76933185884002</v>
      </c>
      <c r="BX82" s="78"/>
      <c r="BY82" s="127">
        <f>(AJ82+BW82)*-1</f>
        <v>3.6196078431372598</v>
      </c>
      <c r="BZ82" s="123">
        <f>(C82*Emissionsfaktorer!$J$4+E82*Emissionsfaktorer!$J$3+F82*Emissionsfaktorer!$J$5+H82*Emissionsfaktorer!$J$7+I82*Emissionsfaktorer!$J$8+J82*Emissionsfaktorer!$J$9+K82*Emissionsfaktorer!$J$10+L82*Emissionsfaktorer!$J$11+M82*Emissionsfaktorer!$J$12)*-1</f>
        <v>0</v>
      </c>
      <c r="CA82" s="231"/>
      <c r="CB82" s="231"/>
    </row>
    <row r="83" spans="1:80" x14ac:dyDescent="0.25">
      <c r="A83" s="231"/>
      <c r="B83" s="31"/>
      <c r="C83" s="32"/>
      <c r="D83" s="32"/>
      <c r="E83" s="32">
        <f>Nøgletal!T121*Nøgletal!T122*Nøgletal!T127/Nøgletal!U391*-1</f>
        <v>0</v>
      </c>
      <c r="F83" s="32"/>
      <c r="G83" s="23">
        <f t="shared" si="29"/>
        <v>0</v>
      </c>
      <c r="H83" s="32">
        <f>Nøgletal!T118/Nøgletal!U389*-1</f>
        <v>0</v>
      </c>
      <c r="I83" s="32"/>
      <c r="J83" s="32">
        <f>Nøgletal!T121*Nøgletal!T122*Nøgletal!T126/Nøgletal!U390*-1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Nøgletal!T121*Nøgletal!T122*Nøgletal!T131/Nøgletal!U395*-1</f>
        <v>0</v>
      </c>
      <c r="R83" s="32"/>
      <c r="S83" s="32">
        <f>Nøgletal!T121*Nøgletal!T122*Nøgletal!T125*(1-1/Nøgletal!U388)*-1</f>
        <v>0</v>
      </c>
      <c r="T83" s="23">
        <f t="shared" si="30"/>
        <v>0</v>
      </c>
      <c r="U83" s="32"/>
      <c r="V83" s="32"/>
      <c r="W83" s="32">
        <f>Nøgletal!T121*Nøgletal!T122*Nøgletal!T130/Nøgletal!U394*-1</f>
        <v>0</v>
      </c>
      <c r="X83" s="32">
        <f>Nøgletal!T121*Nøgletal!T122*Nøgletal!T129/Nøgletal!U392*-1</f>
        <v>0</v>
      </c>
      <c r="Y83" s="32">
        <f>Nøgletal!T121*Nøgletal!T122*Nøgletal!T128/Nøgletal!U392*-1</f>
        <v>0</v>
      </c>
      <c r="Z83" s="32"/>
      <c r="AA83" s="32"/>
      <c r="AB83" s="32"/>
      <c r="AC83" s="78">
        <f>-(Nøgletal!T115/Nøgletal!T$385+Nøgletal!T116/Nøgletal!T$386+Nøgletal!T117/Nøgletal!T$387+Nøgletal!T121*Nøgletal!T122*(Nøgletal!T125/Nøgletal!U388+Nøgletal!T132/Nøgletal!T384+Nøgletal!T133/Nøgletal!T383))</f>
        <v>-71.831372549019605</v>
      </c>
      <c r="AD83" s="32">
        <f>Nøgletal!T121*Nøgletal!T123*-1</f>
        <v>-111.45754308360003</v>
      </c>
      <c r="AE83" s="32"/>
      <c r="AF83" s="32"/>
      <c r="AG83" s="32"/>
      <c r="AH83" s="32"/>
      <c r="AI83" s="32"/>
      <c r="AJ83" s="105">
        <f t="shared" si="56"/>
        <v>-183.28891563261965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179.25754308360001</v>
      </c>
      <c r="AP83" s="37">
        <f t="shared" si="68"/>
        <v>0.97800536636323365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Nøgletal!T113</f>
        <v>179.25754308360001</v>
      </c>
      <c r="BX83" s="78"/>
      <c r="BY83" s="127">
        <f>(AJ83+BW83)*-1</f>
        <v>4.0313725490196362</v>
      </c>
      <c r="BZ83" s="123">
        <f>(C83*Emissionsfaktorer!$J$4+E83*Emissionsfaktorer!$J$3+F83*Emissionsfaktorer!$J$5+H83*Emissionsfaktorer!$J$7+I83*Emissionsfaktorer!$J$8+J83*Emissionsfaktorer!$J$9+K83*Emissionsfaktorer!$J$10+L83*Emissionsfaktorer!$J$11+M83*Emissionsfaktorer!$J$12)*-1</f>
        <v>0</v>
      </c>
      <c r="CA83" s="231"/>
      <c r="CB83" s="231"/>
    </row>
    <row r="84" spans="1:80" s="231" customFormat="1" x14ac:dyDescent="0.25"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-753</v>
      </c>
      <c r="F84" s="266">
        <f t="shared" si="71"/>
        <v>0</v>
      </c>
      <c r="G84" s="266">
        <f t="shared" si="71"/>
        <v>-75.639999999999986</v>
      </c>
      <c r="H84" s="266">
        <f t="shared" si="71"/>
        <v>-13.349999999999998</v>
      </c>
      <c r="I84" s="266">
        <f t="shared" si="71"/>
        <v>0</v>
      </c>
      <c r="J84" s="266">
        <f t="shared" si="71"/>
        <v>-27.38</v>
      </c>
      <c r="K84" s="266">
        <f t="shared" si="71"/>
        <v>-34.909999999999997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0</v>
      </c>
      <c r="U84" s="266">
        <f t="shared" si="71"/>
        <v>0</v>
      </c>
      <c r="V84" s="266">
        <f t="shared" si="71"/>
        <v>0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-635.14901960784323</v>
      </c>
      <c r="AD84" s="266">
        <f t="shared" si="71"/>
        <v>-74.835778927560014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-142.40040000000002</v>
      </c>
      <c r="AI84" s="266">
        <f t="shared" si="71"/>
        <v>0</v>
      </c>
      <c r="AJ84" s="105">
        <f>SUM(AJ85:AJ88)</f>
        <v>-1538.6247985354032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1495.0714789275601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1495.0714789275601</v>
      </c>
      <c r="BX84" s="266">
        <f t="shared" si="72"/>
        <v>0</v>
      </c>
      <c r="BY84" s="123">
        <f t="shared" si="72"/>
        <v>43.553319607843157</v>
      </c>
      <c r="BZ84" s="123">
        <f t="shared" si="72"/>
        <v>48.372844999999998</v>
      </c>
    </row>
    <row r="85" spans="1:80" x14ac:dyDescent="0.25">
      <c r="A85" s="231"/>
      <c r="B85" s="31"/>
      <c r="C85" s="32"/>
      <c r="D85" s="32"/>
      <c r="E85" s="32">
        <f>Nøgletal!T149*Nøgletal!T150*Nøgletal!T155/Nøgletal!U391*-1</f>
        <v>0</v>
      </c>
      <c r="F85" s="32"/>
      <c r="G85" s="23">
        <f>SUM(H85:M85)</f>
        <v>0</v>
      </c>
      <c r="H85" s="32">
        <f>Nøgletal!T146/Nøgletal!U389*-1</f>
        <v>0</v>
      </c>
      <c r="I85" s="32"/>
      <c r="J85" s="32">
        <f>Nøgletal!T149*Nøgletal!T150*Nøgletal!T154/Nøgletal!U390*-1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Nøgletal!T149*Nøgletal!T150*Nøgletal!T159/Nøgletal!U395*-1</f>
        <v>0</v>
      </c>
      <c r="R85" s="32"/>
      <c r="S85" s="32">
        <f>Nøgletal!T149*Nøgletal!T150*Nøgletal!T153*(1-1/Nøgletal!U388)*-1</f>
        <v>0</v>
      </c>
      <c r="T85" s="23">
        <f>SUM(U85:AB85)</f>
        <v>0</v>
      </c>
      <c r="U85" s="32"/>
      <c r="V85" s="32"/>
      <c r="W85" s="32">
        <f>Nøgletal!T149*Nøgletal!T150*Nøgletal!T158/Nøgletal!U394*-1</f>
        <v>0</v>
      </c>
      <c r="X85" s="32">
        <f>Nøgletal!T149*Nøgletal!T150*Nøgletal!T157/Nøgletal!U393*-1</f>
        <v>0</v>
      </c>
      <c r="Y85" s="32">
        <f>Nøgletal!T149*Nøgletal!T150*Nøgletal!T156/Nøgletal!U392*-1</f>
        <v>0</v>
      </c>
      <c r="Z85" s="32"/>
      <c r="AA85" s="32"/>
      <c r="AB85" s="32"/>
      <c r="AC85" s="78">
        <f>-(Nøgletal!T143/Nøgletal!T$385+Nøgletal!T144/Nøgletal!T$386+Nøgletal!T145/Nøgletal!T$387+Nøgletal!T149*Nøgletal!T150*(Nøgletal!T153/Nøgletal!U388+Nøgletal!T160/Nøgletal!T384+Nøgletal!T161/Nøgletal!T383))</f>
        <v>-5.1529411764705886</v>
      </c>
      <c r="AD85" s="32">
        <f>Nøgletal!T149*Nøgletal!T151*-1</f>
        <v>0</v>
      </c>
      <c r="AE85" s="32"/>
      <c r="AF85" s="32"/>
      <c r="AG85" s="32"/>
      <c r="AH85" s="32"/>
      <c r="AI85" s="32"/>
      <c r="AJ85" s="105">
        <f>SUM(C85:G85,N85,T85,AC85:AG85)</f>
        <v>-5.1529411764705886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4.5</v>
      </c>
      <c r="AP85" s="37">
        <f t="shared" si="68"/>
        <v>0.87328767123287665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Nøgletal!T141</f>
        <v>4.5</v>
      </c>
      <c r="BX85" s="78"/>
      <c r="BY85" s="127">
        <f>(AJ85+BW85)*-1</f>
        <v>0.65294117647058858</v>
      </c>
      <c r="BZ85" s="123">
        <f>(C85*Emissionsfaktorer!$J$4+E85*Emissionsfaktorer!$J$3+F85*Emissionsfaktorer!$J$5+H85*Emissionsfaktorer!$J$7+I85*Emissionsfaktorer!$J$8+J85*Emissionsfaktorer!$J$9+K85*Emissionsfaktorer!$J$10+L85*Emissionsfaktorer!$J$11+M85*Emissionsfaktorer!$J$12)*-1</f>
        <v>0</v>
      </c>
      <c r="CA85" s="231"/>
      <c r="CB85" s="231"/>
    </row>
    <row r="86" spans="1:80" x14ac:dyDescent="0.25">
      <c r="A86" s="231"/>
      <c r="B86" s="31"/>
      <c r="C86" s="32"/>
      <c r="D86" s="32"/>
      <c r="E86" s="78">
        <f>Nøgletal!T181*Nøgletal!T182*Nøgletal!T187/Nøgletal!U391*-1+Nøgletal!T177/Nøgletal!U397*Nøgletal!T413*-1+Nøgletal!T178/Nøgletal!U398*Nøgletal!T424*-1</f>
        <v>-753</v>
      </c>
      <c r="F86" s="32">
        <f>Nøgletal!T178/Nøgletal!U398*Nøgletal!T427*-1</f>
        <v>0</v>
      </c>
      <c r="G86" s="23">
        <f>SUM(H86:M86)</f>
        <v>-40.729999999999997</v>
      </c>
      <c r="H86" s="32">
        <f>Nøgletal!T175/Nøgletal!U389*-1</f>
        <v>-13.349999999999998</v>
      </c>
      <c r="I86" s="32">
        <f>Nøgletal!T178/Nøgletal!U398*Nøgletal!T425*-1</f>
        <v>0</v>
      </c>
      <c r="J86" s="32">
        <f>Nøgletal!T181*Nøgletal!T182*Nøgletal!T186/Nøgletal!U390*-1+Nøgletal!T176/Nøgletal!U396*Nøgletal!T416*-1</f>
        <v>-27.38</v>
      </c>
      <c r="K86" s="32"/>
      <c r="L86" s="32"/>
      <c r="M86" s="32"/>
      <c r="N86" s="23">
        <f>SUM(O86:S86)</f>
        <v>0</v>
      </c>
      <c r="O86" s="32"/>
      <c r="P86" s="32"/>
      <c r="Q86" s="32">
        <f>Nøgletal!T181*Nøgletal!T182*Nøgletal!T191/Nøgletal!U395*-1</f>
        <v>0</v>
      </c>
      <c r="R86" s="32"/>
      <c r="S86" s="32">
        <f>Nøgletal!T181*Nøgletal!T182*Nøgletal!T185*(1-1/Nøgletal!U388)*-1</f>
        <v>0</v>
      </c>
      <c r="T86" s="23">
        <f>SUM(U86:AB86)</f>
        <v>0</v>
      </c>
      <c r="U86" s="32"/>
      <c r="V86" s="32"/>
      <c r="W86" s="32">
        <f>Nøgletal!T181*Nøgletal!T182*Nøgletal!T190/Nøgletal!U394*-1</f>
        <v>0</v>
      </c>
      <c r="X86" s="32">
        <f>Nøgletal!$T$177/Nøgletal!$U$397*Nøgletal!$T$414*-1+Nøgletal!T176/Nøgletal!U396*Nøgletal!T417*-1</f>
        <v>0</v>
      </c>
      <c r="Y86" s="32">
        <f>Nøgletal!T178/Nøgletal!U398*Nøgletal!T426*-1</f>
        <v>0</v>
      </c>
      <c r="Z86" s="32"/>
      <c r="AA86" s="32"/>
      <c r="AB86" s="32"/>
      <c r="AC86" s="78">
        <f>-(Nøgletal!T171/Nøgletal!T$385+Nøgletal!T172/Nøgletal!T$386+Nøgletal!T173/Nøgletal!T$387+Nøgletal!T181*Nøgletal!T182*(Nøgletal!T185/Nøgletal!U388+Nøgletal!T192/Nøgletal!T384+Nøgletal!T193/Nøgletal!T383))</f>
        <v>-620.09411764705897</v>
      </c>
      <c r="AD86" s="32">
        <f>(Nøgletal!T181*Nøgletal!T183+Nøgletal!T202)*-1</f>
        <v>-50.952019695360008</v>
      </c>
      <c r="AE86" s="32"/>
      <c r="AF86" s="32"/>
      <c r="AG86" s="32"/>
      <c r="AH86" s="269">
        <f>AH68</f>
        <v>-142.40040000000002</v>
      </c>
      <c r="AI86" s="32"/>
      <c r="AJ86" s="105">
        <f>SUM(C86:G86,N86,T86,AC86:AG86)</f>
        <v>-1464.7761373424189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1447.0674196953601</v>
      </c>
      <c r="AP86" s="37">
        <f t="shared" si="68"/>
        <v>0.98791029072934777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Nøgletal!T169</f>
        <v>1447.0674196953601</v>
      </c>
      <c r="BX86" s="78"/>
      <c r="BY86" s="127">
        <f>(AJ86+BW86)*-1</f>
        <v>17.708717647058847</v>
      </c>
      <c r="BZ86" s="123">
        <f>(C86*Emissionsfaktorer!$J$4+E86*Emissionsfaktorer!$J$3+F86*Emissionsfaktorer!$J$5+H86*Emissionsfaktorer!$J$7+I86*Emissionsfaktorer!$J$8+J86*Emissionsfaktorer!$J$9+K86*Emissionsfaktorer!$J$10+L86*Emissionsfaktorer!$J$11+M86*Emissionsfaktorer!$J$12)*-1</f>
        <v>45.789504999999998</v>
      </c>
      <c r="CA86" s="231"/>
      <c r="CB86" s="231"/>
    </row>
    <row r="87" spans="1:80" x14ac:dyDescent="0.25">
      <c r="A87" s="231"/>
      <c r="B87" s="31"/>
      <c r="C87" s="32"/>
      <c r="D87" s="32"/>
      <c r="E87" s="32">
        <f>Nøgletal!T211*Nøgletal!T212*Nøgletal!T217/Nøgletal!U391*-1</f>
        <v>0</v>
      </c>
      <c r="F87" s="32"/>
      <c r="G87" s="23">
        <f>SUM(H87:M87)</f>
        <v>0</v>
      </c>
      <c r="H87" s="32">
        <f>Nøgletal!T208/Nøgletal!U389*-1</f>
        <v>0</v>
      </c>
      <c r="I87" s="149"/>
      <c r="J87" s="32">
        <f>Nøgletal!T211*Nøgletal!T212*Nøgletal!T216/Nøgletal!U390*-1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Nøgletal!T211*Nøgletal!T212*Nøgletal!T221/Nøgletal!U395*-1</f>
        <v>0</v>
      </c>
      <c r="R87" s="32"/>
      <c r="S87" s="32">
        <f>Nøgletal!T211*Nøgletal!T212*Nøgletal!T215*(1-1/Nøgletal!U388)*-1</f>
        <v>0</v>
      </c>
      <c r="T87" s="23">
        <f>SUM(U87:AB87)</f>
        <v>0</v>
      </c>
      <c r="U87" s="32"/>
      <c r="V87" s="32"/>
      <c r="W87" s="32">
        <f>Nøgletal!T211*Nøgletal!T212*Nøgletal!T220/Nøgletal!U394*-1</f>
        <v>0</v>
      </c>
      <c r="X87" s="32">
        <f>Nøgletal!T211*Nøgletal!T212*Nøgletal!T219/Nøgletal!U393*-1</f>
        <v>0</v>
      </c>
      <c r="Y87" s="32">
        <f>Nøgletal!T211*Nøgletal!T212*Nøgletal!T218/Nøgletal!U392*-1</f>
        <v>0</v>
      </c>
      <c r="Z87" s="32"/>
      <c r="AA87" s="32"/>
      <c r="AB87" s="32"/>
      <c r="AC87" s="78">
        <f>-(Nøgletal!T205/Nøgletal!T$385+Nøgletal!T206/Nøgletal!T$386+Nøgletal!T207/Nøgletal!T$387+Nøgletal!T211*Nøgletal!T212*(Nøgletal!T215/Nøgletal!U388+Nøgletal!T222/Nøgletal!T384+Nøgletal!T223/Nøgletal!T383))</f>
        <v>-0.4705882352941177</v>
      </c>
      <c r="AD87" s="32">
        <f>Nøgletal!T211*Nøgletal!T213*-1</f>
        <v>-23.883759232200003</v>
      </c>
      <c r="AE87" s="32"/>
      <c r="AF87" s="32"/>
      <c r="AG87" s="32"/>
      <c r="AH87" s="32"/>
      <c r="AI87" s="32"/>
      <c r="AJ87" s="105">
        <f>SUM(C87:G87,N87,T87,AC87:AG87)</f>
        <v>-24.354347467494119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24.283759232200001</v>
      </c>
      <c r="AP87" s="37">
        <f t="shared" si="68"/>
        <v>0.99710161664613139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Nøgletal!T203</f>
        <v>24.283759232200001</v>
      </c>
      <c r="BX87" s="78"/>
      <c r="BY87" s="127">
        <f>(AJ87+BW87)*-1</f>
        <v>7.0588235294117396E-2</v>
      </c>
      <c r="BZ87" s="123">
        <f>(C87*Emissionsfaktorer!$J$4+E87*Emissionsfaktorer!$J$3+F87*Emissionsfaktorer!$J$5+H87*Emissionsfaktorer!$J$7+I87*Emissionsfaktorer!$J$8+J87*Emissionsfaktorer!$J$9+K87*Emissionsfaktorer!$J$10+L87*Emissionsfaktorer!$J$11+M87*Emissionsfaktorer!$J$12)*-1</f>
        <v>0</v>
      </c>
      <c r="CA87" s="231"/>
      <c r="CB87" s="231"/>
    </row>
    <row r="88" spans="1:80" x14ac:dyDescent="0.25">
      <c r="A88" s="231"/>
      <c r="B88" s="31"/>
      <c r="C88" s="32"/>
      <c r="D88" s="32"/>
      <c r="E88" s="32">
        <f>(Nøgletal!T236/Nøgletal!T406*Nøgletal!T696+Nøgletal!T240*Nøgletal!T241*Nøgletal!T246/Nøgletal!U391)*-1</f>
        <v>0</v>
      </c>
      <c r="F88" s="32"/>
      <c r="G88" s="23">
        <f>SUM(H88:M88)</f>
        <v>-34.909999999999997</v>
      </c>
      <c r="H88" s="32">
        <f>Nøgletal!T237/Nøgletal!U389*-1</f>
        <v>0</v>
      </c>
      <c r="I88" s="32"/>
      <c r="J88" s="32">
        <f>Nøgletal!T240*Nøgletal!T241*Nøgletal!T245/Nøgletal!U390*-1</f>
        <v>0</v>
      </c>
      <c r="K88" s="78">
        <f>Nøgletal!T236/Nøgletal!T406*Nøgletal!T692*-1</f>
        <v>-34.909999999999997</v>
      </c>
      <c r="L88" s="32"/>
      <c r="M88" s="32">
        <f>Nøgletal!T236/Nøgletal!T406*Nøgletal!T693*-1</f>
        <v>0</v>
      </c>
      <c r="N88" s="23">
        <f>SUM(O88:S88)</f>
        <v>0</v>
      </c>
      <c r="O88" s="32"/>
      <c r="P88" s="32"/>
      <c r="Q88" s="32">
        <f>Nøgletal!T240*Nøgletal!T241*Nøgletal!T250/Nøgletal!U395*-1</f>
        <v>0</v>
      </c>
      <c r="R88" s="32"/>
      <c r="S88" s="32">
        <f>Nøgletal!T240*Nøgletal!T241*Nøgletal!T244*(1-1/Nøgletal!U388)*-1</f>
        <v>0</v>
      </c>
      <c r="T88" s="23">
        <f>SUM(U88:AB88)</f>
        <v>0</v>
      </c>
      <c r="U88" s="32">
        <f>Nøgletal!T236*Nøgletal!T695/Nøgletal!T406*-1</f>
        <v>0</v>
      </c>
      <c r="V88" s="32">
        <f>Nøgletal!T236*Nøgletal!T697/Nøgletal!T406*-1</f>
        <v>0</v>
      </c>
      <c r="W88" s="32">
        <f>Nøgletal!T240*Nøgletal!T241*Nøgletal!T249/Nøgletal!U394*-1</f>
        <v>0</v>
      </c>
      <c r="X88" s="32">
        <f>Nøgletal!T240*Nøgletal!T241*Nøgletal!T248/Nøgletal!U393*-1</f>
        <v>0</v>
      </c>
      <c r="Y88" s="32">
        <f>Nøgletal!T240*Nøgletal!T241*Nøgletal!T247/Nøgletal!U392*-1</f>
        <v>0</v>
      </c>
      <c r="Z88" s="32"/>
      <c r="AA88" s="32"/>
      <c r="AB88" s="32">
        <f>Nøgletal!T236*Nøgletal!T694/Nøgletal!T406*-1</f>
        <v>0</v>
      </c>
      <c r="AC88" s="78">
        <f>-(Nøgletal!T233/Nøgletal!T$385+Nøgletal!T234/Nøgletal!T$386+Nøgletal!T235/Nøgletal!T$387+Nøgletal!T236*Nøgletal!T698/Nøgletal!T406+Nøgletal!T240*Nøgletal!T241*(Nøgletal!T244/Nøgletal!U388+Nøgletal!T251/Nøgletal!T384+Nøgletal!T252/Nøgletal!T383))</f>
        <v>-9.4313725490196081</v>
      </c>
      <c r="AD88" s="32">
        <f>Nøgletal!T240*Nøgletal!T242</f>
        <v>0</v>
      </c>
      <c r="AE88" s="32"/>
      <c r="AF88" s="32"/>
      <c r="AG88" s="32"/>
      <c r="AH88" s="32"/>
      <c r="AI88" s="32"/>
      <c r="AJ88" s="105">
        <f>SUM(C88:G88,N88,T88,AC88:AG88)</f>
        <v>-44.341372549019603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19.220299999999998</v>
      </c>
      <c r="AP88" s="37">
        <f t="shared" si="68"/>
        <v>0.43346199937207319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Nøgletal!T231</f>
        <v>19.220299999999998</v>
      </c>
      <c r="BX88" s="78"/>
      <c r="BY88" s="127">
        <f>(AJ88+BW88)*-1</f>
        <v>25.121072549019605</v>
      </c>
      <c r="BZ88" s="123">
        <f>(C88*Emissionsfaktorer!$J$4+E88*Emissionsfaktorer!$J$3+F88*Emissionsfaktorer!$J$5+H88*Emissionsfaktorer!$J$7+I88*Emissionsfaktorer!$J$8+J88*Emissionsfaktorer!$J$9+K88*Emissionsfaktorer!$J$10+L88*Emissionsfaktorer!$J$11+M88*Emissionsfaktorer!$J$12)*-1</f>
        <v>2.5833399999999997</v>
      </c>
      <c r="CA88" s="231"/>
      <c r="CB88" s="231"/>
    </row>
    <row r="89" spans="1:80" x14ac:dyDescent="0.25">
      <c r="A89" s="231"/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-6007.130033502669</v>
      </c>
      <c r="AJ89" s="155">
        <f>AJ90+AJ101+AJ112+AJ117</f>
        <v>-6007.130033502669</v>
      </c>
      <c r="AK89" s="88" t="s">
        <v>274</v>
      </c>
      <c r="AL89" s="89" t="s">
        <v>275</v>
      </c>
      <c r="AM89" s="89"/>
      <c r="AN89" s="37"/>
      <c r="AO89" s="38">
        <f t="shared" si="61"/>
        <v>4213.3894299804006</v>
      </c>
      <c r="AP89" s="37">
        <f t="shared" si="68"/>
        <v>0.70139807303682344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4213.3894299804006</v>
      </c>
      <c r="BX89" s="82"/>
      <c r="BY89" s="128">
        <f>BY90+BY101+BY112+BY117</f>
        <v>1814.8835077655194</v>
      </c>
      <c r="BZ89" s="128">
        <f>BZ90+BZ101+BZ112+BZ117</f>
        <v>0</v>
      </c>
      <c r="CA89" s="231"/>
      <c r="CB89" s="301"/>
    </row>
    <row r="90" spans="1:80" x14ac:dyDescent="0.25">
      <c r="A90" s="231"/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-1980.4945482628543</v>
      </c>
      <c r="AJ90" s="156">
        <f>SUM(AJ91:AJ100)</f>
        <v>-1980.4945482628543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536.9821145004006</v>
      </c>
      <c r="AP90" s="146">
        <f t="shared" ref="AP90:AP127" si="73">BW90/IF(AJ90&lt;0,AJ90,1)*-1</f>
        <v>0.27113536614953182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536.9821145004006</v>
      </c>
      <c r="BX90" s="108"/>
      <c r="BY90" s="129">
        <f>SUM(BY91:BY100)</f>
        <v>1439.8553380057042</v>
      </c>
      <c r="BZ90" s="129">
        <f>SUM(BZ91:BZ100)</f>
        <v>0</v>
      </c>
      <c r="CA90" s="231"/>
      <c r="CB90" s="231"/>
    </row>
    <row r="91" spans="1:80" x14ac:dyDescent="0.25">
      <c r="A91" s="231"/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-537.75065931843051</v>
      </c>
      <c r="AJ91" s="156">
        <f>AO91/Nøgletal!T401*-1</f>
        <v>-537.75065931843051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107.55013186368612</v>
      </c>
      <c r="AP91" s="146">
        <f t="shared" si="73"/>
        <v>0.20000000000000004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231"/>
      <c r="BW91" s="78">
        <f>Nøgletal!T$282*Nøgletal!T286</f>
        <v>107.55013186368612</v>
      </c>
      <c r="BX91" s="119"/>
      <c r="BY91" s="127">
        <f t="shared" ref="BY91:BY98" si="76">(AJ91+BW91)*-1</f>
        <v>430.20052745474436</v>
      </c>
      <c r="BZ91" s="125">
        <v>0</v>
      </c>
      <c r="CA91" s="231"/>
      <c r="CB91" s="151"/>
    </row>
    <row r="92" spans="1:80" x14ac:dyDescent="0.25">
      <c r="A92" s="231"/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-416.37534740128029</v>
      </c>
      <c r="AJ92" s="156">
        <f>AO92/Nøgletal!T402*-1</f>
        <v>-416.37534740128029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104.09383685032007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231"/>
      <c r="BW92" s="78">
        <f>Nøgletal!T$282*Nøgletal!T287</f>
        <v>104.09383685032007</v>
      </c>
      <c r="BX92" s="119"/>
      <c r="BY92" s="127">
        <f t="shared" si="76"/>
        <v>312.28151055096021</v>
      </c>
      <c r="BZ92" s="125">
        <v>0</v>
      </c>
      <c r="CA92" s="231"/>
      <c r="CB92" s="151"/>
    </row>
    <row r="93" spans="1:80" x14ac:dyDescent="0.25">
      <c r="A93" s="231"/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-170.72999999999996</v>
      </c>
      <c r="AJ93" s="156">
        <f>AO93/IF(Nøgletal!T403&gt;0,Nøgletal!T403,1)*-1</f>
        <v>-170.72999999999996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42.68249999999999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231"/>
      <c r="BW93" s="78">
        <f>Nøgletal!T$282*Nøgletal!T288</f>
        <v>42.68249999999999</v>
      </c>
      <c r="BX93" s="119"/>
      <c r="BY93" s="127">
        <f t="shared" si="76"/>
        <v>128.04749999999996</v>
      </c>
      <c r="BZ93" s="125">
        <v>0</v>
      </c>
      <c r="CA93" s="231"/>
      <c r="CB93" s="151"/>
    </row>
    <row r="94" spans="1:80" x14ac:dyDescent="0.25">
      <c r="A94" s="231"/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-49.099999999999994</v>
      </c>
      <c r="AJ94" s="156">
        <f>AO94/Nøgletal!T404*-1</f>
        <v>-49.099999999999994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16.202999999999999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231"/>
      <c r="BW94" s="78">
        <f>Nøgletal!T$282*Nøgletal!T289</f>
        <v>16.202999999999999</v>
      </c>
      <c r="BX94" s="119"/>
      <c r="BY94" s="127">
        <f t="shared" si="76"/>
        <v>32.896999999999991</v>
      </c>
      <c r="BZ94" s="125">
        <v>0</v>
      </c>
      <c r="CA94" s="231"/>
      <c r="CB94" s="151"/>
    </row>
    <row r="95" spans="1:80" x14ac:dyDescent="0.25">
      <c r="A95" s="231"/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-330.7</v>
      </c>
      <c r="AJ95" s="156">
        <f>AO95/Nøgletal!T405*-1</f>
        <v>-330.7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109.131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231"/>
      <c r="BW95" s="78">
        <f>Nøgletal!T$282*Nøgletal!T290</f>
        <v>109.131</v>
      </c>
      <c r="BX95" s="119"/>
      <c r="BY95" s="127">
        <f t="shared" si="76"/>
        <v>221.56899999999999</v>
      </c>
      <c r="BZ95" s="125">
        <v>0</v>
      </c>
      <c r="CA95" s="231"/>
      <c r="CB95" s="151"/>
    </row>
    <row r="96" spans="1:80" x14ac:dyDescent="0.25">
      <c r="A96" s="231"/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-29.169999999999995</v>
      </c>
      <c r="AJ96" s="156">
        <f>AO96/Nøgletal!T407*-1</f>
        <v>-29.169999999999995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9.6260999999999992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231"/>
      <c r="BW96" s="78">
        <f>Nøgletal!T$282*Nøgletal!T291</f>
        <v>9.6260999999999992</v>
      </c>
      <c r="BX96" s="119"/>
      <c r="BY96" s="127">
        <f t="shared" si="76"/>
        <v>19.543899999999994</v>
      </c>
      <c r="BZ96" s="125">
        <v>0</v>
      </c>
      <c r="CA96" s="231"/>
      <c r="CB96" s="151"/>
    </row>
    <row r="97" spans="1:80" x14ac:dyDescent="0.25">
      <c r="A97" s="231"/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-385.77999999999992</v>
      </c>
      <c r="AJ97" s="156">
        <f>AO97/Nøgletal!T408*-1</f>
        <v>-385.77999999999992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127.30739999999999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231"/>
      <c r="BW97" s="78">
        <f>Nøgletal!T$282*Nøgletal!T292</f>
        <v>127.30739999999999</v>
      </c>
      <c r="BX97" s="119"/>
      <c r="BY97" s="127">
        <f t="shared" si="76"/>
        <v>258.47259999999994</v>
      </c>
      <c r="BZ97" s="125">
        <v>0</v>
      </c>
      <c r="CA97" s="231"/>
      <c r="CB97" s="151"/>
    </row>
    <row r="98" spans="1:80" x14ac:dyDescent="0.25">
      <c r="A98" s="231"/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-54.989999999999981</v>
      </c>
      <c r="AJ98" s="156">
        <f>AO98/Nøgletal!T409*-1</f>
        <v>-54.989999999999981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18.146699999999996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231"/>
      <c r="BW98" s="78">
        <f>Nøgletal!T$282*Nøgletal!T293</f>
        <v>18.146699999999996</v>
      </c>
      <c r="BX98" s="119"/>
      <c r="BY98" s="127">
        <f t="shared" si="76"/>
        <v>36.843299999999985</v>
      </c>
      <c r="BZ98" s="125">
        <v>0</v>
      </c>
      <c r="CA98" s="231"/>
      <c r="CB98" s="151"/>
    </row>
    <row r="99" spans="1:80" s="153" customFormat="1" x14ac:dyDescent="0.25">
      <c r="A99" s="231"/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0</v>
      </c>
      <c r="AJ99" s="156">
        <f>AO99/Nøgletal!T410*-1</f>
        <v>0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0</v>
      </c>
      <c r="AP99" s="146">
        <f t="shared" si="73"/>
        <v>0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231"/>
      <c r="BW99" s="78">
        <f>Nøgletal!T$282*Nøgletal!T284</f>
        <v>0</v>
      </c>
      <c r="BX99" s="119"/>
      <c r="BY99" s="147">
        <v>0</v>
      </c>
      <c r="BZ99" s="125">
        <v>0</v>
      </c>
      <c r="CA99" s="231"/>
      <c r="CB99" s="151"/>
    </row>
    <row r="100" spans="1:80" s="153" customFormat="1" x14ac:dyDescent="0.25">
      <c r="A100" s="231"/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-5.898541543143387</v>
      </c>
      <c r="AJ100" s="156">
        <f>AO100/Nøgletal!T411*-1</f>
        <v>-5.898541543143387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2.241445786394487</v>
      </c>
      <c r="AP100" s="146">
        <f t="shared" si="73"/>
        <v>0.38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231"/>
      <c r="BW100" s="78">
        <f>Nøgletal!T$282*Nøgletal!T285</f>
        <v>2.241445786394487</v>
      </c>
      <c r="BX100" s="119"/>
      <c r="BY100" s="147">
        <v>0</v>
      </c>
      <c r="BZ100" s="125">
        <v>0</v>
      </c>
      <c r="CA100" s="231"/>
      <c r="CB100" s="151"/>
    </row>
    <row r="101" spans="1:80" x14ac:dyDescent="0.25">
      <c r="A101" s="231"/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-1558.3845176470591</v>
      </c>
      <c r="AJ101" s="156">
        <f>SUM(AJ102:AJ111)</f>
        <v>-1558.3845176470591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1390.7267000000002</v>
      </c>
      <c r="AP101" s="146">
        <f t="shared" si="73"/>
        <v>0.8924156292952663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1390.7267000000002</v>
      </c>
      <c r="BX101" s="108"/>
      <c r="BY101" s="129">
        <f>SUM(BY102:BY111)</f>
        <v>192.45781764705885</v>
      </c>
      <c r="BZ101" s="129">
        <f>SUM(BZ102:BZ111)</f>
        <v>0</v>
      </c>
      <c r="CA101" s="231"/>
      <c r="CB101" s="19"/>
    </row>
    <row r="102" spans="1:80" x14ac:dyDescent="0.25">
      <c r="A102" s="231"/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-49.6</v>
      </c>
      <c r="AJ102" s="156">
        <f>AO102/Nøgletal!T386*-1</f>
        <v>-49.6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74.400000000000006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Nøgletal!T172</f>
        <v>74.400000000000006</v>
      </c>
      <c r="BX102" s="119"/>
      <c r="BY102" s="127">
        <v>0</v>
      </c>
      <c r="BZ102" s="125">
        <v>0</v>
      </c>
      <c r="CA102" s="231"/>
      <c r="CB102" s="19"/>
    </row>
    <row r="103" spans="1:80" x14ac:dyDescent="0.25">
      <c r="A103" s="231"/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-533.2941176470589</v>
      </c>
      <c r="AJ103" s="156">
        <f>AO103/Nøgletal!T387*-1</f>
        <v>-533.2941176470589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453.3</v>
      </c>
      <c r="AP103" s="146">
        <f t="shared" si="73"/>
        <v>0.84999999999999987</v>
      </c>
      <c r="AQ103" s="49"/>
      <c r="AR103" s="19"/>
      <c r="AS103" s="19"/>
      <c r="AT103" s="19"/>
      <c r="AU103" s="19"/>
      <c r="AV103" s="19"/>
      <c r="AW103" s="231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Nøgletal!T173</f>
        <v>453.3</v>
      </c>
      <c r="BX103" s="119"/>
      <c r="BY103" s="127">
        <f t="shared" ref="BY103:BY111" si="77">(AJ103+BW103)*-1</f>
        <v>79.994117647058886</v>
      </c>
      <c r="BZ103" s="125">
        <v>0</v>
      </c>
      <c r="CA103" s="231"/>
      <c r="CB103" s="19"/>
    </row>
    <row r="104" spans="1:80" x14ac:dyDescent="0.25">
      <c r="A104" s="231"/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-27.38</v>
      </c>
      <c r="AJ104" s="156">
        <f>AO104/Nøgletal!U396*-1</f>
        <v>-27.38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24.641999999999999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W104" s="231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Nøgletal!T176</f>
        <v>24.641999999999999</v>
      </c>
      <c r="BX104" s="119"/>
      <c r="BY104" s="127">
        <f t="shared" si="77"/>
        <v>2.7379999999999995</v>
      </c>
      <c r="BZ104" s="125">
        <v>0</v>
      </c>
      <c r="CA104" s="231"/>
      <c r="CB104" s="19"/>
    </row>
    <row r="105" spans="1:80" x14ac:dyDescent="0.25">
      <c r="A105" s="231"/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-753</v>
      </c>
      <c r="AJ105" s="156">
        <f>AO105/IF(Nøgletal!U397&gt;0,Nøgletal!U397,1)*-1</f>
        <v>-753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677.7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Nøgletal!T177</f>
        <v>677.7</v>
      </c>
      <c r="BX105" s="119"/>
      <c r="BY105" s="127">
        <f t="shared" si="77"/>
        <v>75.299999999999955</v>
      </c>
      <c r="BZ105" s="125">
        <v>0</v>
      </c>
      <c r="CA105" s="231"/>
      <c r="CB105" s="19"/>
    </row>
    <row r="106" spans="1:80" x14ac:dyDescent="0.25">
      <c r="A106" s="231"/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'2025'!AO106/Nøgletal!U398*-1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Nøgletal!T178</f>
        <v>0</v>
      </c>
      <c r="BX106" s="119"/>
      <c r="BY106" s="127">
        <f t="shared" si="77"/>
        <v>0</v>
      </c>
      <c r="BZ106" s="125">
        <v>0</v>
      </c>
      <c r="CA106" s="231"/>
      <c r="CB106" s="19"/>
    </row>
    <row r="107" spans="1:80" x14ac:dyDescent="0.25">
      <c r="A107" s="231"/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-4.45</v>
      </c>
      <c r="AJ107" s="156">
        <f>AO107/Nøgletal!U389*-1</f>
        <v>-4.45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1.6910000000000001</v>
      </c>
      <c r="AP107" s="146">
        <f t="shared" si="73"/>
        <v>0.38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Nøgletal!T34+Nøgletal!T62+Nøgletal!T90+Nøgletal!T118+Nøgletal!T146+Nøgletal!T208+Nøgletal!T237</f>
        <v>1.6910000000000001</v>
      </c>
      <c r="BX107" s="119"/>
      <c r="BY107" s="127">
        <f t="shared" si="77"/>
        <v>2.7590000000000003</v>
      </c>
      <c r="BZ107" s="125">
        <v>0</v>
      </c>
      <c r="CA107" s="231"/>
      <c r="CB107" s="19"/>
    </row>
    <row r="108" spans="1:80" x14ac:dyDescent="0.25">
      <c r="A108" s="231"/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-13.349999999999998</v>
      </c>
      <c r="AJ108" s="156">
        <f>AO108/Nøgletal!U389*-1</f>
        <v>-13.349999999999998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5.0729999999999995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Nøgletal!T175</f>
        <v>5.0729999999999995</v>
      </c>
      <c r="BX108" s="119"/>
      <c r="BY108" s="127">
        <f t="shared" si="77"/>
        <v>8.2769999999999975</v>
      </c>
      <c r="BZ108" s="125">
        <v>0</v>
      </c>
      <c r="CA108" s="231"/>
      <c r="CB108" s="19"/>
    </row>
    <row r="109" spans="1:80" x14ac:dyDescent="0.25">
      <c r="A109" s="231"/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-142.40040000000002</v>
      </c>
      <c r="AJ109" s="156">
        <f>AO109*-1</f>
        <v>-142.40040000000002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142.40040000000002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Nøgletal!T201</f>
        <v>142.40040000000002</v>
      </c>
      <c r="BX109" s="119"/>
      <c r="BY109" s="127">
        <f t="shared" si="77"/>
        <v>0</v>
      </c>
      <c r="BZ109" s="125">
        <v>0</v>
      </c>
      <c r="CA109" s="231"/>
      <c r="CB109" s="19"/>
    </row>
    <row r="110" spans="1:80" x14ac:dyDescent="0.25">
      <c r="A110" s="231"/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-34.909999999999997</v>
      </c>
      <c r="AJ110" s="156">
        <f>AO110/Nøgletal!T406*-1</f>
        <v>-34.909999999999997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11.520299999999999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231"/>
      <c r="BW110" s="78">
        <f>Nøgletal!T236</f>
        <v>11.520299999999999</v>
      </c>
      <c r="BX110" s="119"/>
      <c r="BY110" s="127">
        <f t="shared" si="77"/>
        <v>23.389699999999998</v>
      </c>
      <c r="BZ110" s="125">
        <v>0</v>
      </c>
      <c r="CA110" s="231"/>
      <c r="CB110" s="151"/>
    </row>
    <row r="111" spans="1:80" x14ac:dyDescent="0.25">
      <c r="A111" s="231"/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Nøgletal!T202</f>
        <v>0</v>
      </c>
      <c r="BX111" s="119"/>
      <c r="BY111" s="127">
        <f t="shared" si="77"/>
        <v>0</v>
      </c>
      <c r="BZ111" s="125">
        <v>0</v>
      </c>
      <c r="CA111" s="231"/>
      <c r="CB111" s="19"/>
    </row>
    <row r="112" spans="1:80" x14ac:dyDescent="0.25">
      <c r="A112" s="231"/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-561.24991087344029</v>
      </c>
      <c r="AJ112" s="157">
        <f>SUM(AJ113:AJ116)</f>
        <v>-561.24991087344029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463.9</v>
      </c>
      <c r="AP112" s="146">
        <f t="shared" si="73"/>
        <v>0.82654801544299517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463.9</v>
      </c>
      <c r="BX112" s="108"/>
      <c r="BY112" s="129">
        <f>SUM(BY113:BY116)</f>
        <v>97.349910873440294</v>
      </c>
      <c r="BZ112" s="129">
        <f>SUM(BZ113:BZ116)</f>
        <v>0</v>
      </c>
      <c r="CA112" s="231"/>
      <c r="CB112" s="231"/>
    </row>
    <row r="113" spans="1:80" x14ac:dyDescent="0.25">
      <c r="A113" s="231"/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-146.80000000000001</v>
      </c>
      <c r="AJ113" s="157">
        <f>AO113/Nøgletal!T385*-1</f>
        <v>-146.80000000000001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73.400000000000006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Nøgletal!T31+Nøgletal!T59+Nøgletal!T87+Nøgletal!T115+Nøgletal!T143+Nøgletal!T171+Nøgletal!T205+Nøgletal!T233</f>
        <v>73.400000000000006</v>
      </c>
      <c r="BX113" s="119"/>
      <c r="BY113" s="127">
        <f>(AJ113+BW113)*-1</f>
        <v>73.400000000000006</v>
      </c>
      <c r="BZ113" s="125">
        <v>0</v>
      </c>
      <c r="CA113" s="231"/>
      <c r="CB113" s="231"/>
    </row>
    <row r="114" spans="1:80" x14ac:dyDescent="0.25">
      <c r="A114" s="231"/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-36.363636363636367</v>
      </c>
      <c r="AJ114" s="157">
        <f>AO114/Nøgletal!T382*-1</f>
        <v>-36.363636363636367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16</v>
      </c>
      <c r="AP114" s="146">
        <f t="shared" si="73"/>
        <v>0.43999999999999995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Nøgletal!T30</f>
        <v>16</v>
      </c>
      <c r="BX114" s="119"/>
      <c r="BY114" s="127">
        <f>(AJ114+BW114)*-1</f>
        <v>20.363636363636367</v>
      </c>
      <c r="BZ114" s="125">
        <v>0</v>
      </c>
      <c r="CA114" s="231"/>
      <c r="CB114" s="231"/>
    </row>
    <row r="115" spans="1:80" x14ac:dyDescent="0.25">
      <c r="A115" s="231"/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-81.733333333333334</v>
      </c>
      <c r="AJ115" s="157">
        <f>AO115/Nøgletal!T386*-1</f>
        <v>-81.733333333333334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122.6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Nøgletal!T32+Nøgletal!T60+Nøgletal!T88+Nøgletal!T116+Nøgletal!T144+Nøgletal!T206+Nøgletal!T234</f>
        <v>122.6</v>
      </c>
      <c r="BX115" s="119"/>
      <c r="BY115" s="127">
        <f>(AJ115+BW115)*-1</f>
        <v>-40.86666666666666</v>
      </c>
      <c r="BZ115" s="125">
        <v>0</v>
      </c>
      <c r="CA115" s="231"/>
      <c r="CB115" s="231"/>
    </row>
    <row r="116" spans="1:80" x14ac:dyDescent="0.25">
      <c r="A116" s="231"/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-296.35294117647055</v>
      </c>
      <c r="AJ116" s="157">
        <f>AO116/Nøgletal!T387*-1</f>
        <v>-296.35294117647055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251.89999999999998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Nøgletal!T33+Nøgletal!T61+Nøgletal!T89+Nøgletal!T117+Nøgletal!T145+Nøgletal!T207+Nøgletal!T235</f>
        <v>251.89999999999998</v>
      </c>
      <c r="BX116" s="119"/>
      <c r="BY116" s="127">
        <f>(AJ116+BW116)*-1</f>
        <v>44.452941176470574</v>
      </c>
      <c r="BZ116" s="125">
        <v>0</v>
      </c>
      <c r="CA116" s="231"/>
      <c r="CB116" s="231"/>
    </row>
    <row r="117" spans="1:80" x14ac:dyDescent="0.25">
      <c r="A117" s="231"/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-1907.001056719316</v>
      </c>
      <c r="AJ117" s="157">
        <f>SUM(AJ118:AJ127)</f>
        <v>-1907.001056719316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1821.7806154799998</v>
      </c>
      <c r="AP117" s="146">
        <f t="shared" si="73"/>
        <v>0.95531180177428743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1821.7806154799998</v>
      </c>
      <c r="BX117" s="108"/>
      <c r="BY117" s="129">
        <f>SUM(BY118:BY127)</f>
        <v>85.220441239316244</v>
      </c>
      <c r="BZ117" s="129">
        <f>SUM(BZ118:BZ127)</f>
        <v>0</v>
      </c>
      <c r="CA117" s="231"/>
      <c r="CB117" s="231"/>
    </row>
    <row r="118" spans="1:80" x14ac:dyDescent="0.25">
      <c r="A118" s="231"/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-4.7777777777777777</v>
      </c>
      <c r="AJ118" s="157">
        <f>AO118/Nøgletal!T383*-1</f>
        <v>-4.7777777777777777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4.3</v>
      </c>
      <c r="AP118" s="146">
        <f t="shared" si="73"/>
        <v>0.9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T49*Nøgletal!T38*Nøgletal!T37+Nøgletal!T65*Nøgletal!T66*Nøgletal!T77+Nøgletal!T93*Nøgletal!T94*Nøgletal!T105+Nøgletal!T121*Nøgletal!T122*Nøgletal!T133+Nøgletal!T149*Nøgletal!T150*Nøgletal!T161+Nøgletal!T181*Nøgletal!T182*Nøgletal!T193+Nøgletal!T211*Nøgletal!T212*Nøgletal!T223+Nøgletal!T240*Nøgletal!T241*Nøgletal!T252</f>
        <v>4.3</v>
      </c>
      <c r="BX118" s="119"/>
      <c r="BY118" s="127">
        <f t="shared" ref="BY118:BY127" si="78">(AJ118+BW118)*-1</f>
        <v>0.47777777777777786</v>
      </c>
      <c r="BZ118" s="125">
        <v>0</v>
      </c>
      <c r="CA118" s="231"/>
      <c r="CB118" s="231"/>
    </row>
    <row r="119" spans="1:80" x14ac:dyDescent="0.25">
      <c r="A119" s="231"/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-20.2</v>
      </c>
      <c r="AJ119" s="157">
        <f>AO119*Nøgletal!T384*-1</f>
        <v>-20.2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20.2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T37*Nøgletal!T38*Nøgletal!T48+Nøgletal!T65*Nøgletal!T66*Nøgletal!T76+Nøgletal!T93*Nøgletal!T94*Nøgletal!T104+Nøgletal!T121*Nøgletal!T122*Nøgletal!T132+Nøgletal!T149*Nøgletal!T150*Nøgletal!T160+Nøgletal!T181*Nøgletal!T182*Nøgletal!T192+Nøgletal!T211*Nøgletal!T212*Nøgletal!T222+Nøgletal!T240*Nøgletal!T241*Nøgletal!T251</f>
        <v>20.2</v>
      </c>
      <c r="BX119" s="119"/>
      <c r="BY119" s="127">
        <f t="shared" si="78"/>
        <v>0</v>
      </c>
      <c r="BZ119" s="125">
        <v>0</v>
      </c>
      <c r="CA119" s="231"/>
      <c r="CB119" s="231"/>
    </row>
    <row r="120" spans="1:80" x14ac:dyDescent="0.25">
      <c r="A120" s="231"/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0</v>
      </c>
      <c r="AJ120" s="157">
        <f>AO120*-1</f>
        <v>0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0</v>
      </c>
      <c r="AP120" s="146">
        <f t="shared" si="73"/>
        <v>0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T37*Nøgletal!T38*Nøgletal!T41+Nøgletal!T65*Nøgletal!T66*Nøgletal!T69+Nøgletal!T93*Nøgletal!T94*Nøgletal!T97+Nøgletal!T121*Nøgletal!T122*Nøgletal!T125+Nøgletal!T149*Nøgletal!T150*Nøgletal!T153+Nøgletal!T181*Nøgletal!T182*Nøgletal!T185+Nøgletal!T211*Nøgletal!T212*Nøgletal!T215+Nøgletal!T240*Nøgletal!T241*Nøgletal!T244</f>
        <v>0</v>
      </c>
      <c r="BX120" s="119"/>
      <c r="BY120" s="127">
        <f t="shared" si="78"/>
        <v>0</v>
      </c>
      <c r="BZ120" s="125">
        <v>0</v>
      </c>
      <c r="CA120" s="231"/>
      <c r="CB120" s="231"/>
    </row>
    <row r="121" spans="1:80" x14ac:dyDescent="0.25">
      <c r="A121" s="231"/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-48.775125000000003</v>
      </c>
      <c r="AJ121" s="157">
        <f>AO121/Nøgletal!U390*-1</f>
        <v>-48.775125000000003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39.020100000000006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T$37*Nøgletal!T$38*Nøgletal!T42+Nøgletal!T$65*Nøgletal!T$66*Nøgletal!T70+Nøgletal!T$93*Nøgletal!T$94*Nøgletal!T98+Nøgletal!T$121*Nøgletal!T$122*Nøgletal!T126+Nøgletal!T$149*Nøgletal!T$150*Nøgletal!T154+Nøgletal!T$181*Nøgletal!T$182*Nøgletal!T186+Nøgletal!T$211*Nøgletal!T$212*Nøgletal!T216+Nøgletal!T$240*Nøgletal!T$241*Nøgletal!T245</f>
        <v>39.020100000000006</v>
      </c>
      <c r="BX121" s="119"/>
      <c r="BY121" s="127">
        <f t="shared" si="78"/>
        <v>9.7550249999999963</v>
      </c>
      <c r="BZ121" s="125">
        <v>0</v>
      </c>
      <c r="CA121" s="231"/>
      <c r="CB121" s="231"/>
    </row>
    <row r="122" spans="1:80" x14ac:dyDescent="0.25">
      <c r="A122" s="231"/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-0.4</v>
      </c>
      <c r="AJ122" s="157">
        <f>AO122/Nøgletal!U391*-1</f>
        <v>-0.4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0.34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T$37*Nøgletal!T$38*Nøgletal!T43+Nøgletal!T$65*Nøgletal!T$66*Nøgletal!T71+Nøgletal!T$93*Nøgletal!T$94*Nøgletal!T99+Nøgletal!T$121*Nøgletal!T$122*Nøgletal!T127+Nøgletal!T$149*Nøgletal!T$150*Nøgletal!T155+Nøgletal!T$181*Nøgletal!T$182*Nøgletal!T187+Nøgletal!T$211*Nøgletal!T$212*Nøgletal!T217+Nøgletal!T$240*Nøgletal!T$241*Nøgletal!T246</f>
        <v>0.34</v>
      </c>
      <c r="BX122" s="119"/>
      <c r="BY122" s="127">
        <f t="shared" si="78"/>
        <v>0.06</v>
      </c>
      <c r="BZ122" s="125">
        <v>0</v>
      </c>
      <c r="CA122" s="231"/>
      <c r="CB122" s="231"/>
    </row>
    <row r="123" spans="1:80" x14ac:dyDescent="0.25">
      <c r="A123" s="231"/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-82.000000000000014</v>
      </c>
      <c r="AJ123" s="157">
        <f>AO123/Nøgletal!U392*-1</f>
        <v>-82.000000000000014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61.500000000000007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T$37*Nøgletal!T$38*Nøgletal!T44+Nøgletal!T$65*Nøgletal!T$66*Nøgletal!T72+Nøgletal!T$93*Nøgletal!T$94*Nøgletal!T100+Nøgletal!T$121*Nøgletal!T$122*Nøgletal!T128+Nøgletal!T$149*Nøgletal!T$150*Nøgletal!T156+Nøgletal!T$181*Nøgletal!T$182*Nøgletal!T188+Nøgletal!T$211*Nøgletal!T$212*Nøgletal!T218+Nøgletal!T$240*Nøgletal!T$241*Nøgletal!T247</f>
        <v>61.500000000000007</v>
      </c>
      <c r="BX123" s="119"/>
      <c r="BY123" s="127">
        <f t="shared" si="78"/>
        <v>20.500000000000007</v>
      </c>
      <c r="BZ123" s="125">
        <v>0</v>
      </c>
      <c r="CA123" s="231"/>
      <c r="CB123" s="231"/>
    </row>
    <row r="124" spans="1:80" x14ac:dyDescent="0.25">
      <c r="A124" s="231"/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-135.5075384615385</v>
      </c>
      <c r="AJ124" s="157">
        <f>AO124/Nøgletal!U393*-1</f>
        <v>-135.5075384615385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88.079900000000038</v>
      </c>
      <c r="AP124" s="146">
        <f t="shared" si="73"/>
        <v>0.65000000000000013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T$37*Nøgletal!T$38*Nøgletal!T45+Nøgletal!T$65*Nøgletal!T$66*Nøgletal!T73+Nøgletal!T$93*Nøgletal!T$94*Nøgletal!T101+Nøgletal!T$121*Nøgletal!T$122*Nøgletal!T129+Nøgletal!T$149*Nøgletal!T$150*Nøgletal!T157+Nøgletal!T$181*Nøgletal!T$182*Nøgletal!T189+Nøgletal!T$211*Nøgletal!T$212*Nøgletal!T219+Nøgletal!T$240*Nøgletal!T$241*Nøgletal!T248</f>
        <v>88.079900000000038</v>
      </c>
      <c r="BX124" s="119"/>
      <c r="BY124" s="127">
        <f t="shared" si="78"/>
        <v>47.427638461538464</v>
      </c>
      <c r="BZ124" s="125">
        <v>0</v>
      </c>
      <c r="CA124" s="231"/>
      <c r="CB124" s="231"/>
    </row>
    <row r="125" spans="1:80" x14ac:dyDescent="0.25">
      <c r="A125" s="231"/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-20.000000000000004</v>
      </c>
      <c r="AJ125" s="157">
        <f>AO125/Nøgletal!U394*-1</f>
        <v>-20.000000000000004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13.000000000000002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T$37*Nøgletal!T$38*Nøgletal!T46+Nøgletal!T$65*Nøgletal!T$66*Nøgletal!T74+Nøgletal!T$93*Nøgletal!T$94*Nøgletal!T102+Nøgletal!T$121*Nøgletal!T$122*Nøgletal!T130+Nøgletal!T$149*Nøgletal!T$150*Nøgletal!T158+Nøgletal!T$181*Nøgletal!T$182*Nøgletal!T190+Nøgletal!T$211*Nøgletal!T$212*Nøgletal!T220+Nøgletal!T$240*Nøgletal!T$241*Nøgletal!T249</f>
        <v>13.000000000000002</v>
      </c>
      <c r="BX125" s="119"/>
      <c r="BY125" s="127">
        <f t="shared" si="78"/>
        <v>7.0000000000000018</v>
      </c>
      <c r="BZ125" s="125">
        <v>0</v>
      </c>
      <c r="CA125" s="231"/>
      <c r="CB125" s="231"/>
    </row>
    <row r="126" spans="1:80" x14ac:dyDescent="0.25">
      <c r="A126" s="23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-1592.2506154799999</v>
      </c>
      <c r="AJ126" s="157">
        <f>AO126*-1</f>
        <v>-1592.2506154799999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1592.2506154799999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Nøgletal!T37*Nøgletal!T39+Nøgletal!T65*Nøgletal!T67+Nøgletal!T93*Nøgletal!T95+Nøgletal!T121*Nøgletal!T123+Nøgletal!T149*Nøgletal!T151+Nøgletal!T181*Nøgletal!T183+Nøgletal!T211*Nøgletal!T213+Nøgletal!T240*Nøgletal!T242</f>
        <v>1592.2506154799999</v>
      </c>
      <c r="BX126" s="119"/>
      <c r="BY126" s="127">
        <f t="shared" si="78"/>
        <v>0</v>
      </c>
      <c r="BZ126" s="125">
        <v>0</v>
      </c>
      <c r="CA126" s="231"/>
      <c r="CB126" s="231"/>
    </row>
    <row r="127" spans="1:80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-3.09</v>
      </c>
      <c r="AJ127" s="157">
        <f>AO127/Nøgletal!U395*-1</f>
        <v>-3.09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3.09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T$37*Nøgletal!T$38*Nøgletal!T47+Nøgletal!T$65*Nøgletal!T$66*Nøgletal!T75+Nøgletal!T$93*Nøgletal!T$94*Nøgletal!T103+Nøgletal!T$121*Nøgletal!T$122*Nøgletal!T131+Nøgletal!T$149*Nøgletal!T$150*Nøgletal!T159+Nøgletal!T$181*Nøgletal!T$182*Nøgletal!T191+Nøgletal!T$211*Nøgletal!T$212*Nøgletal!T221+Nøgletal!T$240*Nøgletal!T$241*Nøgletal!T250</f>
        <v>3.09</v>
      </c>
      <c r="BX127" s="119"/>
      <c r="BY127" s="127">
        <f t="shared" si="78"/>
        <v>0</v>
      </c>
      <c r="BZ127" s="125">
        <v>0</v>
      </c>
      <c r="CA127" s="231"/>
      <c r="CB127" s="231"/>
    </row>
    <row r="128" spans="1:80" x14ac:dyDescent="0.25">
      <c r="A128" s="231"/>
      <c r="B128" s="231"/>
      <c r="C128" s="40"/>
      <c r="D128" s="231"/>
      <c r="E128" s="40"/>
      <c r="F128" s="40"/>
      <c r="G128" s="231"/>
      <c r="H128" s="40"/>
      <c r="I128" s="40"/>
      <c r="J128" s="40"/>
      <c r="K128" s="40"/>
      <c r="L128" s="40"/>
      <c r="M128" s="40"/>
      <c r="N128" s="231"/>
      <c r="O128" s="40"/>
      <c r="P128" s="40"/>
      <c r="Q128" s="40"/>
      <c r="R128" s="40"/>
      <c r="S128" s="40"/>
      <c r="T128" s="231"/>
      <c r="U128" s="40"/>
      <c r="V128" s="40"/>
      <c r="W128" s="40"/>
      <c r="X128" s="40"/>
      <c r="Y128" s="40"/>
      <c r="Z128" s="40"/>
      <c r="AA128" s="40"/>
      <c r="AB128" s="40"/>
      <c r="AC128" s="143"/>
      <c r="AD128" s="40"/>
      <c r="AF128" s="231"/>
      <c r="AG128" s="231"/>
      <c r="AH128" s="231"/>
      <c r="AI128" s="231"/>
      <c r="AJ128" s="231"/>
      <c r="AK128" s="122"/>
      <c r="AL128" s="231"/>
      <c r="AM128" s="231"/>
      <c r="AO128" s="231"/>
      <c r="AP128" s="102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U128" s="231"/>
      <c r="BV128" s="231"/>
      <c r="BW128" s="231"/>
      <c r="BX128" s="231"/>
      <c r="BY128" s="231"/>
      <c r="BZ128" s="231"/>
      <c r="CA128" s="231"/>
      <c r="CB128" s="231"/>
    </row>
    <row r="129" spans="1:80" x14ac:dyDescent="0.25">
      <c r="A129" s="231"/>
      <c r="B129" s="231"/>
      <c r="C129" s="40"/>
      <c r="D129" s="40"/>
      <c r="E129" s="40"/>
      <c r="F129" s="40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143"/>
      <c r="AD129" s="231"/>
      <c r="AF129" s="231"/>
      <c r="AG129" s="231"/>
      <c r="AH129" s="231"/>
      <c r="AI129" s="231"/>
      <c r="AJ129" s="231"/>
      <c r="AK129" s="231"/>
      <c r="AL129" s="231"/>
      <c r="AM129" s="231"/>
      <c r="AO129" s="231"/>
      <c r="AP129" s="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U129" s="231"/>
      <c r="BV129" s="231"/>
      <c r="BW129" s="231"/>
      <c r="BX129" s="231"/>
      <c r="BY129" s="231"/>
      <c r="BZ129" s="231"/>
      <c r="CA129" s="231"/>
      <c r="CB129" s="231"/>
    </row>
    <row r="130" spans="1:80" x14ac:dyDescent="0.25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F130" s="231"/>
      <c r="AG130" s="231"/>
      <c r="AH130" s="231"/>
      <c r="AI130" s="231"/>
      <c r="AJ130" s="231"/>
      <c r="AK130" s="231"/>
      <c r="AL130" s="231"/>
      <c r="AM130" s="231"/>
      <c r="AO130" s="231"/>
      <c r="AP130" s="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U130" s="231"/>
      <c r="BV130" s="231"/>
      <c r="BW130" s="231"/>
      <c r="BX130" s="231"/>
      <c r="BY130" s="231"/>
      <c r="BZ130" s="231"/>
      <c r="CA130" s="231"/>
    </row>
    <row r="131" spans="1:80" x14ac:dyDescent="0.25">
      <c r="A131" s="231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F131" s="231"/>
      <c r="AG131" s="231"/>
      <c r="AH131" s="231"/>
      <c r="AI131" s="231"/>
      <c r="AJ131" s="231"/>
      <c r="AK131" s="231"/>
      <c r="AL131" s="231"/>
      <c r="AM131" s="231"/>
      <c r="AO131" s="231"/>
      <c r="AP131" s="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U131" s="231"/>
      <c r="BV131" s="231"/>
      <c r="BW131" s="231"/>
      <c r="BX131" s="231"/>
      <c r="BY131" s="231"/>
      <c r="BZ131" s="231"/>
      <c r="CA131" s="231"/>
    </row>
    <row r="132" spans="1:80" x14ac:dyDescent="0.25">
      <c r="A132" s="231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F132" s="231"/>
      <c r="AG132" s="231"/>
      <c r="AH132" s="231"/>
      <c r="AI132" s="231"/>
      <c r="AJ132" s="231"/>
      <c r="AK132" s="231"/>
      <c r="AL132" s="231"/>
      <c r="AM132" s="231"/>
      <c r="AO132" s="231"/>
      <c r="AP132" s="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U132" s="231"/>
      <c r="BV132" s="231"/>
      <c r="BW132" s="231"/>
      <c r="BX132" s="231"/>
      <c r="BY132" s="231"/>
      <c r="BZ132" s="231"/>
      <c r="CA132" s="231"/>
    </row>
    <row r="133" spans="1:80" x14ac:dyDescent="0.25">
      <c r="A133" s="231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F133" s="231"/>
      <c r="AG133" s="231"/>
      <c r="AH133" s="231"/>
      <c r="AI133" s="231"/>
      <c r="AJ133" s="231"/>
      <c r="AK133" s="231"/>
      <c r="AL133" s="231"/>
      <c r="AM133" s="231"/>
      <c r="AO133" s="231"/>
      <c r="AP133" s="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U133" s="231"/>
      <c r="BV133" s="231"/>
      <c r="BW133" s="231"/>
      <c r="BX133" s="231"/>
      <c r="BY133" s="231"/>
      <c r="BZ133" s="231"/>
      <c r="CA133" s="231"/>
    </row>
    <row r="134" spans="1:80" x14ac:dyDescent="0.25">
      <c r="A134" s="231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F134" s="231"/>
      <c r="AG134" s="231"/>
      <c r="AH134" s="231"/>
      <c r="AI134" s="231"/>
      <c r="AJ134" s="231"/>
      <c r="AK134" s="231"/>
      <c r="AL134" s="231"/>
      <c r="AM134" s="231"/>
      <c r="AO134" s="231"/>
      <c r="AP134" s="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U134" s="231"/>
      <c r="BV134" s="231"/>
      <c r="BW134" s="231"/>
      <c r="BX134" s="231"/>
      <c r="BY134" s="231"/>
      <c r="BZ134" s="231"/>
      <c r="CA134" s="231"/>
    </row>
    <row r="135" spans="1:80" x14ac:dyDescent="0.25">
      <c r="A135" s="231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F135" s="231"/>
      <c r="AG135" s="231"/>
      <c r="AH135" s="231"/>
      <c r="AI135" s="231"/>
      <c r="AJ135" s="231"/>
      <c r="AK135" s="231"/>
      <c r="AL135" s="231"/>
      <c r="AM135" s="231"/>
      <c r="AO135" s="231"/>
      <c r="AP135" s="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1"/>
      <c r="BN135" s="231"/>
      <c r="BO135" s="231"/>
      <c r="BP135" s="231"/>
      <c r="BQ135" s="231"/>
      <c r="BR135" s="231"/>
      <c r="BS135" s="231"/>
      <c r="BU135" s="231"/>
      <c r="BV135" s="231"/>
      <c r="BW135" s="231"/>
      <c r="BX135" s="231"/>
      <c r="BY135" s="231"/>
      <c r="BZ135" s="231"/>
      <c r="CA135" s="231"/>
    </row>
    <row r="136" spans="1:80" x14ac:dyDescent="0.25">
      <c r="A136" s="231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F136" s="231"/>
      <c r="AG136" s="231"/>
      <c r="AH136" s="231"/>
      <c r="AI136" s="231"/>
      <c r="AJ136" s="231"/>
      <c r="AK136" s="231"/>
      <c r="AL136" s="231"/>
      <c r="AM136" s="231"/>
      <c r="AO136" s="231"/>
      <c r="AP136" s="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1"/>
      <c r="BN136" s="231"/>
      <c r="BO136" s="231"/>
      <c r="BP136" s="231"/>
      <c r="BQ136" s="231"/>
      <c r="BR136" s="231"/>
      <c r="BS136" s="231"/>
      <c r="BU136" s="231"/>
      <c r="BV136" s="231"/>
      <c r="BW136" s="231"/>
      <c r="BX136" s="231"/>
      <c r="BY136" s="231"/>
      <c r="BZ136" s="231"/>
      <c r="CA136" s="231"/>
    </row>
    <row r="137" spans="1:80" x14ac:dyDescent="0.25">
      <c r="A137" s="231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F137" s="231"/>
      <c r="AG137" s="231"/>
      <c r="AH137" s="231"/>
      <c r="AI137" s="231"/>
      <c r="AJ137" s="231"/>
      <c r="AK137" s="231"/>
      <c r="AL137" s="231"/>
      <c r="AM137" s="231"/>
      <c r="AO137" s="231"/>
      <c r="AP137" s="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1"/>
      <c r="BN137" s="231"/>
      <c r="BO137" s="231"/>
      <c r="BP137" s="231"/>
      <c r="BQ137" s="231"/>
      <c r="BR137" s="231"/>
      <c r="BS137" s="231"/>
      <c r="BU137" s="231"/>
      <c r="BV137" s="231"/>
      <c r="BW137" s="231"/>
      <c r="BX137" s="231"/>
      <c r="BY137" s="231"/>
      <c r="BZ137" s="231"/>
      <c r="CA137" s="231"/>
    </row>
    <row r="138" spans="1:80" x14ac:dyDescent="0.25">
      <c r="A138" s="231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F138" s="231"/>
      <c r="AG138" s="231"/>
      <c r="AH138" s="231"/>
      <c r="AI138" s="231"/>
      <c r="AJ138" s="231"/>
      <c r="AK138" s="231"/>
      <c r="AL138" s="231"/>
      <c r="AM138" s="231"/>
      <c r="AO138" s="231"/>
      <c r="AP138" s="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1"/>
      <c r="BN138" s="231"/>
      <c r="BO138" s="231"/>
      <c r="BP138" s="231"/>
      <c r="BQ138" s="231"/>
      <c r="BR138" s="231"/>
      <c r="BS138" s="231"/>
      <c r="BU138" s="231"/>
      <c r="BV138" s="231"/>
      <c r="BW138" s="231"/>
      <c r="BX138" s="231"/>
      <c r="BY138" s="231"/>
      <c r="BZ138" s="231"/>
      <c r="CA138" s="231"/>
    </row>
    <row r="139" spans="1:80" x14ac:dyDescent="0.25">
      <c r="A139" s="231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F139" s="231"/>
      <c r="AG139" s="231"/>
      <c r="AH139" s="231"/>
      <c r="AI139" s="231"/>
      <c r="AJ139" s="231"/>
      <c r="AK139" s="231"/>
      <c r="AL139" s="231"/>
      <c r="AM139" s="231"/>
      <c r="AO139" s="231"/>
      <c r="AP139" s="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1"/>
      <c r="BN139" s="231"/>
      <c r="BO139" s="231"/>
      <c r="BP139" s="231"/>
      <c r="BQ139" s="231"/>
      <c r="BR139" s="231"/>
      <c r="BS139" s="231"/>
      <c r="BU139" s="231"/>
      <c r="BV139" s="231"/>
      <c r="BW139" s="231"/>
      <c r="BX139" s="231"/>
      <c r="BY139" s="231"/>
      <c r="BZ139" s="231"/>
      <c r="CA139" s="231"/>
    </row>
    <row r="140" spans="1:80" x14ac:dyDescent="0.25">
      <c r="A140" s="231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F140" s="231"/>
      <c r="AG140" s="231"/>
      <c r="AH140" s="231"/>
      <c r="AI140" s="231"/>
      <c r="AJ140" s="231"/>
      <c r="AK140" s="231"/>
      <c r="AL140" s="231"/>
      <c r="AM140" s="231"/>
      <c r="AO140" s="231"/>
      <c r="AP140" s="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1"/>
      <c r="BN140" s="231"/>
      <c r="BO140" s="231"/>
      <c r="BP140" s="231"/>
      <c r="BQ140" s="231"/>
      <c r="BR140" s="231"/>
      <c r="BS140" s="231"/>
      <c r="BU140" s="231"/>
      <c r="BV140" s="231"/>
      <c r="BW140" s="231"/>
      <c r="BX140" s="231"/>
      <c r="BY140" s="231"/>
      <c r="BZ140" s="231"/>
      <c r="CA140" s="231"/>
    </row>
    <row r="141" spans="1:80" x14ac:dyDescent="0.25">
      <c r="A141" s="231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F141" s="231"/>
      <c r="AG141" s="231"/>
      <c r="AH141" s="231"/>
      <c r="AI141" s="231"/>
      <c r="AJ141" s="231"/>
      <c r="AK141" s="231"/>
      <c r="AL141" s="231"/>
      <c r="AM141" s="231"/>
      <c r="AO141" s="231"/>
      <c r="AP141" s="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  <c r="BL141" s="231"/>
      <c r="BM141" s="231"/>
      <c r="BN141" s="231"/>
      <c r="BO141" s="231"/>
      <c r="BP141" s="231"/>
      <c r="BQ141" s="231"/>
      <c r="BR141" s="231"/>
      <c r="BS141" s="231"/>
      <c r="BU141" s="231"/>
      <c r="BV141" s="231"/>
      <c r="BW141" s="231"/>
      <c r="BX141" s="231"/>
      <c r="BY141" s="231"/>
      <c r="BZ141" s="231"/>
      <c r="CA141" s="231"/>
    </row>
    <row r="142" spans="1:80" x14ac:dyDescent="0.25">
      <c r="A142" s="231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F142" s="231"/>
      <c r="AG142" s="231"/>
      <c r="AH142" s="231"/>
      <c r="AI142" s="231"/>
      <c r="AJ142" s="231"/>
      <c r="AK142" s="231"/>
      <c r="AL142" s="231"/>
      <c r="AM142" s="231"/>
      <c r="AO142" s="231"/>
      <c r="AP142" s="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  <c r="BL142" s="231"/>
      <c r="BM142" s="231"/>
      <c r="BN142" s="231"/>
      <c r="BO142" s="231"/>
      <c r="BP142" s="231"/>
      <c r="BQ142" s="231"/>
      <c r="BR142" s="231"/>
      <c r="BS142" s="231"/>
      <c r="BU142" s="231"/>
      <c r="BV142" s="231"/>
      <c r="BW142" s="231"/>
      <c r="BX142" s="231"/>
      <c r="BY142" s="231"/>
      <c r="BZ142" s="231"/>
      <c r="CA142" s="231"/>
    </row>
    <row r="143" spans="1:80" x14ac:dyDescent="0.25">
      <c r="A143" s="231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F143" s="231"/>
      <c r="AG143" s="231"/>
      <c r="AH143" s="231"/>
      <c r="AI143" s="231"/>
      <c r="AJ143" s="231"/>
      <c r="AK143" s="231"/>
      <c r="AL143" s="231"/>
      <c r="AM143" s="231"/>
      <c r="AO143" s="231"/>
      <c r="AP143" s="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U143" s="231"/>
      <c r="BV143" s="231"/>
      <c r="BW143" s="231"/>
      <c r="BX143" s="231"/>
      <c r="BY143" s="231"/>
      <c r="BZ143" s="231"/>
      <c r="CA143" s="231"/>
    </row>
    <row r="144" spans="1:80" x14ac:dyDescent="0.25">
      <c r="A144" s="231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F144" s="231"/>
      <c r="AG144" s="231"/>
      <c r="AH144" s="231"/>
      <c r="AI144" s="231"/>
      <c r="AJ144" s="231"/>
      <c r="AK144" s="231"/>
      <c r="AL144" s="231"/>
      <c r="AM144" s="231"/>
      <c r="AO144" s="231"/>
      <c r="AP144" s="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U144" s="231"/>
      <c r="BV144" s="231"/>
      <c r="BW144" s="231"/>
      <c r="BX144" s="231"/>
      <c r="BY144" s="231"/>
      <c r="BZ144" s="231"/>
      <c r="CA144" s="231"/>
    </row>
    <row r="145" spans="1:79" x14ac:dyDescent="0.25">
      <c r="A145" s="231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  <c r="AC145" s="231"/>
      <c r="AD145" s="231"/>
      <c r="AF145" s="231"/>
      <c r="AG145" s="231"/>
      <c r="AH145" s="231"/>
      <c r="AI145" s="231"/>
      <c r="AJ145" s="231"/>
      <c r="AK145" s="231"/>
      <c r="AL145" s="231"/>
      <c r="AM145" s="231"/>
      <c r="AO145" s="231"/>
      <c r="AP145" s="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1"/>
      <c r="BM145" s="231"/>
      <c r="BN145" s="231"/>
      <c r="BO145" s="231"/>
      <c r="BP145" s="231"/>
      <c r="BQ145" s="231"/>
      <c r="BR145" s="231"/>
      <c r="BS145" s="231"/>
      <c r="BU145" s="231"/>
      <c r="BV145" s="231"/>
      <c r="BW145" s="231"/>
      <c r="BX145" s="231"/>
      <c r="BY145" s="231"/>
      <c r="BZ145" s="231"/>
      <c r="CA145" s="231"/>
    </row>
    <row r="146" spans="1:79" x14ac:dyDescent="0.25">
      <c r="A146" s="231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F146" s="231"/>
      <c r="AG146" s="231"/>
      <c r="AH146" s="231"/>
      <c r="AI146" s="231"/>
      <c r="AJ146" s="231"/>
      <c r="AK146" s="231"/>
      <c r="AL146" s="231"/>
      <c r="AM146" s="231"/>
      <c r="AO146" s="231"/>
      <c r="AP146" s="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154"/>
      <c r="BM146" s="231"/>
      <c r="BN146" s="231"/>
      <c r="BO146" s="231"/>
      <c r="BP146" s="231"/>
      <c r="BQ146" s="231"/>
      <c r="BR146" s="231"/>
      <c r="BS146" s="231"/>
      <c r="BU146" s="231"/>
      <c r="BV146" s="231"/>
      <c r="BW146" s="231"/>
      <c r="BX146" s="231"/>
      <c r="BY146" s="231"/>
      <c r="BZ146" s="231"/>
      <c r="CA146" s="231"/>
    </row>
    <row r="147" spans="1:79" x14ac:dyDescent="0.25">
      <c r="A147" s="231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F147" s="231"/>
      <c r="AG147" s="231"/>
      <c r="AH147" s="231"/>
      <c r="AI147" s="231"/>
      <c r="AJ147" s="231"/>
      <c r="AK147" s="231"/>
      <c r="AL147" s="231"/>
      <c r="AM147" s="231"/>
      <c r="AO147" s="231"/>
      <c r="AP147" s="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U147" s="231"/>
      <c r="BV147" s="231"/>
      <c r="BW147" s="231"/>
      <c r="BX147" s="231"/>
      <c r="BY147" s="231"/>
      <c r="BZ147" s="231"/>
      <c r="CA147" s="231"/>
    </row>
    <row r="148" spans="1:79" x14ac:dyDescent="0.25">
      <c r="AP148" s="1"/>
    </row>
    <row r="149" spans="1:79" x14ac:dyDescent="0.25">
      <c r="AP149" s="1"/>
    </row>
    <row r="150" spans="1:79" x14ac:dyDescent="0.25">
      <c r="AP150" s="1"/>
    </row>
    <row r="151" spans="1:79" x14ac:dyDescent="0.25">
      <c r="AP151" s="1"/>
    </row>
    <row r="152" spans="1:79" x14ac:dyDescent="0.25">
      <c r="AP152" s="1"/>
    </row>
    <row r="153" spans="1:79" x14ac:dyDescent="0.25">
      <c r="AP153" s="1"/>
    </row>
    <row r="154" spans="1:79" x14ac:dyDescent="0.25">
      <c r="AP154" s="1"/>
    </row>
    <row r="155" spans="1:79" x14ac:dyDescent="0.25">
      <c r="AP155" s="1"/>
    </row>
    <row r="156" spans="1:79" x14ac:dyDescent="0.25">
      <c r="AP156" s="1"/>
    </row>
    <row r="157" spans="1:79" x14ac:dyDescent="0.25">
      <c r="AP157" s="1"/>
    </row>
    <row r="158" spans="1:79" x14ac:dyDescent="0.25">
      <c r="AP158" s="1"/>
    </row>
    <row r="159" spans="1:79" x14ac:dyDescent="0.25">
      <c r="AP159" s="1"/>
    </row>
    <row r="160" spans="1:79" x14ac:dyDescent="0.25">
      <c r="AP160" s="1"/>
    </row>
    <row r="161" spans="42:42" x14ac:dyDescent="0.25">
      <c r="AP161" s="1"/>
    </row>
    <row r="162" spans="42:42" x14ac:dyDescent="0.25">
      <c r="AP162" s="1"/>
    </row>
    <row r="163" spans="42:42" x14ac:dyDescent="0.25">
      <c r="AP163" s="1"/>
    </row>
    <row r="164" spans="42:42" x14ac:dyDescent="0.25">
      <c r="AP164" s="1"/>
    </row>
    <row r="165" spans="42:42" x14ac:dyDescent="0.25">
      <c r="AP165" s="1"/>
    </row>
    <row r="166" spans="42:42" x14ac:dyDescent="0.25">
      <c r="AP166" s="1"/>
    </row>
    <row r="167" spans="42:42" x14ac:dyDescent="0.25">
      <c r="AP167" s="1"/>
    </row>
    <row r="168" spans="42:42" x14ac:dyDescent="0.25">
      <c r="AP168" s="1"/>
    </row>
    <row r="169" spans="42:42" x14ac:dyDescent="0.25">
      <c r="AP169" s="1"/>
    </row>
    <row r="170" spans="42:42" x14ac:dyDescent="0.25">
      <c r="AP170" s="1"/>
    </row>
    <row r="171" spans="42:42" x14ac:dyDescent="0.25">
      <c r="AP171" s="1"/>
    </row>
    <row r="172" spans="42:42" x14ac:dyDescent="0.25">
      <c r="AP172" s="1"/>
    </row>
    <row r="173" spans="42:42" x14ac:dyDescent="0.25">
      <c r="AP173" s="1"/>
    </row>
    <row r="174" spans="42:42" x14ac:dyDescent="0.25">
      <c r="AP174" s="1"/>
    </row>
    <row r="175" spans="42:42" x14ac:dyDescent="0.25">
      <c r="AP175" s="1"/>
    </row>
    <row r="176" spans="42:42" x14ac:dyDescent="0.25">
      <c r="AP176" s="1"/>
    </row>
    <row r="177" spans="42:42" x14ac:dyDescent="0.25">
      <c r="AP177" s="1"/>
    </row>
    <row r="178" spans="42:42" x14ac:dyDescent="0.25">
      <c r="AP178" s="1"/>
    </row>
    <row r="179" spans="42:42" x14ac:dyDescent="0.25">
      <c r="AP179" s="1"/>
    </row>
    <row r="180" spans="42:42" x14ac:dyDescent="0.25">
      <c r="AP180" s="1"/>
    </row>
    <row r="181" spans="42:42" x14ac:dyDescent="0.25">
      <c r="AP181" s="1"/>
    </row>
    <row r="182" spans="42:42" x14ac:dyDescent="0.25">
      <c r="AP182" s="1"/>
    </row>
    <row r="183" spans="42:42" x14ac:dyDescent="0.25">
      <c r="AP183" s="1"/>
    </row>
    <row r="184" spans="42:42" x14ac:dyDescent="0.25">
      <c r="AP184" s="1"/>
    </row>
    <row r="185" spans="42:42" x14ac:dyDescent="0.25">
      <c r="AP185" s="1"/>
    </row>
    <row r="186" spans="42:42" x14ac:dyDescent="0.25">
      <c r="AP186" s="1"/>
    </row>
    <row r="187" spans="42:42" x14ac:dyDescent="0.25">
      <c r="AP187" s="1"/>
    </row>
    <row r="188" spans="42:42" x14ac:dyDescent="0.25">
      <c r="AP188" s="1"/>
    </row>
    <row r="189" spans="42:42" x14ac:dyDescent="0.25">
      <c r="AP189" s="1"/>
    </row>
    <row r="190" spans="42:42" x14ac:dyDescent="0.25">
      <c r="AP190" s="1"/>
    </row>
    <row r="191" spans="42:42" x14ac:dyDescent="0.25">
      <c r="AP191" s="1"/>
    </row>
    <row r="192" spans="42:42" x14ac:dyDescent="0.25">
      <c r="AP192" s="1"/>
    </row>
    <row r="193" spans="42:42" x14ac:dyDescent="0.25">
      <c r="AP193" s="1"/>
    </row>
    <row r="194" spans="42:42" x14ac:dyDescent="0.25">
      <c r="AP194" s="1"/>
    </row>
    <row r="195" spans="42:42" x14ac:dyDescent="0.25">
      <c r="AP195" s="1"/>
    </row>
    <row r="196" spans="42:42" x14ac:dyDescent="0.25">
      <c r="AP196" s="1"/>
    </row>
    <row r="197" spans="42:42" x14ac:dyDescent="0.25">
      <c r="AP197" s="1"/>
    </row>
    <row r="198" spans="42:42" x14ac:dyDescent="0.25">
      <c r="AP198" s="1"/>
    </row>
    <row r="199" spans="42:42" x14ac:dyDescent="0.25">
      <c r="AP199" s="1"/>
    </row>
    <row r="200" spans="42:42" x14ac:dyDescent="0.25">
      <c r="AP200" s="1"/>
    </row>
    <row r="201" spans="42:42" x14ac:dyDescent="0.25">
      <c r="AP201" s="1"/>
    </row>
    <row r="202" spans="42:42" x14ac:dyDescent="0.25">
      <c r="AP202" s="1"/>
    </row>
    <row r="203" spans="42:42" x14ac:dyDescent="0.25">
      <c r="AP203" s="1"/>
    </row>
    <row r="204" spans="42:42" x14ac:dyDescent="0.25">
      <c r="AP204" s="1"/>
    </row>
    <row r="205" spans="42:42" x14ac:dyDescent="0.25">
      <c r="AP205" s="1"/>
    </row>
    <row r="206" spans="42:42" x14ac:dyDescent="0.25">
      <c r="AP206" s="1"/>
    </row>
    <row r="207" spans="42:42" x14ac:dyDescent="0.25">
      <c r="AP207" s="1"/>
    </row>
    <row r="208" spans="42:42" x14ac:dyDescent="0.25">
      <c r="AP208" s="1"/>
    </row>
    <row r="209" spans="42:42" x14ac:dyDescent="0.25">
      <c r="AP209" s="1"/>
    </row>
    <row r="210" spans="42:42" x14ac:dyDescent="0.25">
      <c r="AP210" s="1"/>
    </row>
    <row r="211" spans="42:42" x14ac:dyDescent="0.25">
      <c r="AP211" s="1"/>
    </row>
    <row r="212" spans="42:42" x14ac:dyDescent="0.25">
      <c r="AP212" s="1"/>
    </row>
    <row r="213" spans="42:42" x14ac:dyDescent="0.25">
      <c r="AP213" s="1"/>
    </row>
    <row r="214" spans="42:42" x14ac:dyDescent="0.25">
      <c r="AP214" s="1"/>
    </row>
    <row r="215" spans="42:42" x14ac:dyDescent="0.25">
      <c r="AP215" s="1"/>
    </row>
    <row r="216" spans="42:42" x14ac:dyDescent="0.25">
      <c r="AP216" s="1"/>
    </row>
    <row r="217" spans="42:42" x14ac:dyDescent="0.25">
      <c r="AP217" s="1"/>
    </row>
    <row r="218" spans="42:42" x14ac:dyDescent="0.25">
      <c r="AP218" s="1"/>
    </row>
    <row r="219" spans="42:42" x14ac:dyDescent="0.25">
      <c r="AP219" s="1"/>
    </row>
    <row r="220" spans="42:42" x14ac:dyDescent="0.25">
      <c r="AP220" s="1"/>
    </row>
    <row r="221" spans="42:42" x14ac:dyDescent="0.25">
      <c r="AP221" s="1"/>
    </row>
    <row r="222" spans="42:42" x14ac:dyDescent="0.25">
      <c r="AP222" s="1"/>
    </row>
    <row r="223" spans="42:42" x14ac:dyDescent="0.25">
      <c r="AP223" s="1"/>
    </row>
    <row r="224" spans="42:42" x14ac:dyDescent="0.25">
      <c r="AP224" s="1"/>
    </row>
    <row r="225" spans="42:42" x14ac:dyDescent="0.25">
      <c r="AP225" s="1"/>
    </row>
    <row r="226" spans="42:42" x14ac:dyDescent="0.25">
      <c r="AP226" s="1"/>
    </row>
    <row r="227" spans="42:42" x14ac:dyDescent="0.25">
      <c r="AP227" s="1"/>
    </row>
    <row r="228" spans="42:42" x14ac:dyDescent="0.25">
      <c r="AP228" s="1"/>
    </row>
    <row r="229" spans="42:42" x14ac:dyDescent="0.25">
      <c r="AP229" s="1"/>
    </row>
    <row r="230" spans="42:42" x14ac:dyDescent="0.25">
      <c r="AP230" s="1"/>
    </row>
    <row r="231" spans="42:42" x14ac:dyDescent="0.25">
      <c r="AP231" s="1"/>
    </row>
    <row r="232" spans="42:42" x14ac:dyDescent="0.25">
      <c r="AP232" s="1"/>
    </row>
    <row r="233" spans="42:42" x14ac:dyDescent="0.25">
      <c r="AP233" s="1"/>
    </row>
    <row r="234" spans="42:42" x14ac:dyDescent="0.25">
      <c r="AP234" s="1"/>
    </row>
    <row r="235" spans="42:42" x14ac:dyDescent="0.25">
      <c r="AP235" s="1"/>
    </row>
    <row r="236" spans="42:42" x14ac:dyDescent="0.25">
      <c r="AP236" s="1"/>
    </row>
    <row r="237" spans="42:42" x14ac:dyDescent="0.25">
      <c r="AP237" s="1"/>
    </row>
    <row r="238" spans="42:42" x14ac:dyDescent="0.25">
      <c r="AP238" s="1"/>
    </row>
    <row r="239" spans="42:42" x14ac:dyDescent="0.25">
      <c r="AP239" s="1"/>
    </row>
    <row r="240" spans="42:42" x14ac:dyDescent="0.25">
      <c r="AP240" s="1"/>
    </row>
    <row r="241" spans="42:42" x14ac:dyDescent="0.25">
      <c r="AP241" s="1"/>
    </row>
    <row r="242" spans="42:42" x14ac:dyDescent="0.25">
      <c r="AP242" s="1"/>
    </row>
    <row r="243" spans="42:42" x14ac:dyDescent="0.25">
      <c r="AP243" s="1"/>
    </row>
    <row r="244" spans="42:42" x14ac:dyDescent="0.25">
      <c r="AP244" s="1"/>
    </row>
    <row r="245" spans="42:42" x14ac:dyDescent="0.25">
      <c r="AP245" s="1"/>
    </row>
    <row r="246" spans="42:42" x14ac:dyDescent="0.25">
      <c r="AP246" s="1"/>
    </row>
    <row r="247" spans="42:42" x14ac:dyDescent="0.25">
      <c r="AP247" s="1"/>
    </row>
    <row r="248" spans="42:42" x14ac:dyDescent="0.25">
      <c r="AP248" s="1"/>
    </row>
    <row r="249" spans="42:42" x14ac:dyDescent="0.25">
      <c r="AP249" s="1"/>
    </row>
    <row r="250" spans="42:42" x14ac:dyDescent="0.25">
      <c r="AP250" s="1"/>
    </row>
    <row r="251" spans="42:42" x14ac:dyDescent="0.25">
      <c r="AP251" s="1"/>
    </row>
    <row r="252" spans="42:42" x14ac:dyDescent="0.25">
      <c r="AP252" s="1"/>
    </row>
    <row r="253" spans="42:42" x14ac:dyDescent="0.25">
      <c r="AP253" s="1"/>
    </row>
    <row r="254" spans="42:42" x14ac:dyDescent="0.25">
      <c r="AP254" s="1"/>
    </row>
    <row r="255" spans="42:42" x14ac:dyDescent="0.25">
      <c r="AP255" s="1"/>
    </row>
    <row r="256" spans="42:42" x14ac:dyDescent="0.25">
      <c r="AP256" s="1"/>
    </row>
    <row r="257" spans="42:42" x14ac:dyDescent="0.25">
      <c r="AP257" s="1"/>
    </row>
    <row r="258" spans="42:42" x14ac:dyDescent="0.25">
      <c r="AP258" s="1"/>
    </row>
    <row r="259" spans="42:42" x14ac:dyDescent="0.25">
      <c r="AP259" s="1"/>
    </row>
    <row r="260" spans="42:42" x14ac:dyDescent="0.25">
      <c r="AP260" s="1"/>
    </row>
    <row r="261" spans="42:42" x14ac:dyDescent="0.25">
      <c r="AP261" s="1"/>
    </row>
    <row r="262" spans="42:42" x14ac:dyDescent="0.25">
      <c r="AP262" s="1"/>
    </row>
    <row r="263" spans="42:42" x14ac:dyDescent="0.25">
      <c r="AP263" s="1"/>
    </row>
    <row r="264" spans="42:42" x14ac:dyDescent="0.25">
      <c r="AP264" s="1"/>
    </row>
    <row r="265" spans="42:42" x14ac:dyDescent="0.25">
      <c r="AP265" s="1"/>
    </row>
    <row r="266" spans="42:42" x14ac:dyDescent="0.25">
      <c r="AP266" s="1"/>
    </row>
    <row r="267" spans="42:42" x14ac:dyDescent="0.25">
      <c r="AP267" s="1"/>
    </row>
    <row r="268" spans="42:42" x14ac:dyDescent="0.25">
      <c r="AP268" s="1"/>
    </row>
    <row r="269" spans="42:42" x14ac:dyDescent="0.25">
      <c r="AP269" s="1"/>
    </row>
    <row r="270" spans="42:42" x14ac:dyDescent="0.25">
      <c r="AP270" s="1"/>
    </row>
    <row r="271" spans="42:42" x14ac:dyDescent="0.25">
      <c r="AP271" s="1"/>
    </row>
    <row r="272" spans="42:42" x14ac:dyDescent="0.25">
      <c r="AP272" s="1"/>
    </row>
    <row r="273" spans="42:42" x14ac:dyDescent="0.25">
      <c r="AP273" s="1"/>
    </row>
    <row r="274" spans="42:42" x14ac:dyDescent="0.25">
      <c r="AP274" s="1"/>
    </row>
    <row r="275" spans="42:42" x14ac:dyDescent="0.25">
      <c r="AP275" s="1"/>
    </row>
    <row r="276" spans="42:42" x14ac:dyDescent="0.25">
      <c r="AP276" s="1"/>
    </row>
    <row r="277" spans="42:42" x14ac:dyDescent="0.25">
      <c r="AP277" s="1"/>
    </row>
    <row r="278" spans="42:42" x14ac:dyDescent="0.25">
      <c r="AP278" s="1"/>
    </row>
    <row r="279" spans="42:42" x14ac:dyDescent="0.25">
      <c r="AP279" s="1"/>
    </row>
    <row r="280" spans="42:42" x14ac:dyDescent="0.25">
      <c r="AP280" s="1"/>
    </row>
    <row r="281" spans="42:42" x14ac:dyDescent="0.25">
      <c r="AP281" s="1"/>
    </row>
    <row r="282" spans="42:42" x14ac:dyDescent="0.25">
      <c r="AP282" s="1"/>
    </row>
    <row r="283" spans="42:42" x14ac:dyDescent="0.25">
      <c r="AP283" s="1"/>
    </row>
    <row r="284" spans="42:42" x14ac:dyDescent="0.25">
      <c r="AP284" s="1"/>
    </row>
    <row r="285" spans="42:42" x14ac:dyDescent="0.25">
      <c r="AP285" s="1"/>
    </row>
    <row r="286" spans="42:42" x14ac:dyDescent="0.25">
      <c r="AP286" s="1"/>
    </row>
    <row r="287" spans="42:42" x14ac:dyDescent="0.25">
      <c r="AP287" s="1"/>
    </row>
    <row r="288" spans="42:42" x14ac:dyDescent="0.25">
      <c r="AP288" s="1"/>
    </row>
    <row r="289" spans="42:42" x14ac:dyDescent="0.25">
      <c r="AP289" s="1"/>
    </row>
    <row r="290" spans="42:42" x14ac:dyDescent="0.25">
      <c r="AP290" s="1"/>
    </row>
    <row r="291" spans="42:42" x14ac:dyDescent="0.25">
      <c r="AP291" s="1"/>
    </row>
    <row r="292" spans="42:42" x14ac:dyDescent="0.25">
      <c r="AP292" s="1"/>
    </row>
    <row r="293" spans="42:42" x14ac:dyDescent="0.25">
      <c r="AP293" s="1"/>
    </row>
    <row r="294" spans="42:42" x14ac:dyDescent="0.25">
      <c r="AP294" s="1"/>
    </row>
    <row r="295" spans="42:42" x14ac:dyDescent="0.25">
      <c r="AP295" s="1"/>
    </row>
    <row r="296" spans="42:42" x14ac:dyDescent="0.25">
      <c r="AP296" s="1"/>
    </row>
    <row r="297" spans="42:42" x14ac:dyDescent="0.25">
      <c r="AP297" s="1"/>
    </row>
    <row r="298" spans="42:42" x14ac:dyDescent="0.25">
      <c r="AP298" s="1"/>
    </row>
    <row r="299" spans="42:42" x14ac:dyDescent="0.25">
      <c r="AP299" s="1"/>
    </row>
    <row r="300" spans="42:42" x14ac:dyDescent="0.25">
      <c r="AP300" s="1"/>
    </row>
    <row r="301" spans="42:42" x14ac:dyDescent="0.25">
      <c r="AP301" s="1"/>
    </row>
    <row r="302" spans="42:42" x14ac:dyDescent="0.25">
      <c r="AP302" s="1"/>
    </row>
    <row r="303" spans="42:42" x14ac:dyDescent="0.25">
      <c r="AP303" s="1"/>
    </row>
    <row r="304" spans="42:42" x14ac:dyDescent="0.25">
      <c r="AP304" s="1"/>
    </row>
    <row r="305" spans="42:42" x14ac:dyDescent="0.25">
      <c r="AP305" s="1"/>
    </row>
    <row r="306" spans="42:42" x14ac:dyDescent="0.25">
      <c r="AP306" s="1"/>
    </row>
    <row r="307" spans="42:42" x14ac:dyDescent="0.25">
      <c r="AP307" s="1"/>
    </row>
    <row r="308" spans="42:42" x14ac:dyDescent="0.25">
      <c r="AP308" s="1"/>
    </row>
    <row r="309" spans="42:42" x14ac:dyDescent="0.25">
      <c r="AP309" s="1"/>
    </row>
    <row r="310" spans="42:42" x14ac:dyDescent="0.25">
      <c r="AP310" s="1"/>
    </row>
    <row r="311" spans="42:42" x14ac:dyDescent="0.25">
      <c r="AP311" s="1"/>
    </row>
    <row r="312" spans="42:42" x14ac:dyDescent="0.25">
      <c r="AP312" s="1"/>
    </row>
    <row r="313" spans="42:42" x14ac:dyDescent="0.25">
      <c r="AP313" s="1"/>
    </row>
    <row r="314" spans="42:42" x14ac:dyDescent="0.25">
      <c r="AP314" s="1"/>
    </row>
    <row r="315" spans="42:42" x14ac:dyDescent="0.25">
      <c r="AP315" s="1"/>
    </row>
    <row r="316" spans="42:42" x14ac:dyDescent="0.25">
      <c r="AP316" s="1"/>
    </row>
    <row r="317" spans="42:42" x14ac:dyDescent="0.25">
      <c r="AP317" s="1"/>
    </row>
    <row r="318" spans="42:42" x14ac:dyDescent="0.25">
      <c r="AP318" s="1"/>
    </row>
    <row r="319" spans="42:42" x14ac:dyDescent="0.25">
      <c r="AP319" s="1"/>
    </row>
    <row r="320" spans="42:42" x14ac:dyDescent="0.25">
      <c r="AP320" s="1"/>
    </row>
    <row r="321" spans="42:42" x14ac:dyDescent="0.25">
      <c r="AP321" s="1"/>
    </row>
    <row r="322" spans="42:42" x14ac:dyDescent="0.25">
      <c r="AP322" s="1"/>
    </row>
    <row r="323" spans="42:42" x14ac:dyDescent="0.25">
      <c r="AP323" s="1"/>
    </row>
    <row r="324" spans="42:42" x14ac:dyDescent="0.25">
      <c r="AP324" s="1"/>
    </row>
    <row r="325" spans="42:42" x14ac:dyDescent="0.25">
      <c r="AP325" s="1"/>
    </row>
    <row r="326" spans="42:42" x14ac:dyDescent="0.25">
      <c r="AP326" s="1"/>
    </row>
    <row r="327" spans="42:42" x14ac:dyDescent="0.25">
      <c r="AP327" s="1"/>
    </row>
    <row r="328" spans="42:42" x14ac:dyDescent="0.25">
      <c r="AP328" s="1"/>
    </row>
    <row r="329" spans="42:42" x14ac:dyDescent="0.25">
      <c r="AP329" s="1"/>
    </row>
    <row r="330" spans="42:42" x14ac:dyDescent="0.25">
      <c r="AP330" s="1"/>
    </row>
    <row r="331" spans="42:42" x14ac:dyDescent="0.25">
      <c r="AP331" s="1"/>
    </row>
    <row r="332" spans="42:42" x14ac:dyDescent="0.25">
      <c r="AP332" s="1"/>
    </row>
    <row r="333" spans="42:42" x14ac:dyDescent="0.25">
      <c r="AP333" s="1"/>
    </row>
    <row r="334" spans="42:42" x14ac:dyDescent="0.25">
      <c r="AP334" s="1"/>
    </row>
    <row r="335" spans="42:42" x14ac:dyDescent="0.25">
      <c r="AP335" s="1"/>
    </row>
    <row r="336" spans="42:42" x14ac:dyDescent="0.25">
      <c r="AP336" s="1"/>
    </row>
    <row r="337" spans="42:42" x14ac:dyDescent="0.25">
      <c r="AP337" s="1"/>
    </row>
    <row r="338" spans="42:42" x14ac:dyDescent="0.25">
      <c r="AP338" s="1"/>
    </row>
    <row r="339" spans="42:42" x14ac:dyDescent="0.25">
      <c r="AP339" s="1"/>
    </row>
    <row r="340" spans="42:42" x14ac:dyDescent="0.25">
      <c r="AP340" s="1"/>
    </row>
    <row r="341" spans="42:42" x14ac:dyDescent="0.25">
      <c r="AP341" s="1"/>
    </row>
    <row r="342" spans="42:42" x14ac:dyDescent="0.25">
      <c r="AP342" s="1"/>
    </row>
    <row r="343" spans="42:42" x14ac:dyDescent="0.25">
      <c r="AP343" s="1"/>
    </row>
    <row r="344" spans="42:42" x14ac:dyDescent="0.25">
      <c r="AP344" s="1"/>
    </row>
    <row r="345" spans="42:42" x14ac:dyDescent="0.25">
      <c r="AP345" s="1"/>
    </row>
    <row r="346" spans="42:42" x14ac:dyDescent="0.25">
      <c r="AP346" s="1"/>
    </row>
    <row r="347" spans="42:42" x14ac:dyDescent="0.25">
      <c r="AP347" s="1"/>
    </row>
    <row r="348" spans="42:42" x14ac:dyDescent="0.25">
      <c r="AP348" s="1"/>
    </row>
    <row r="349" spans="42:42" x14ac:dyDescent="0.25">
      <c r="AP349" s="1"/>
    </row>
    <row r="350" spans="42:42" x14ac:dyDescent="0.25">
      <c r="AP350" s="1"/>
    </row>
    <row r="351" spans="42:42" x14ac:dyDescent="0.25">
      <c r="AP351" s="1"/>
    </row>
    <row r="352" spans="42:42" x14ac:dyDescent="0.25">
      <c r="AP352" s="1"/>
    </row>
    <row r="353" spans="42:42" x14ac:dyDescent="0.25">
      <c r="AP353" s="1"/>
    </row>
    <row r="354" spans="42:42" x14ac:dyDescent="0.25">
      <c r="AP354" s="1"/>
    </row>
    <row r="355" spans="42:42" x14ac:dyDescent="0.25">
      <c r="AP355" s="1"/>
    </row>
    <row r="356" spans="42:42" x14ac:dyDescent="0.25">
      <c r="AP356" s="1"/>
    </row>
    <row r="357" spans="42:42" x14ac:dyDescent="0.25">
      <c r="AP357" s="1"/>
    </row>
    <row r="358" spans="42:42" x14ac:dyDescent="0.25">
      <c r="AP358" s="1"/>
    </row>
    <row r="359" spans="42:42" x14ac:dyDescent="0.25">
      <c r="AP359" s="1"/>
    </row>
    <row r="360" spans="42:42" x14ac:dyDescent="0.25">
      <c r="AP360" s="1"/>
    </row>
    <row r="361" spans="42:42" x14ac:dyDescent="0.25">
      <c r="AP361" s="1"/>
    </row>
    <row r="362" spans="42:42" x14ac:dyDescent="0.25">
      <c r="AP362" s="1"/>
    </row>
    <row r="363" spans="42:42" x14ac:dyDescent="0.25">
      <c r="AP363" s="1"/>
    </row>
    <row r="364" spans="42:42" x14ac:dyDescent="0.25">
      <c r="AP364" s="1"/>
    </row>
    <row r="365" spans="42:42" x14ac:dyDescent="0.25">
      <c r="AP365" s="1"/>
    </row>
    <row r="366" spans="42:42" x14ac:dyDescent="0.25">
      <c r="AP366" s="1"/>
    </row>
    <row r="367" spans="42:42" x14ac:dyDescent="0.25">
      <c r="AP367" s="1"/>
    </row>
    <row r="368" spans="42:42" x14ac:dyDescent="0.25">
      <c r="AP368" s="1"/>
    </row>
    <row r="369" spans="42:42" x14ac:dyDescent="0.25">
      <c r="AP369" s="1"/>
    </row>
    <row r="370" spans="42:42" x14ac:dyDescent="0.25">
      <c r="AP370" s="1"/>
    </row>
    <row r="371" spans="42:42" x14ac:dyDescent="0.25">
      <c r="AP371" s="1"/>
    </row>
    <row r="372" spans="42:42" x14ac:dyDescent="0.25">
      <c r="AP372" s="1"/>
    </row>
    <row r="373" spans="42:42" x14ac:dyDescent="0.25">
      <c r="AP373" s="1"/>
    </row>
    <row r="374" spans="42:42" x14ac:dyDescent="0.25">
      <c r="AP374" s="1"/>
    </row>
    <row r="375" spans="42:42" x14ac:dyDescent="0.25">
      <c r="AP375" s="1"/>
    </row>
    <row r="376" spans="42:42" x14ac:dyDescent="0.25">
      <c r="AP376" s="1"/>
    </row>
    <row r="377" spans="42:42" x14ac:dyDescent="0.25">
      <c r="AP377" s="1"/>
    </row>
    <row r="378" spans="42:42" x14ac:dyDescent="0.25">
      <c r="AP378" s="1"/>
    </row>
    <row r="379" spans="42:42" x14ac:dyDescent="0.25">
      <c r="AP379" s="1"/>
    </row>
    <row r="380" spans="42:42" x14ac:dyDescent="0.25">
      <c r="AP380" s="1"/>
    </row>
    <row r="381" spans="42:42" x14ac:dyDescent="0.25">
      <c r="AP381" s="1"/>
    </row>
    <row r="382" spans="42:42" x14ac:dyDescent="0.25">
      <c r="AP382" s="1"/>
    </row>
    <row r="383" spans="42:42" x14ac:dyDescent="0.25">
      <c r="AP383" s="1"/>
    </row>
    <row r="384" spans="42:42" x14ac:dyDescent="0.25">
      <c r="AP384" s="1"/>
    </row>
    <row r="385" spans="42:42" x14ac:dyDescent="0.25">
      <c r="AP385" s="1"/>
    </row>
    <row r="386" spans="42:42" x14ac:dyDescent="0.25">
      <c r="AP386" s="1"/>
    </row>
    <row r="387" spans="42:42" x14ac:dyDescent="0.25">
      <c r="AP387" s="1"/>
    </row>
    <row r="388" spans="42:42" x14ac:dyDescent="0.25">
      <c r="AP388" s="1"/>
    </row>
    <row r="389" spans="42:42" x14ac:dyDescent="0.25">
      <c r="AP389" s="1"/>
    </row>
    <row r="390" spans="42:42" x14ac:dyDescent="0.25">
      <c r="AP390" s="1"/>
    </row>
    <row r="391" spans="42:42" x14ac:dyDescent="0.25">
      <c r="AP391" s="1"/>
    </row>
    <row r="392" spans="42:42" x14ac:dyDescent="0.25">
      <c r="AP392" s="1"/>
    </row>
    <row r="393" spans="42:42" x14ac:dyDescent="0.25">
      <c r="AP393" s="1"/>
    </row>
    <row r="394" spans="42:42" x14ac:dyDescent="0.25">
      <c r="AP394" s="1"/>
    </row>
    <row r="395" spans="42:42" x14ac:dyDescent="0.25">
      <c r="AP395" s="1"/>
    </row>
    <row r="396" spans="42:42" x14ac:dyDescent="0.25">
      <c r="AP396" s="1"/>
    </row>
    <row r="397" spans="42:42" x14ac:dyDescent="0.25">
      <c r="AP397" s="1"/>
    </row>
    <row r="398" spans="42:42" x14ac:dyDescent="0.25">
      <c r="AP398" s="1"/>
    </row>
    <row r="399" spans="42:42" x14ac:dyDescent="0.25">
      <c r="AP399" s="1"/>
    </row>
    <row r="400" spans="42:42" x14ac:dyDescent="0.25">
      <c r="AP400" s="1"/>
    </row>
    <row r="401" spans="42:42" x14ac:dyDescent="0.25">
      <c r="AP401" s="1"/>
    </row>
    <row r="402" spans="42:42" x14ac:dyDescent="0.25">
      <c r="AP402" s="1"/>
    </row>
    <row r="403" spans="42:42" x14ac:dyDescent="0.25">
      <c r="AP403" s="1"/>
    </row>
    <row r="404" spans="42:42" x14ac:dyDescent="0.25">
      <c r="AP404" s="1"/>
    </row>
    <row r="405" spans="42:42" x14ac:dyDescent="0.25">
      <c r="AP405" s="1"/>
    </row>
    <row r="406" spans="42:42" x14ac:dyDescent="0.25">
      <c r="AP406" s="1"/>
    </row>
    <row r="407" spans="42:42" x14ac:dyDescent="0.25">
      <c r="AP407" s="1"/>
    </row>
    <row r="408" spans="42:42" x14ac:dyDescent="0.25">
      <c r="AP408" s="1"/>
    </row>
    <row r="409" spans="42:42" x14ac:dyDescent="0.25">
      <c r="AP409" s="1"/>
    </row>
    <row r="410" spans="42:42" x14ac:dyDescent="0.25">
      <c r="AP410" s="1"/>
    </row>
    <row r="411" spans="42:42" x14ac:dyDescent="0.25">
      <c r="AP411" s="1"/>
    </row>
    <row r="412" spans="42:42" x14ac:dyDescent="0.25">
      <c r="AP412" s="1"/>
    </row>
    <row r="413" spans="42:42" x14ac:dyDescent="0.25">
      <c r="AP413" s="1"/>
    </row>
    <row r="414" spans="42:42" x14ac:dyDescent="0.25">
      <c r="AP414" s="1"/>
    </row>
    <row r="415" spans="42:42" x14ac:dyDescent="0.25">
      <c r="AP415" s="1"/>
    </row>
    <row r="416" spans="42:42" x14ac:dyDescent="0.25">
      <c r="AP416" s="1"/>
    </row>
    <row r="417" spans="42:42" x14ac:dyDescent="0.25">
      <c r="AP417" s="1"/>
    </row>
    <row r="418" spans="42:42" x14ac:dyDescent="0.25">
      <c r="AP418" s="1"/>
    </row>
    <row r="419" spans="42:42" x14ac:dyDescent="0.25">
      <c r="AP419" s="1"/>
    </row>
    <row r="420" spans="42:42" x14ac:dyDescent="0.25">
      <c r="AP420" s="1"/>
    </row>
    <row r="421" spans="42:42" x14ac:dyDescent="0.25">
      <c r="AP421" s="1"/>
    </row>
    <row r="422" spans="42:42" x14ac:dyDescent="0.25">
      <c r="AP422" s="1"/>
    </row>
    <row r="423" spans="42:42" x14ac:dyDescent="0.25">
      <c r="AP423" s="1"/>
    </row>
    <row r="424" spans="42:42" x14ac:dyDescent="0.25">
      <c r="AP424" s="1"/>
    </row>
    <row r="425" spans="42:42" x14ac:dyDescent="0.25">
      <c r="AP425" s="1"/>
    </row>
    <row r="426" spans="42:42" x14ac:dyDescent="0.25">
      <c r="AP426" s="1"/>
    </row>
    <row r="427" spans="42:42" x14ac:dyDescent="0.25">
      <c r="AP427" s="1"/>
    </row>
    <row r="428" spans="42:42" x14ac:dyDescent="0.25">
      <c r="AP428" s="1"/>
    </row>
    <row r="429" spans="42:42" x14ac:dyDescent="0.25">
      <c r="AP429" s="1"/>
    </row>
    <row r="430" spans="42:42" x14ac:dyDescent="0.25">
      <c r="AP430" s="1"/>
    </row>
    <row r="431" spans="42:42" x14ac:dyDescent="0.25">
      <c r="AP431" s="1"/>
    </row>
    <row r="432" spans="42:42" x14ac:dyDescent="0.25">
      <c r="AP432" s="1"/>
    </row>
    <row r="433" spans="42:42" x14ac:dyDescent="0.25">
      <c r="AP433" s="1"/>
    </row>
    <row r="434" spans="42:42" x14ac:dyDescent="0.25">
      <c r="AP434" s="1"/>
    </row>
    <row r="435" spans="42:42" x14ac:dyDescent="0.25">
      <c r="AP435" s="1"/>
    </row>
    <row r="436" spans="42:42" x14ac:dyDescent="0.25">
      <c r="AP436" s="1"/>
    </row>
    <row r="437" spans="42:42" x14ac:dyDescent="0.25">
      <c r="AP437" s="1"/>
    </row>
    <row r="438" spans="42:42" x14ac:dyDescent="0.25">
      <c r="AP438" s="1"/>
    </row>
    <row r="439" spans="42:42" x14ac:dyDescent="0.25">
      <c r="AP439" s="1"/>
    </row>
    <row r="440" spans="42:42" x14ac:dyDescent="0.25">
      <c r="AP440" s="1"/>
    </row>
    <row r="441" spans="42:42" x14ac:dyDescent="0.25">
      <c r="AP441" s="1"/>
    </row>
    <row r="442" spans="42:42" x14ac:dyDescent="0.25">
      <c r="AP442" s="1"/>
    </row>
    <row r="443" spans="42:42" x14ac:dyDescent="0.25">
      <c r="AP443" s="1"/>
    </row>
    <row r="444" spans="42:42" x14ac:dyDescent="0.25">
      <c r="AP444" s="1"/>
    </row>
    <row r="445" spans="42:42" x14ac:dyDescent="0.25">
      <c r="AP445" s="1"/>
    </row>
    <row r="446" spans="42:42" x14ac:dyDescent="0.25">
      <c r="AP446" s="1"/>
    </row>
    <row r="447" spans="42:42" x14ac:dyDescent="0.25">
      <c r="AP447" s="1"/>
    </row>
    <row r="448" spans="42:42" x14ac:dyDescent="0.25">
      <c r="AP448" s="1"/>
    </row>
    <row r="449" spans="42:42" x14ac:dyDescent="0.25">
      <c r="AP449" s="1"/>
    </row>
    <row r="450" spans="42:42" x14ac:dyDescent="0.25">
      <c r="AP450" s="1"/>
    </row>
    <row r="451" spans="42:42" x14ac:dyDescent="0.25">
      <c r="AP451" s="1"/>
    </row>
    <row r="452" spans="42:42" x14ac:dyDescent="0.25">
      <c r="AP452" s="1"/>
    </row>
    <row r="453" spans="42:42" x14ac:dyDescent="0.25">
      <c r="AP453" s="1"/>
    </row>
    <row r="454" spans="42:42" x14ac:dyDescent="0.25">
      <c r="AP454" s="1"/>
    </row>
    <row r="455" spans="42:42" x14ac:dyDescent="0.25">
      <c r="AP455" s="1"/>
    </row>
    <row r="456" spans="42:42" x14ac:dyDescent="0.25">
      <c r="AP456" s="1"/>
    </row>
    <row r="457" spans="42:42" x14ac:dyDescent="0.25">
      <c r="AP457" s="1"/>
    </row>
    <row r="458" spans="42:42" x14ac:dyDescent="0.25">
      <c r="AP458" s="1"/>
    </row>
    <row r="459" spans="42:42" x14ac:dyDescent="0.25">
      <c r="AP459" s="1"/>
    </row>
    <row r="460" spans="42:42" x14ac:dyDescent="0.25">
      <c r="AP460" s="1"/>
    </row>
    <row r="461" spans="42:42" x14ac:dyDescent="0.25">
      <c r="AP461" s="1"/>
    </row>
    <row r="462" spans="42:42" x14ac:dyDescent="0.25">
      <c r="AP462" s="1"/>
    </row>
    <row r="463" spans="42:42" x14ac:dyDescent="0.25">
      <c r="AP463" s="1"/>
    </row>
    <row r="464" spans="42:42" x14ac:dyDescent="0.25">
      <c r="AP464" s="1"/>
    </row>
    <row r="465" spans="42:42" x14ac:dyDescent="0.25">
      <c r="AP465" s="1"/>
    </row>
    <row r="466" spans="42:42" x14ac:dyDescent="0.25">
      <c r="AP466" s="1"/>
    </row>
    <row r="467" spans="42:42" x14ac:dyDescent="0.25">
      <c r="AP467" s="1"/>
    </row>
    <row r="468" spans="42:42" x14ac:dyDescent="0.25">
      <c r="AP468" s="1"/>
    </row>
    <row r="469" spans="42:42" x14ac:dyDescent="0.25">
      <c r="AP469" s="1"/>
    </row>
    <row r="470" spans="42:42" x14ac:dyDescent="0.25">
      <c r="AP470" s="1"/>
    </row>
    <row r="471" spans="42:42" x14ac:dyDescent="0.25">
      <c r="AP471" s="1"/>
    </row>
    <row r="472" spans="42:42" x14ac:dyDescent="0.25">
      <c r="AP472" s="1"/>
    </row>
    <row r="473" spans="42:42" x14ac:dyDescent="0.25">
      <c r="AP473" s="1"/>
    </row>
    <row r="474" spans="42:42" x14ac:dyDescent="0.25">
      <c r="AP474" s="1"/>
    </row>
    <row r="475" spans="42:42" x14ac:dyDescent="0.25">
      <c r="AP475" s="1"/>
    </row>
    <row r="476" spans="42:42" x14ac:dyDescent="0.25">
      <c r="AP476" s="1"/>
    </row>
    <row r="477" spans="42:42" x14ac:dyDescent="0.25">
      <c r="AP477" s="1"/>
    </row>
    <row r="478" spans="42:42" x14ac:dyDescent="0.25">
      <c r="AP478" s="1"/>
    </row>
    <row r="479" spans="42:42" x14ac:dyDescent="0.25">
      <c r="AP479" s="1"/>
    </row>
    <row r="480" spans="42:42" x14ac:dyDescent="0.25">
      <c r="AP480" s="1"/>
    </row>
    <row r="481" spans="42:42" x14ac:dyDescent="0.25">
      <c r="AP481" s="1"/>
    </row>
    <row r="482" spans="42:42" x14ac:dyDescent="0.25">
      <c r="AP482" s="1"/>
    </row>
    <row r="483" spans="42:42" x14ac:dyDescent="0.25">
      <c r="AP483" s="1"/>
    </row>
    <row r="484" spans="42:42" x14ac:dyDescent="0.25">
      <c r="AP484" s="1"/>
    </row>
    <row r="485" spans="42:42" x14ac:dyDescent="0.25">
      <c r="AP485" s="1"/>
    </row>
    <row r="486" spans="42:42" x14ac:dyDescent="0.25">
      <c r="AP486" s="1"/>
    </row>
    <row r="487" spans="42:42" x14ac:dyDescent="0.25">
      <c r="AP487" s="1"/>
    </row>
    <row r="488" spans="42:42" x14ac:dyDescent="0.25">
      <c r="AP488" s="1"/>
    </row>
    <row r="489" spans="42:42" x14ac:dyDescent="0.25">
      <c r="AP489" s="1"/>
    </row>
    <row r="490" spans="42:42" x14ac:dyDescent="0.25">
      <c r="AP490" s="1"/>
    </row>
    <row r="491" spans="42:42" x14ac:dyDescent="0.25">
      <c r="AP491" s="1"/>
    </row>
    <row r="492" spans="42:42" x14ac:dyDescent="0.25">
      <c r="AP492" s="1"/>
    </row>
    <row r="493" spans="42:42" x14ac:dyDescent="0.25">
      <c r="AP493" s="1"/>
    </row>
    <row r="494" spans="42:42" x14ac:dyDescent="0.25">
      <c r="AP494" s="1"/>
    </row>
    <row r="495" spans="42:42" x14ac:dyDescent="0.25">
      <c r="AP495" s="1"/>
    </row>
    <row r="496" spans="42:42" x14ac:dyDescent="0.25">
      <c r="AP496" s="1"/>
    </row>
    <row r="497" spans="42:42" x14ac:dyDescent="0.25">
      <c r="AP497" s="1"/>
    </row>
    <row r="498" spans="42:42" x14ac:dyDescent="0.25">
      <c r="AP498" s="1"/>
    </row>
    <row r="499" spans="42:42" x14ac:dyDescent="0.25">
      <c r="AP499" s="1"/>
    </row>
    <row r="500" spans="42:42" x14ac:dyDescent="0.25">
      <c r="AP500" s="1"/>
    </row>
    <row r="501" spans="42:42" x14ac:dyDescent="0.25">
      <c r="AP501" s="1"/>
    </row>
    <row r="502" spans="42:42" x14ac:dyDescent="0.25">
      <c r="AP502" s="1"/>
    </row>
    <row r="503" spans="42:42" x14ac:dyDescent="0.25">
      <c r="AP503" s="1"/>
    </row>
    <row r="504" spans="42:42" x14ac:dyDescent="0.25">
      <c r="AP504" s="1"/>
    </row>
    <row r="505" spans="42:42" x14ac:dyDescent="0.25">
      <c r="AP505" s="1"/>
    </row>
    <row r="506" spans="42:42" x14ac:dyDescent="0.25">
      <c r="AP506" s="1"/>
    </row>
    <row r="507" spans="42:42" x14ac:dyDescent="0.25">
      <c r="AP507" s="1"/>
    </row>
    <row r="508" spans="42:42" x14ac:dyDescent="0.25">
      <c r="AP508" s="1"/>
    </row>
    <row r="509" spans="42:42" x14ac:dyDescent="0.25">
      <c r="AP509" s="1"/>
    </row>
    <row r="510" spans="42:42" x14ac:dyDescent="0.25">
      <c r="AP510" s="1"/>
    </row>
    <row r="511" spans="42:42" x14ac:dyDescent="0.25">
      <c r="AP511" s="1"/>
    </row>
    <row r="512" spans="42:42" x14ac:dyDescent="0.25">
      <c r="AP512" s="1"/>
    </row>
    <row r="513" spans="42:42" x14ac:dyDescent="0.25">
      <c r="AP513" s="1"/>
    </row>
    <row r="514" spans="42:42" x14ac:dyDescent="0.25">
      <c r="AP514" s="1"/>
    </row>
    <row r="515" spans="42:42" x14ac:dyDescent="0.25">
      <c r="AP515" s="1"/>
    </row>
    <row r="516" spans="42:42" x14ac:dyDescent="0.25">
      <c r="AP516" s="1"/>
    </row>
    <row r="517" spans="42:42" x14ac:dyDescent="0.25">
      <c r="AP517" s="1"/>
    </row>
    <row r="518" spans="42:42" x14ac:dyDescent="0.25">
      <c r="AP518" s="1"/>
    </row>
    <row r="519" spans="42:42" x14ac:dyDescent="0.25">
      <c r="AP519" s="1"/>
    </row>
    <row r="520" spans="42:42" x14ac:dyDescent="0.25">
      <c r="AP520" s="1"/>
    </row>
    <row r="521" spans="42:42" x14ac:dyDescent="0.25">
      <c r="AP521" s="1"/>
    </row>
    <row r="522" spans="42:42" x14ac:dyDescent="0.25">
      <c r="AP522" s="1"/>
    </row>
    <row r="523" spans="42:42" x14ac:dyDescent="0.25">
      <c r="AP523" s="1"/>
    </row>
    <row r="524" spans="42:42" x14ac:dyDescent="0.25">
      <c r="AP524" s="1"/>
    </row>
    <row r="525" spans="42:42" x14ac:dyDescent="0.25">
      <c r="AP525" s="1"/>
    </row>
    <row r="526" spans="42:42" x14ac:dyDescent="0.25">
      <c r="AP526" s="1"/>
    </row>
    <row r="527" spans="42:42" x14ac:dyDescent="0.25">
      <c r="AP527" s="1"/>
    </row>
    <row r="528" spans="42:42" x14ac:dyDescent="0.25">
      <c r="AP528" s="1"/>
    </row>
    <row r="529" spans="42:42" x14ac:dyDescent="0.25">
      <c r="AP529" s="1"/>
    </row>
    <row r="530" spans="42:42" x14ac:dyDescent="0.25">
      <c r="AP530" s="1"/>
    </row>
    <row r="531" spans="42:42" x14ac:dyDescent="0.25">
      <c r="AP531" s="1"/>
    </row>
    <row r="532" spans="42:42" x14ac:dyDescent="0.25">
      <c r="AP532" s="1"/>
    </row>
    <row r="533" spans="42:42" x14ac:dyDescent="0.25">
      <c r="AP533" s="1"/>
    </row>
    <row r="534" spans="42:42" x14ac:dyDescent="0.25">
      <c r="AP534" s="1"/>
    </row>
    <row r="535" spans="42:42" x14ac:dyDescent="0.25">
      <c r="AP535" s="1"/>
    </row>
    <row r="536" spans="42:42" x14ac:dyDescent="0.25">
      <c r="AP536" s="1"/>
    </row>
    <row r="537" spans="42:42" x14ac:dyDescent="0.25">
      <c r="AP537" s="1"/>
    </row>
    <row r="538" spans="42:42" x14ac:dyDescent="0.25">
      <c r="AP538" s="1"/>
    </row>
    <row r="539" spans="42:42" x14ac:dyDescent="0.25">
      <c r="AP539" s="1"/>
    </row>
    <row r="540" spans="42:42" x14ac:dyDescent="0.25">
      <c r="AP540" s="1"/>
    </row>
    <row r="541" spans="42:42" x14ac:dyDescent="0.25">
      <c r="AP541" s="1"/>
    </row>
    <row r="542" spans="42:42" x14ac:dyDescent="0.25">
      <c r="AP542" s="1"/>
    </row>
    <row r="543" spans="42:42" x14ac:dyDescent="0.25">
      <c r="AP543" s="1"/>
    </row>
    <row r="544" spans="42:42" x14ac:dyDescent="0.25">
      <c r="AP544" s="1"/>
    </row>
    <row r="545" spans="42:42" x14ac:dyDescent="0.25">
      <c r="AP545" s="1"/>
    </row>
    <row r="546" spans="42:42" x14ac:dyDescent="0.25">
      <c r="AP546" s="1"/>
    </row>
    <row r="547" spans="42:42" x14ac:dyDescent="0.25">
      <c r="AP547" s="1"/>
    </row>
    <row r="548" spans="42:42" x14ac:dyDescent="0.25">
      <c r="AP548" s="1"/>
    </row>
    <row r="549" spans="42:42" x14ac:dyDescent="0.25">
      <c r="AP549" s="1"/>
    </row>
    <row r="550" spans="42:42" x14ac:dyDescent="0.25">
      <c r="AP550" s="1"/>
    </row>
    <row r="551" spans="42:42" x14ac:dyDescent="0.25">
      <c r="AP551" s="1"/>
    </row>
    <row r="552" spans="42:42" x14ac:dyDescent="0.25">
      <c r="AP552" s="1"/>
    </row>
    <row r="553" spans="42:42" x14ac:dyDescent="0.25">
      <c r="AP553" s="1"/>
    </row>
    <row r="554" spans="42:42" x14ac:dyDescent="0.25">
      <c r="AP554" s="1"/>
    </row>
    <row r="555" spans="42:42" x14ac:dyDescent="0.25">
      <c r="AP555" s="1"/>
    </row>
    <row r="556" spans="42:42" x14ac:dyDescent="0.25">
      <c r="AP556" s="1"/>
    </row>
    <row r="557" spans="42:42" x14ac:dyDescent="0.25">
      <c r="AP557" s="1"/>
    </row>
    <row r="558" spans="42:42" x14ac:dyDescent="0.25">
      <c r="AP558" s="1"/>
    </row>
    <row r="559" spans="42:42" x14ac:dyDescent="0.25">
      <c r="AP559" s="1"/>
    </row>
    <row r="560" spans="42:42" x14ac:dyDescent="0.25">
      <c r="AP560" s="1"/>
    </row>
    <row r="561" spans="42:42" x14ac:dyDescent="0.25">
      <c r="AP561" s="1"/>
    </row>
    <row r="562" spans="42:42" x14ac:dyDescent="0.25">
      <c r="AP562" s="1"/>
    </row>
    <row r="563" spans="42:42" x14ac:dyDescent="0.25">
      <c r="AP563" s="1"/>
    </row>
    <row r="564" spans="42:42" x14ac:dyDescent="0.25">
      <c r="AP564" s="1"/>
    </row>
    <row r="565" spans="42:42" x14ac:dyDescent="0.25">
      <c r="AP565" s="1"/>
    </row>
    <row r="566" spans="42:42" x14ac:dyDescent="0.25">
      <c r="AP566" s="1"/>
    </row>
    <row r="567" spans="42:42" x14ac:dyDescent="0.25">
      <c r="AP567" s="1"/>
    </row>
    <row r="568" spans="42:42" x14ac:dyDescent="0.25">
      <c r="AP568" s="1"/>
    </row>
    <row r="569" spans="42:42" x14ac:dyDescent="0.25">
      <c r="AP569" s="1"/>
    </row>
    <row r="570" spans="42:42" x14ac:dyDescent="0.25">
      <c r="AP570" s="1"/>
    </row>
    <row r="571" spans="42:42" x14ac:dyDescent="0.25">
      <c r="AP571" s="1"/>
    </row>
    <row r="572" spans="42:42" x14ac:dyDescent="0.25">
      <c r="AP572" s="1"/>
    </row>
    <row r="573" spans="42:42" x14ac:dyDescent="0.25">
      <c r="AP573" s="1"/>
    </row>
    <row r="574" spans="42:42" x14ac:dyDescent="0.25">
      <c r="AP574" s="1"/>
    </row>
    <row r="575" spans="42:42" x14ac:dyDescent="0.25">
      <c r="AP575" s="1"/>
    </row>
    <row r="576" spans="42:42" x14ac:dyDescent="0.25">
      <c r="AP576" s="1"/>
    </row>
    <row r="577" spans="42:42" x14ac:dyDescent="0.25">
      <c r="AP577" s="1"/>
    </row>
    <row r="578" spans="42:42" x14ac:dyDescent="0.25">
      <c r="AP578" s="1"/>
    </row>
    <row r="579" spans="42:42" x14ac:dyDescent="0.25">
      <c r="AP579" s="1"/>
    </row>
    <row r="580" spans="42:42" x14ac:dyDescent="0.25">
      <c r="AP580" s="1"/>
    </row>
    <row r="581" spans="42:42" x14ac:dyDescent="0.25">
      <c r="AP581" s="1"/>
    </row>
    <row r="582" spans="42:42" x14ac:dyDescent="0.25">
      <c r="AP582" s="1"/>
    </row>
    <row r="583" spans="42:42" x14ac:dyDescent="0.25">
      <c r="AP583" s="1"/>
    </row>
    <row r="584" spans="42:42" x14ac:dyDescent="0.25">
      <c r="AP584" s="1"/>
    </row>
    <row r="585" spans="42:42" x14ac:dyDescent="0.25">
      <c r="AP585" s="1"/>
    </row>
    <row r="586" spans="42:42" x14ac:dyDescent="0.25">
      <c r="AP586" s="1"/>
    </row>
    <row r="587" spans="42:42" x14ac:dyDescent="0.25">
      <c r="AP587" s="1"/>
    </row>
    <row r="588" spans="42:42" x14ac:dyDescent="0.25">
      <c r="AP588" s="1"/>
    </row>
    <row r="589" spans="42:42" x14ac:dyDescent="0.25">
      <c r="AP589" s="1"/>
    </row>
    <row r="590" spans="42:42" x14ac:dyDescent="0.25">
      <c r="AP590" s="1"/>
    </row>
    <row r="591" spans="42:42" x14ac:dyDescent="0.25">
      <c r="AP591" s="1"/>
    </row>
    <row r="592" spans="42:42" x14ac:dyDescent="0.25">
      <c r="AP592" s="1"/>
    </row>
    <row r="593" spans="42:42" x14ac:dyDescent="0.25">
      <c r="AP593" s="1"/>
    </row>
    <row r="594" spans="42:42" x14ac:dyDescent="0.25">
      <c r="AP594" s="1"/>
    </row>
    <row r="595" spans="42:42" x14ac:dyDescent="0.25">
      <c r="AP595" s="1"/>
    </row>
    <row r="596" spans="42:42" x14ac:dyDescent="0.25">
      <c r="AP596" s="1"/>
    </row>
    <row r="597" spans="42:42" x14ac:dyDescent="0.25">
      <c r="AP597" s="1"/>
    </row>
    <row r="598" spans="42:42" x14ac:dyDescent="0.25">
      <c r="AP598" s="1"/>
    </row>
    <row r="599" spans="42:42" x14ac:dyDescent="0.25">
      <c r="AP599" s="1"/>
    </row>
    <row r="600" spans="42:42" x14ac:dyDescent="0.25">
      <c r="AP600" s="1"/>
    </row>
    <row r="601" spans="42:42" x14ac:dyDescent="0.25">
      <c r="AP601" s="1"/>
    </row>
    <row r="602" spans="42:42" x14ac:dyDescent="0.25">
      <c r="AP602" s="1"/>
    </row>
    <row r="603" spans="42:42" x14ac:dyDescent="0.25">
      <c r="AP603" s="1"/>
    </row>
    <row r="604" spans="42:42" x14ac:dyDescent="0.25">
      <c r="AP604" s="1"/>
    </row>
    <row r="605" spans="42:42" x14ac:dyDescent="0.25">
      <c r="AP605" s="1"/>
    </row>
    <row r="606" spans="42:42" x14ac:dyDescent="0.25">
      <c r="AP606" s="1"/>
    </row>
    <row r="607" spans="42:42" x14ac:dyDescent="0.25">
      <c r="AP607" s="1"/>
    </row>
    <row r="608" spans="42:42" x14ac:dyDescent="0.25">
      <c r="AP608" s="1"/>
    </row>
    <row r="609" spans="42:42" x14ac:dyDescent="0.25">
      <c r="AP609" s="1"/>
    </row>
    <row r="610" spans="42:42" x14ac:dyDescent="0.25">
      <c r="AP610" s="1"/>
    </row>
    <row r="611" spans="42:42" x14ac:dyDescent="0.25">
      <c r="AP611" s="1"/>
    </row>
    <row r="612" spans="42:42" x14ac:dyDescent="0.25">
      <c r="AP612" s="1"/>
    </row>
    <row r="613" spans="42:42" x14ac:dyDescent="0.25">
      <c r="AP613" s="1"/>
    </row>
    <row r="614" spans="42:42" x14ac:dyDescent="0.25">
      <c r="AP614" s="1"/>
    </row>
    <row r="615" spans="42:42" x14ac:dyDescent="0.25">
      <c r="AP615" s="1"/>
    </row>
    <row r="616" spans="42:42" x14ac:dyDescent="0.25">
      <c r="AP616" s="1"/>
    </row>
    <row r="617" spans="42:42" x14ac:dyDescent="0.25">
      <c r="AP617" s="1"/>
    </row>
    <row r="618" spans="42:42" x14ac:dyDescent="0.25">
      <c r="AP618" s="1"/>
    </row>
    <row r="619" spans="42:42" x14ac:dyDescent="0.25">
      <c r="AP619" s="1"/>
    </row>
    <row r="620" spans="42:42" x14ac:dyDescent="0.25">
      <c r="AP620" s="1"/>
    </row>
    <row r="621" spans="42:42" x14ac:dyDescent="0.25">
      <c r="AP621" s="1"/>
    </row>
    <row r="622" spans="42:42" x14ac:dyDescent="0.25">
      <c r="AP622" s="1"/>
    </row>
    <row r="623" spans="42:42" x14ac:dyDescent="0.25">
      <c r="AP623" s="1"/>
    </row>
    <row r="624" spans="42:42" x14ac:dyDescent="0.25">
      <c r="AP624" s="1"/>
    </row>
    <row r="625" spans="42:42" x14ac:dyDescent="0.25">
      <c r="AP625" s="1"/>
    </row>
    <row r="626" spans="42:42" x14ac:dyDescent="0.25">
      <c r="AP626" s="1"/>
    </row>
    <row r="627" spans="42:42" x14ac:dyDescent="0.25">
      <c r="AP627" s="1"/>
    </row>
    <row r="628" spans="42:42" x14ac:dyDescent="0.25">
      <c r="AP628" s="1"/>
    </row>
    <row r="629" spans="42:42" x14ac:dyDescent="0.25">
      <c r="AP629" s="1"/>
    </row>
    <row r="630" spans="42:42" x14ac:dyDescent="0.25">
      <c r="AP630" s="1"/>
    </row>
    <row r="631" spans="42:42" x14ac:dyDescent="0.25">
      <c r="AP631" s="1"/>
    </row>
    <row r="632" spans="42:42" x14ac:dyDescent="0.25">
      <c r="AP632" s="1"/>
    </row>
    <row r="633" spans="42:42" x14ac:dyDescent="0.25">
      <c r="AP633" s="1"/>
    </row>
    <row r="634" spans="42:42" x14ac:dyDescent="0.25">
      <c r="AP634" s="1"/>
    </row>
    <row r="635" spans="42:42" x14ac:dyDescent="0.25">
      <c r="AP635" s="1"/>
    </row>
    <row r="636" spans="42:42" x14ac:dyDescent="0.25">
      <c r="AP636" s="1"/>
    </row>
    <row r="637" spans="42:42" x14ac:dyDescent="0.25">
      <c r="AP637" s="1"/>
    </row>
    <row r="638" spans="42:42" x14ac:dyDescent="0.25">
      <c r="AP638" s="1"/>
    </row>
    <row r="639" spans="42:42" x14ac:dyDescent="0.25">
      <c r="AP639" s="1"/>
    </row>
    <row r="640" spans="42:42" x14ac:dyDescent="0.25">
      <c r="AP640" s="1"/>
    </row>
    <row r="641" spans="42:42" x14ac:dyDescent="0.25">
      <c r="AP641" s="1"/>
    </row>
    <row r="642" spans="42:42" x14ac:dyDescent="0.25">
      <c r="AP642" s="1"/>
    </row>
    <row r="643" spans="42:42" x14ac:dyDescent="0.25">
      <c r="AP643" s="1"/>
    </row>
    <row r="644" spans="42:42" x14ac:dyDescent="0.25">
      <c r="AP644" s="1"/>
    </row>
    <row r="645" spans="42:42" x14ac:dyDescent="0.25">
      <c r="AP645" s="1"/>
    </row>
    <row r="646" spans="42:42" x14ac:dyDescent="0.25">
      <c r="AP646" s="1"/>
    </row>
    <row r="647" spans="42:42" x14ac:dyDescent="0.25">
      <c r="AP647" s="1"/>
    </row>
    <row r="648" spans="42:42" x14ac:dyDescent="0.25">
      <c r="AP648" s="1"/>
    </row>
    <row r="649" spans="42:42" x14ac:dyDescent="0.25">
      <c r="AP649" s="1"/>
    </row>
    <row r="650" spans="42:42" x14ac:dyDescent="0.25">
      <c r="AP650" s="1"/>
    </row>
    <row r="651" spans="42:42" x14ac:dyDescent="0.25">
      <c r="AP651" s="1"/>
    </row>
    <row r="652" spans="42:42" x14ac:dyDescent="0.25">
      <c r="AP652" s="1"/>
    </row>
    <row r="653" spans="42:42" x14ac:dyDescent="0.25">
      <c r="AP653" s="1"/>
    </row>
    <row r="654" spans="42:42" x14ac:dyDescent="0.25">
      <c r="AP654" s="1"/>
    </row>
    <row r="655" spans="42:42" x14ac:dyDescent="0.25">
      <c r="AP655" s="1"/>
    </row>
    <row r="656" spans="42:42" x14ac:dyDescent="0.25">
      <c r="AP656" s="1"/>
    </row>
    <row r="657" spans="42:42" x14ac:dyDescent="0.25">
      <c r="AP657" s="1"/>
    </row>
    <row r="658" spans="42:42" x14ac:dyDescent="0.25">
      <c r="AP658" s="1"/>
    </row>
    <row r="659" spans="42:42" x14ac:dyDescent="0.25">
      <c r="AP659" s="1"/>
    </row>
    <row r="660" spans="42:42" x14ac:dyDescent="0.25">
      <c r="AP660" s="1"/>
    </row>
    <row r="661" spans="42:42" x14ac:dyDescent="0.25">
      <c r="AP661" s="1"/>
    </row>
    <row r="662" spans="42:42" x14ac:dyDescent="0.25">
      <c r="AP662" s="1"/>
    </row>
    <row r="663" spans="42:42" x14ac:dyDescent="0.25">
      <c r="AP663" s="1"/>
    </row>
    <row r="664" spans="42:42" x14ac:dyDescent="0.25">
      <c r="AP664" s="1"/>
    </row>
    <row r="665" spans="42:42" x14ac:dyDescent="0.25">
      <c r="AP665" s="1"/>
    </row>
    <row r="666" spans="42:42" x14ac:dyDescent="0.25">
      <c r="AP666" s="1"/>
    </row>
    <row r="667" spans="42:42" x14ac:dyDescent="0.25">
      <c r="AP667" s="1"/>
    </row>
    <row r="668" spans="42:42" x14ac:dyDescent="0.25">
      <c r="AP668" s="1"/>
    </row>
    <row r="669" spans="42:42" x14ac:dyDescent="0.25">
      <c r="AP669" s="1"/>
    </row>
    <row r="670" spans="42:42" x14ac:dyDescent="0.25">
      <c r="AP670" s="1"/>
    </row>
    <row r="671" spans="42:42" x14ac:dyDescent="0.25">
      <c r="AP671" s="1"/>
    </row>
    <row r="672" spans="42:42" x14ac:dyDescent="0.25">
      <c r="AP672" s="1"/>
    </row>
    <row r="673" spans="42:42" x14ac:dyDescent="0.25">
      <c r="AP673" s="1"/>
    </row>
    <row r="674" spans="42:42" x14ac:dyDescent="0.25">
      <c r="AP674" s="1"/>
    </row>
    <row r="675" spans="42:42" x14ac:dyDescent="0.25">
      <c r="AP675" s="1"/>
    </row>
    <row r="676" spans="42:42" x14ac:dyDescent="0.25">
      <c r="AP676" s="1"/>
    </row>
    <row r="677" spans="42:42" x14ac:dyDescent="0.25">
      <c r="AP677" s="1"/>
    </row>
    <row r="678" spans="42:42" x14ac:dyDescent="0.25">
      <c r="AP678" s="1"/>
    </row>
    <row r="679" spans="42:42" x14ac:dyDescent="0.25">
      <c r="AP679" s="1"/>
    </row>
    <row r="680" spans="42:42" x14ac:dyDescent="0.25">
      <c r="AP680" s="1"/>
    </row>
    <row r="681" spans="42:42" x14ac:dyDescent="0.25">
      <c r="AP681" s="1"/>
    </row>
    <row r="682" spans="42:42" x14ac:dyDescent="0.25">
      <c r="AP682" s="1"/>
    </row>
    <row r="683" spans="42:42" x14ac:dyDescent="0.25">
      <c r="AP683" s="1"/>
    </row>
    <row r="684" spans="42:42" x14ac:dyDescent="0.25">
      <c r="AP684" s="1"/>
    </row>
    <row r="685" spans="42:42" x14ac:dyDescent="0.25">
      <c r="AP685" s="1"/>
    </row>
    <row r="686" spans="42:42" x14ac:dyDescent="0.25">
      <c r="AP686" s="1"/>
    </row>
    <row r="687" spans="42:42" x14ac:dyDescent="0.25">
      <c r="AP687" s="1"/>
    </row>
    <row r="688" spans="42:42" x14ac:dyDescent="0.25">
      <c r="AP688" s="1"/>
    </row>
    <row r="689" spans="42:42" x14ac:dyDescent="0.25">
      <c r="AP689" s="1"/>
    </row>
    <row r="690" spans="42:42" x14ac:dyDescent="0.25">
      <c r="AP690" s="1"/>
    </row>
    <row r="691" spans="42:42" x14ac:dyDescent="0.25">
      <c r="AP691" s="1"/>
    </row>
    <row r="692" spans="42:42" x14ac:dyDescent="0.25">
      <c r="AP692" s="1"/>
    </row>
    <row r="693" spans="42:42" x14ac:dyDescent="0.25">
      <c r="AP693" s="1"/>
    </row>
    <row r="694" spans="42:42" x14ac:dyDescent="0.25">
      <c r="AP694" s="1"/>
    </row>
    <row r="695" spans="42:42" x14ac:dyDescent="0.25">
      <c r="AP695" s="1"/>
    </row>
    <row r="696" spans="42:42" x14ac:dyDescent="0.25">
      <c r="AP696" s="1"/>
    </row>
    <row r="697" spans="42:42" x14ac:dyDescent="0.25">
      <c r="AP697" s="1"/>
    </row>
    <row r="698" spans="42:42" x14ac:dyDescent="0.25">
      <c r="AP698" s="1"/>
    </row>
    <row r="699" spans="42:42" x14ac:dyDescent="0.25">
      <c r="AP699" s="1"/>
    </row>
    <row r="700" spans="42:42" x14ac:dyDescent="0.25">
      <c r="AP700" s="1"/>
    </row>
    <row r="701" spans="42:42" x14ac:dyDescent="0.25">
      <c r="AP701" s="1"/>
    </row>
    <row r="702" spans="42:42" x14ac:dyDescent="0.25">
      <c r="AP702" s="1"/>
    </row>
    <row r="703" spans="42:42" x14ac:dyDescent="0.25">
      <c r="AP703" s="1"/>
    </row>
    <row r="704" spans="42:42" x14ac:dyDescent="0.25">
      <c r="AP704" s="1"/>
    </row>
    <row r="705" spans="42:42" x14ac:dyDescent="0.25">
      <c r="AP705" s="1"/>
    </row>
    <row r="706" spans="42:42" x14ac:dyDescent="0.25">
      <c r="AP706" s="1"/>
    </row>
    <row r="707" spans="42:42" x14ac:dyDescent="0.25">
      <c r="AP707" s="1"/>
    </row>
    <row r="708" spans="42:42" x14ac:dyDescent="0.25">
      <c r="AP708" s="1"/>
    </row>
    <row r="709" spans="42:42" x14ac:dyDescent="0.25">
      <c r="AP709" s="1"/>
    </row>
    <row r="710" spans="42:42" x14ac:dyDescent="0.25">
      <c r="AP710" s="1"/>
    </row>
    <row r="711" spans="42:42" x14ac:dyDescent="0.25">
      <c r="AP711" s="1"/>
    </row>
    <row r="712" spans="42:42" x14ac:dyDescent="0.25">
      <c r="AP712" s="1"/>
    </row>
    <row r="713" spans="42:42" x14ac:dyDescent="0.25">
      <c r="AP713" s="1"/>
    </row>
    <row r="714" spans="42:42" x14ac:dyDescent="0.25">
      <c r="AP714" s="1"/>
    </row>
    <row r="715" spans="42:42" x14ac:dyDescent="0.25">
      <c r="AP715" s="1"/>
    </row>
    <row r="716" spans="42:42" x14ac:dyDescent="0.25">
      <c r="AP716" s="1"/>
    </row>
    <row r="717" spans="42:42" x14ac:dyDescent="0.25">
      <c r="AP717" s="1"/>
    </row>
    <row r="718" spans="42:42" x14ac:dyDescent="0.25">
      <c r="AP718" s="1"/>
    </row>
    <row r="719" spans="42:42" x14ac:dyDescent="0.25">
      <c r="AP719" s="1"/>
    </row>
    <row r="720" spans="42:42" x14ac:dyDescent="0.25">
      <c r="AP720" s="1"/>
    </row>
    <row r="721" spans="42:42" x14ac:dyDescent="0.25">
      <c r="AP721" s="1"/>
    </row>
    <row r="722" spans="42:42" x14ac:dyDescent="0.25">
      <c r="AP722" s="1"/>
    </row>
    <row r="723" spans="42:42" x14ac:dyDescent="0.25">
      <c r="AP723" s="1"/>
    </row>
    <row r="724" spans="42:42" x14ac:dyDescent="0.25">
      <c r="AP724" s="1"/>
    </row>
    <row r="725" spans="42:42" x14ac:dyDescent="0.25">
      <c r="AP725" s="1"/>
    </row>
    <row r="726" spans="42:42" x14ac:dyDescent="0.25">
      <c r="AP726" s="1"/>
    </row>
    <row r="727" spans="42:42" x14ac:dyDescent="0.25">
      <c r="AP727" s="1"/>
    </row>
    <row r="728" spans="42:42" x14ac:dyDescent="0.25">
      <c r="AP728" s="1"/>
    </row>
    <row r="729" spans="42:42" x14ac:dyDescent="0.25">
      <c r="AP729" s="1"/>
    </row>
    <row r="730" spans="42:42" x14ac:dyDescent="0.25">
      <c r="AP730" s="1"/>
    </row>
    <row r="731" spans="42:42" x14ac:dyDescent="0.25">
      <c r="AP731" s="1"/>
    </row>
    <row r="732" spans="42:42" x14ac:dyDescent="0.25">
      <c r="AP732" s="1"/>
    </row>
    <row r="733" spans="42:42" x14ac:dyDescent="0.25">
      <c r="AP733" s="1"/>
    </row>
    <row r="734" spans="42:42" x14ac:dyDescent="0.25">
      <c r="AP734" s="1"/>
    </row>
    <row r="735" spans="42:42" x14ac:dyDescent="0.25">
      <c r="AP735" s="1"/>
    </row>
    <row r="736" spans="42:42" x14ac:dyDescent="0.25">
      <c r="AP736" s="1"/>
    </row>
    <row r="737" spans="42:42" x14ac:dyDescent="0.25">
      <c r="AP737" s="1"/>
    </row>
    <row r="738" spans="42:42" x14ac:dyDescent="0.25">
      <c r="AP738" s="1"/>
    </row>
    <row r="739" spans="42:42" x14ac:dyDescent="0.25">
      <c r="AP739" s="1"/>
    </row>
    <row r="740" spans="42:42" x14ac:dyDescent="0.25">
      <c r="AP740" s="1"/>
    </row>
    <row r="741" spans="42:42" x14ac:dyDescent="0.25">
      <c r="AP741" s="1"/>
    </row>
    <row r="742" spans="42:42" x14ac:dyDescent="0.25">
      <c r="AP742" s="1"/>
    </row>
    <row r="743" spans="42:42" x14ac:dyDescent="0.25">
      <c r="AP743" s="1"/>
    </row>
    <row r="744" spans="42:42" x14ac:dyDescent="0.25">
      <c r="AP744" s="1"/>
    </row>
    <row r="745" spans="42:42" x14ac:dyDescent="0.25">
      <c r="AP745" s="1"/>
    </row>
    <row r="746" spans="42:42" x14ac:dyDescent="0.25">
      <c r="AP746" s="1"/>
    </row>
    <row r="747" spans="42:42" x14ac:dyDescent="0.25">
      <c r="AP747" s="1"/>
    </row>
    <row r="748" spans="42:42" x14ac:dyDescent="0.25">
      <c r="AP748" s="1"/>
    </row>
    <row r="749" spans="42:42" x14ac:dyDescent="0.25">
      <c r="AP749" s="1"/>
    </row>
    <row r="750" spans="42:42" x14ac:dyDescent="0.25">
      <c r="AP750" s="1"/>
    </row>
    <row r="751" spans="42:42" x14ac:dyDescent="0.25">
      <c r="AP751" s="1"/>
    </row>
    <row r="752" spans="42:42" x14ac:dyDescent="0.25">
      <c r="AP752" s="1"/>
    </row>
    <row r="753" spans="42:42" x14ac:dyDescent="0.25">
      <c r="AP753" s="1"/>
    </row>
    <row r="754" spans="42:42" x14ac:dyDescent="0.25">
      <c r="AP754" s="1"/>
    </row>
    <row r="755" spans="42:42" x14ac:dyDescent="0.25">
      <c r="AP755" s="1"/>
    </row>
    <row r="756" spans="42:42" x14ac:dyDescent="0.25">
      <c r="AP756" s="1"/>
    </row>
    <row r="757" spans="42:42" x14ac:dyDescent="0.25">
      <c r="AP757" s="1"/>
    </row>
    <row r="758" spans="42:42" x14ac:dyDescent="0.25">
      <c r="AP758" s="1"/>
    </row>
    <row r="759" spans="42:42" x14ac:dyDescent="0.25">
      <c r="AP759" s="1"/>
    </row>
    <row r="760" spans="42:42" x14ac:dyDescent="0.25">
      <c r="AP760" s="1"/>
    </row>
    <row r="761" spans="42:42" x14ac:dyDescent="0.25">
      <c r="AP761" s="1"/>
    </row>
    <row r="762" spans="42:42" x14ac:dyDescent="0.25">
      <c r="AP762" s="1"/>
    </row>
    <row r="763" spans="42:42" x14ac:dyDescent="0.25">
      <c r="AP763" s="1"/>
    </row>
    <row r="764" spans="42:42" x14ac:dyDescent="0.25">
      <c r="AP764" s="1"/>
    </row>
    <row r="765" spans="42:42" x14ac:dyDescent="0.25">
      <c r="AP765" s="1"/>
    </row>
    <row r="766" spans="42:42" x14ac:dyDescent="0.25">
      <c r="AP766" s="1"/>
    </row>
    <row r="767" spans="42:42" x14ac:dyDescent="0.25">
      <c r="AP767" s="1"/>
    </row>
    <row r="768" spans="42:42" x14ac:dyDescent="0.25">
      <c r="AP768" s="1"/>
    </row>
    <row r="769" spans="42:42" x14ac:dyDescent="0.25">
      <c r="AP769" s="1"/>
    </row>
    <row r="770" spans="42:42" x14ac:dyDescent="0.25">
      <c r="AP770" s="1"/>
    </row>
    <row r="771" spans="42:42" x14ac:dyDescent="0.25">
      <c r="AP771" s="1"/>
    </row>
    <row r="772" spans="42:42" x14ac:dyDescent="0.25">
      <c r="AP772" s="1"/>
    </row>
    <row r="773" spans="42:42" x14ac:dyDescent="0.25">
      <c r="AP773" s="1"/>
    </row>
    <row r="774" spans="42:42" x14ac:dyDescent="0.25">
      <c r="AP774" s="1"/>
    </row>
    <row r="775" spans="42:42" x14ac:dyDescent="0.25">
      <c r="AP775" s="1"/>
    </row>
    <row r="776" spans="42:42" x14ac:dyDescent="0.25">
      <c r="AP776" s="1"/>
    </row>
    <row r="777" spans="42:42" x14ac:dyDescent="0.25">
      <c r="AP777" s="1"/>
    </row>
    <row r="778" spans="42:42" x14ac:dyDescent="0.25">
      <c r="AP778" s="1"/>
    </row>
    <row r="779" spans="42:42" x14ac:dyDescent="0.25">
      <c r="AP779" s="1"/>
    </row>
    <row r="780" spans="42:42" x14ac:dyDescent="0.25">
      <c r="AP780" s="1"/>
    </row>
    <row r="781" spans="42:42" x14ac:dyDescent="0.25">
      <c r="AP781" s="1"/>
    </row>
    <row r="782" spans="42:42" x14ac:dyDescent="0.25">
      <c r="AP782" s="1"/>
    </row>
    <row r="783" spans="42:42" x14ac:dyDescent="0.25">
      <c r="AP783" s="1"/>
    </row>
    <row r="784" spans="42:42" x14ac:dyDescent="0.25">
      <c r="AP784" s="1"/>
    </row>
    <row r="785" spans="42:42" x14ac:dyDescent="0.25">
      <c r="AP785" s="1"/>
    </row>
    <row r="786" spans="42:42" x14ac:dyDescent="0.25">
      <c r="AP786" s="1"/>
    </row>
    <row r="787" spans="42:42" x14ac:dyDescent="0.25">
      <c r="AP787" s="1"/>
    </row>
    <row r="788" spans="42:42" x14ac:dyDescent="0.25">
      <c r="AP788" s="1"/>
    </row>
    <row r="789" spans="42:42" x14ac:dyDescent="0.25">
      <c r="AP789" s="1"/>
    </row>
    <row r="790" spans="42:42" x14ac:dyDescent="0.25">
      <c r="AP790" s="1"/>
    </row>
    <row r="791" spans="42:42" x14ac:dyDescent="0.25">
      <c r="AP791" s="1"/>
    </row>
    <row r="792" spans="42:42" x14ac:dyDescent="0.25">
      <c r="AP792" s="1"/>
    </row>
    <row r="793" spans="42:42" x14ac:dyDescent="0.25">
      <c r="AP793" s="1"/>
    </row>
    <row r="794" spans="42:42" x14ac:dyDescent="0.25">
      <c r="AP794" s="1"/>
    </row>
    <row r="795" spans="42:42" x14ac:dyDescent="0.25">
      <c r="AP795" s="1"/>
    </row>
    <row r="796" spans="42:42" x14ac:dyDescent="0.25">
      <c r="AP796" s="1"/>
    </row>
    <row r="797" spans="42:42" x14ac:dyDescent="0.25">
      <c r="AP797" s="1"/>
    </row>
    <row r="798" spans="42:42" x14ac:dyDescent="0.25">
      <c r="AP798" s="1"/>
    </row>
    <row r="799" spans="42:42" x14ac:dyDescent="0.25">
      <c r="AP799" s="1"/>
    </row>
    <row r="800" spans="42:42" x14ac:dyDescent="0.25">
      <c r="AP800" s="1"/>
    </row>
    <row r="801" spans="42:42" x14ac:dyDescent="0.25">
      <c r="AP801" s="1"/>
    </row>
    <row r="802" spans="42:42" x14ac:dyDescent="0.25">
      <c r="AP802" s="1"/>
    </row>
    <row r="803" spans="42:42" x14ac:dyDescent="0.25">
      <c r="AP803" s="1"/>
    </row>
    <row r="804" spans="42:42" x14ac:dyDescent="0.25">
      <c r="AP804" s="1"/>
    </row>
    <row r="805" spans="42:42" x14ac:dyDescent="0.25">
      <c r="AP805" s="1"/>
    </row>
    <row r="806" spans="42:42" x14ac:dyDescent="0.25">
      <c r="AP806" s="1"/>
    </row>
    <row r="807" spans="42:42" x14ac:dyDescent="0.25">
      <c r="AP807" s="1"/>
    </row>
    <row r="808" spans="42:42" x14ac:dyDescent="0.25">
      <c r="AP808" s="1"/>
    </row>
    <row r="809" spans="42:42" x14ac:dyDescent="0.25">
      <c r="AP809" s="1"/>
    </row>
    <row r="810" spans="42:42" x14ac:dyDescent="0.25">
      <c r="AP810" s="1"/>
    </row>
    <row r="811" spans="42:42" x14ac:dyDescent="0.25">
      <c r="AP811" s="1"/>
    </row>
    <row r="812" spans="42:42" x14ac:dyDescent="0.25">
      <c r="AP812" s="1"/>
    </row>
    <row r="813" spans="42:42" x14ac:dyDescent="0.25">
      <c r="AP813" s="1"/>
    </row>
    <row r="814" spans="42:42" x14ac:dyDescent="0.25">
      <c r="AP814" s="1"/>
    </row>
    <row r="815" spans="42:42" x14ac:dyDescent="0.25">
      <c r="AP815" s="1"/>
    </row>
    <row r="816" spans="42:42" x14ac:dyDescent="0.25">
      <c r="AP816" s="1"/>
    </row>
    <row r="817" spans="42:42" x14ac:dyDescent="0.25">
      <c r="AP817" s="1"/>
    </row>
    <row r="818" spans="42:42" x14ac:dyDescent="0.25">
      <c r="AP818" s="1"/>
    </row>
    <row r="819" spans="42:42" x14ac:dyDescent="0.25">
      <c r="AP819" s="1"/>
    </row>
    <row r="820" spans="42:42" x14ac:dyDescent="0.25">
      <c r="AP820" s="1"/>
    </row>
    <row r="821" spans="42:42" x14ac:dyDescent="0.25">
      <c r="AP821" s="1"/>
    </row>
    <row r="822" spans="42:42" x14ac:dyDescent="0.25">
      <c r="AP822" s="1"/>
    </row>
    <row r="823" spans="42:42" x14ac:dyDescent="0.25">
      <c r="AP823" s="1"/>
    </row>
    <row r="824" spans="42:42" x14ac:dyDescent="0.25">
      <c r="AP824" s="1"/>
    </row>
    <row r="825" spans="42:42" x14ac:dyDescent="0.25">
      <c r="AP825" s="1"/>
    </row>
    <row r="826" spans="42:42" x14ac:dyDescent="0.25">
      <c r="AP826" s="1"/>
    </row>
    <row r="827" spans="42:42" x14ac:dyDescent="0.25">
      <c r="AP827" s="1"/>
    </row>
    <row r="828" spans="42:42" x14ac:dyDescent="0.25">
      <c r="AP828" s="1"/>
    </row>
    <row r="829" spans="42:42" x14ac:dyDescent="0.25">
      <c r="AP829" s="1"/>
    </row>
    <row r="830" spans="42:42" x14ac:dyDescent="0.25">
      <c r="AP830" s="1"/>
    </row>
    <row r="831" spans="42:42" x14ac:dyDescent="0.25">
      <c r="AP831" s="1"/>
    </row>
    <row r="832" spans="42:42" x14ac:dyDescent="0.25">
      <c r="AP832" s="1"/>
    </row>
    <row r="833" spans="42:42" x14ac:dyDescent="0.25">
      <c r="AP833" s="1"/>
    </row>
    <row r="834" spans="42:42" x14ac:dyDescent="0.25">
      <c r="AP834" s="1"/>
    </row>
    <row r="835" spans="42:42" x14ac:dyDescent="0.25">
      <c r="AP835" s="1"/>
    </row>
    <row r="836" spans="42:42" x14ac:dyDescent="0.25">
      <c r="AP836" s="1"/>
    </row>
    <row r="837" spans="42:42" x14ac:dyDescent="0.25">
      <c r="AP837" s="1"/>
    </row>
    <row r="838" spans="42:42" x14ac:dyDescent="0.25">
      <c r="AP838" s="1"/>
    </row>
    <row r="839" spans="42:42" x14ac:dyDescent="0.25">
      <c r="AP839" s="1"/>
    </row>
    <row r="840" spans="42:42" x14ac:dyDescent="0.25">
      <c r="AP840" s="1"/>
    </row>
    <row r="841" spans="42:42" x14ac:dyDescent="0.25">
      <c r="AP841" s="1"/>
    </row>
    <row r="842" spans="42:42" x14ac:dyDescent="0.25">
      <c r="AP842" s="1"/>
    </row>
    <row r="843" spans="42:42" x14ac:dyDescent="0.25">
      <c r="AP843" s="1"/>
    </row>
    <row r="844" spans="42:42" x14ac:dyDescent="0.25">
      <c r="AP844" s="1"/>
    </row>
    <row r="845" spans="42:42" x14ac:dyDescent="0.25">
      <c r="AP845" s="1"/>
    </row>
    <row r="846" spans="42:42" x14ac:dyDescent="0.25">
      <c r="AP846" s="1"/>
    </row>
    <row r="847" spans="42:42" x14ac:dyDescent="0.25">
      <c r="AP847" s="1"/>
    </row>
    <row r="848" spans="42:42" x14ac:dyDescent="0.25">
      <c r="AP848" s="1"/>
    </row>
    <row r="849" spans="42:42" x14ac:dyDescent="0.25">
      <c r="AP849" s="1"/>
    </row>
    <row r="850" spans="42:42" x14ac:dyDescent="0.25">
      <c r="AP850" s="1"/>
    </row>
    <row r="851" spans="42:42" x14ac:dyDescent="0.25">
      <c r="AP851" s="1"/>
    </row>
    <row r="852" spans="42:42" x14ac:dyDescent="0.25">
      <c r="AP852" s="1"/>
    </row>
    <row r="853" spans="42:42" x14ac:dyDescent="0.25">
      <c r="AP853" s="1"/>
    </row>
    <row r="854" spans="42:42" x14ac:dyDescent="0.25">
      <c r="AP854" s="1"/>
    </row>
    <row r="855" spans="42:42" x14ac:dyDescent="0.25">
      <c r="AP855" s="1"/>
    </row>
    <row r="856" spans="42:42" x14ac:dyDescent="0.25">
      <c r="AP856" s="1"/>
    </row>
    <row r="857" spans="42:42" x14ac:dyDescent="0.25">
      <c r="AP857" s="1"/>
    </row>
    <row r="858" spans="42:42" x14ac:dyDescent="0.25">
      <c r="AP858" s="1"/>
    </row>
    <row r="859" spans="42:42" x14ac:dyDescent="0.25">
      <c r="AP859" s="1"/>
    </row>
    <row r="860" spans="42:42" x14ac:dyDescent="0.25">
      <c r="AP860" s="1"/>
    </row>
    <row r="861" spans="42:42" x14ac:dyDescent="0.25">
      <c r="AP861" s="1"/>
    </row>
    <row r="862" spans="42:42" x14ac:dyDescent="0.25">
      <c r="AP862" s="1"/>
    </row>
    <row r="863" spans="42:42" x14ac:dyDescent="0.25">
      <c r="AP863" s="1"/>
    </row>
    <row r="864" spans="42:42" x14ac:dyDescent="0.25">
      <c r="AP864" s="1"/>
    </row>
    <row r="865" spans="42:42" x14ac:dyDescent="0.25">
      <c r="AP865" s="1"/>
    </row>
    <row r="866" spans="42:42" x14ac:dyDescent="0.25">
      <c r="AP866" s="1"/>
    </row>
    <row r="867" spans="42:42" x14ac:dyDescent="0.25">
      <c r="AP867" s="1"/>
    </row>
    <row r="868" spans="42:42" x14ac:dyDescent="0.25">
      <c r="AP868" s="1"/>
    </row>
    <row r="869" spans="42:42" x14ac:dyDescent="0.25">
      <c r="AP869" s="1"/>
    </row>
    <row r="870" spans="42:42" x14ac:dyDescent="0.25">
      <c r="AP870" s="1"/>
    </row>
    <row r="871" spans="42:42" x14ac:dyDescent="0.25">
      <c r="AP871" s="1"/>
    </row>
    <row r="872" spans="42:42" x14ac:dyDescent="0.25">
      <c r="AP872" s="1"/>
    </row>
    <row r="873" spans="42:42" x14ac:dyDescent="0.25">
      <c r="AP873" s="1"/>
    </row>
    <row r="874" spans="42:42" x14ac:dyDescent="0.25">
      <c r="AP874" s="1"/>
    </row>
    <row r="875" spans="42:42" x14ac:dyDescent="0.25">
      <c r="AP875" s="1"/>
    </row>
    <row r="876" spans="42:42" x14ac:dyDescent="0.25">
      <c r="AP876" s="1"/>
    </row>
    <row r="877" spans="42:42" x14ac:dyDescent="0.25">
      <c r="AP877" s="1"/>
    </row>
    <row r="878" spans="42:42" x14ac:dyDescent="0.25">
      <c r="AP878" s="1"/>
    </row>
    <row r="879" spans="42:42" x14ac:dyDescent="0.25">
      <c r="AP879" s="1"/>
    </row>
    <row r="880" spans="42:42" x14ac:dyDescent="0.25">
      <c r="AP880" s="1"/>
    </row>
    <row r="881" spans="42:42" x14ac:dyDescent="0.25">
      <c r="AP881" s="1"/>
    </row>
    <row r="882" spans="42:42" x14ac:dyDescent="0.25">
      <c r="AP882" s="1"/>
    </row>
    <row r="883" spans="42:42" x14ac:dyDescent="0.25">
      <c r="AP883" s="1"/>
    </row>
    <row r="884" spans="42:42" x14ac:dyDescent="0.25">
      <c r="AP884" s="1"/>
    </row>
    <row r="885" spans="42:42" x14ac:dyDescent="0.25">
      <c r="AP885" s="1"/>
    </row>
    <row r="886" spans="42:42" x14ac:dyDescent="0.25">
      <c r="AP886" s="1"/>
    </row>
    <row r="887" spans="42:42" x14ac:dyDescent="0.25">
      <c r="AP887" s="1"/>
    </row>
    <row r="888" spans="42:42" x14ac:dyDescent="0.25">
      <c r="AP888" s="1"/>
    </row>
    <row r="889" spans="42:42" x14ac:dyDescent="0.25">
      <c r="AP889" s="1"/>
    </row>
    <row r="890" spans="42:42" x14ac:dyDescent="0.25">
      <c r="AP890" s="1"/>
    </row>
    <row r="891" spans="42:42" x14ac:dyDescent="0.25">
      <c r="AP891" s="1"/>
    </row>
    <row r="892" spans="42:42" x14ac:dyDescent="0.25">
      <c r="AP892" s="1"/>
    </row>
    <row r="893" spans="42:42" x14ac:dyDescent="0.25">
      <c r="AP893" s="1"/>
    </row>
    <row r="894" spans="42:42" x14ac:dyDescent="0.25">
      <c r="AP894" s="1"/>
    </row>
    <row r="895" spans="42:42" x14ac:dyDescent="0.25">
      <c r="AP895" s="1"/>
    </row>
    <row r="896" spans="42:42" x14ac:dyDescent="0.25">
      <c r="AP896" s="1"/>
    </row>
    <row r="897" spans="42:42" x14ac:dyDescent="0.25">
      <c r="AP897" s="1"/>
    </row>
    <row r="898" spans="42:42" x14ac:dyDescent="0.25">
      <c r="AP898" s="1"/>
    </row>
    <row r="899" spans="42:42" x14ac:dyDescent="0.25">
      <c r="AP899" s="1"/>
    </row>
    <row r="900" spans="42:42" x14ac:dyDescent="0.25">
      <c r="AP900" s="1"/>
    </row>
    <row r="901" spans="42:42" x14ac:dyDescent="0.25">
      <c r="AP901" s="1"/>
    </row>
    <row r="902" spans="42:42" x14ac:dyDescent="0.25">
      <c r="AP902" s="1"/>
    </row>
    <row r="903" spans="42:42" x14ac:dyDescent="0.25">
      <c r="AP903" s="1"/>
    </row>
    <row r="904" spans="42:42" x14ac:dyDescent="0.25">
      <c r="AP904" s="1"/>
    </row>
    <row r="905" spans="42:42" x14ac:dyDescent="0.25">
      <c r="AP905" s="1"/>
    </row>
    <row r="906" spans="42:42" x14ac:dyDescent="0.25">
      <c r="AP906" s="1"/>
    </row>
    <row r="907" spans="42:42" x14ac:dyDescent="0.25">
      <c r="AP907" s="1"/>
    </row>
    <row r="908" spans="42:42" x14ac:dyDescent="0.25">
      <c r="AP908" s="1"/>
    </row>
    <row r="909" spans="42:42" x14ac:dyDescent="0.25">
      <c r="AP909" s="1"/>
    </row>
    <row r="910" spans="42:42" x14ac:dyDescent="0.25">
      <c r="AP910" s="1"/>
    </row>
    <row r="911" spans="42:42" x14ac:dyDescent="0.25">
      <c r="AP911" s="1"/>
    </row>
    <row r="912" spans="42:42" x14ac:dyDescent="0.25">
      <c r="AP912" s="1"/>
    </row>
    <row r="913" spans="42:42" x14ac:dyDescent="0.25">
      <c r="AP913" s="1"/>
    </row>
    <row r="914" spans="42:42" x14ac:dyDescent="0.25">
      <c r="AP914" s="1"/>
    </row>
    <row r="915" spans="42:42" x14ac:dyDescent="0.25">
      <c r="AP915" s="1"/>
    </row>
    <row r="916" spans="42:42" x14ac:dyDescent="0.25">
      <c r="AP916" s="1"/>
    </row>
    <row r="917" spans="42:42" x14ac:dyDescent="0.25">
      <c r="AP917" s="1"/>
    </row>
    <row r="918" spans="42:42" x14ac:dyDescent="0.25">
      <c r="AP918" s="1"/>
    </row>
    <row r="919" spans="42:42" x14ac:dyDescent="0.25">
      <c r="AP919" s="1"/>
    </row>
    <row r="920" spans="42:42" x14ac:dyDescent="0.25">
      <c r="AP920" s="1"/>
    </row>
    <row r="921" spans="42:42" x14ac:dyDescent="0.25">
      <c r="AP921" s="1"/>
    </row>
    <row r="922" spans="42:42" x14ac:dyDescent="0.25">
      <c r="AP922" s="1"/>
    </row>
    <row r="923" spans="42:42" x14ac:dyDescent="0.25">
      <c r="AP923" s="1"/>
    </row>
    <row r="924" spans="42:42" x14ac:dyDescent="0.25">
      <c r="AP924" s="1"/>
    </row>
    <row r="925" spans="42:42" x14ac:dyDescent="0.25">
      <c r="AP925" s="1"/>
    </row>
    <row r="926" spans="42:42" x14ac:dyDescent="0.25">
      <c r="AP926" s="1"/>
    </row>
    <row r="927" spans="42:42" x14ac:dyDescent="0.25">
      <c r="AP927" s="1"/>
    </row>
    <row r="928" spans="42:42" x14ac:dyDescent="0.25">
      <c r="AP928" s="1"/>
    </row>
    <row r="929" spans="42:42" x14ac:dyDescent="0.25">
      <c r="AP929" s="1"/>
    </row>
    <row r="930" spans="42:42" x14ac:dyDescent="0.25">
      <c r="AP930" s="1"/>
    </row>
    <row r="931" spans="42:42" x14ac:dyDescent="0.25">
      <c r="AP931" s="1"/>
    </row>
    <row r="932" spans="42:42" x14ac:dyDescent="0.25">
      <c r="AP932" s="1"/>
    </row>
    <row r="933" spans="42:42" x14ac:dyDescent="0.25">
      <c r="AP933" s="1"/>
    </row>
    <row r="934" spans="42:42" x14ac:dyDescent="0.25">
      <c r="AP934" s="1"/>
    </row>
    <row r="935" spans="42:42" x14ac:dyDescent="0.25">
      <c r="AP935" s="1"/>
    </row>
    <row r="936" spans="42:42" x14ac:dyDescent="0.25">
      <c r="AP936" s="1"/>
    </row>
    <row r="937" spans="42:42" x14ac:dyDescent="0.25">
      <c r="AP937" s="1"/>
    </row>
    <row r="938" spans="42:42" x14ac:dyDescent="0.25">
      <c r="AP938" s="1"/>
    </row>
    <row r="939" spans="42:42" x14ac:dyDescent="0.25">
      <c r="AP939" s="1"/>
    </row>
    <row r="940" spans="42:42" x14ac:dyDescent="0.25">
      <c r="AP940" s="1"/>
    </row>
    <row r="941" spans="42:42" x14ac:dyDescent="0.25">
      <c r="AP941" s="1"/>
    </row>
    <row r="942" spans="42:42" x14ac:dyDescent="0.25">
      <c r="AP942" s="1"/>
    </row>
    <row r="943" spans="42:42" x14ac:dyDescent="0.25">
      <c r="AP943" s="1"/>
    </row>
    <row r="944" spans="42:42" x14ac:dyDescent="0.25">
      <c r="AP944" s="1"/>
    </row>
    <row r="945" spans="42:42" x14ac:dyDescent="0.25">
      <c r="AP945" s="1"/>
    </row>
    <row r="946" spans="42:42" x14ac:dyDescent="0.25">
      <c r="AP946" s="1"/>
    </row>
    <row r="947" spans="42:42" x14ac:dyDescent="0.25">
      <c r="AP947" s="1"/>
    </row>
    <row r="948" spans="42:42" x14ac:dyDescent="0.25">
      <c r="AP948" s="1"/>
    </row>
    <row r="949" spans="42:42" x14ac:dyDescent="0.25">
      <c r="AP949" s="1"/>
    </row>
    <row r="950" spans="42:42" x14ac:dyDescent="0.25">
      <c r="AP950" s="1"/>
    </row>
    <row r="951" spans="42:42" x14ac:dyDescent="0.25">
      <c r="AP951" s="1"/>
    </row>
    <row r="952" spans="42:42" x14ac:dyDescent="0.25">
      <c r="AP952" s="1"/>
    </row>
    <row r="953" spans="42:42" x14ac:dyDescent="0.25">
      <c r="AP953" s="1"/>
    </row>
    <row r="954" spans="42:42" x14ac:dyDescent="0.25">
      <c r="AP954" s="1"/>
    </row>
    <row r="955" spans="42:42" x14ac:dyDescent="0.25">
      <c r="AP955" s="1"/>
    </row>
    <row r="956" spans="42:42" x14ac:dyDescent="0.25">
      <c r="AP956" s="1"/>
    </row>
    <row r="957" spans="42:42" x14ac:dyDescent="0.25">
      <c r="AP957" s="1"/>
    </row>
    <row r="958" spans="42:42" x14ac:dyDescent="0.25">
      <c r="AP958" s="1"/>
    </row>
    <row r="959" spans="42:42" x14ac:dyDescent="0.25">
      <c r="AP959" s="1"/>
    </row>
    <row r="960" spans="42:42" x14ac:dyDescent="0.25">
      <c r="AP960" s="1"/>
    </row>
    <row r="961" spans="42:42" x14ac:dyDescent="0.25">
      <c r="AP961" s="1"/>
    </row>
    <row r="962" spans="42:42" x14ac:dyDescent="0.25">
      <c r="AP962" s="1"/>
    </row>
    <row r="963" spans="42:42" x14ac:dyDescent="0.25">
      <c r="AP963" s="1"/>
    </row>
    <row r="964" spans="42:42" x14ac:dyDescent="0.25">
      <c r="AP964" s="1"/>
    </row>
    <row r="965" spans="42:42" x14ac:dyDescent="0.25">
      <c r="AP965" s="1"/>
    </row>
    <row r="966" spans="42:42" x14ac:dyDescent="0.25">
      <c r="AP966" s="1"/>
    </row>
    <row r="967" spans="42:42" x14ac:dyDescent="0.25">
      <c r="AP967" s="1"/>
    </row>
    <row r="968" spans="42:42" x14ac:dyDescent="0.25">
      <c r="AP968" s="1"/>
    </row>
    <row r="969" spans="42:42" x14ac:dyDescent="0.25">
      <c r="AP969" s="1"/>
    </row>
    <row r="970" spans="42:42" x14ac:dyDescent="0.25">
      <c r="AP970" s="1"/>
    </row>
    <row r="971" spans="42:42" x14ac:dyDescent="0.25">
      <c r="AP971" s="1"/>
    </row>
    <row r="972" spans="42:42" x14ac:dyDescent="0.25">
      <c r="AP972" s="1"/>
    </row>
    <row r="973" spans="42:42" x14ac:dyDescent="0.25">
      <c r="AP973" s="1"/>
    </row>
    <row r="974" spans="42:42" x14ac:dyDescent="0.25">
      <c r="AP974" s="1"/>
    </row>
    <row r="975" spans="42:42" x14ac:dyDescent="0.25">
      <c r="AP975" s="1"/>
    </row>
    <row r="976" spans="42:42" x14ac:dyDescent="0.25">
      <c r="AP976" s="1"/>
    </row>
    <row r="977" spans="42:42" x14ac:dyDescent="0.25">
      <c r="AP977" s="1"/>
    </row>
    <row r="978" spans="42:42" x14ac:dyDescent="0.25">
      <c r="AP978" s="1"/>
    </row>
    <row r="979" spans="42:42" x14ac:dyDescent="0.25">
      <c r="AP979" s="1"/>
    </row>
    <row r="980" spans="42:42" x14ac:dyDescent="0.25">
      <c r="AP980" s="1"/>
    </row>
    <row r="981" spans="42:42" x14ac:dyDescent="0.25">
      <c r="AP981" s="1"/>
    </row>
    <row r="982" spans="42:42" x14ac:dyDescent="0.25">
      <c r="AP982" s="1"/>
    </row>
    <row r="983" spans="42:42" x14ac:dyDescent="0.25">
      <c r="AP983" s="1"/>
    </row>
    <row r="984" spans="42:42" x14ac:dyDescent="0.25">
      <c r="AP984" s="1"/>
    </row>
    <row r="985" spans="42:42" x14ac:dyDescent="0.25">
      <c r="AP985" s="1"/>
    </row>
    <row r="986" spans="42:42" x14ac:dyDescent="0.25">
      <c r="AP986" s="1"/>
    </row>
    <row r="987" spans="42:42" x14ac:dyDescent="0.25">
      <c r="AP987" s="1"/>
    </row>
    <row r="988" spans="42:42" x14ac:dyDescent="0.25">
      <c r="AP988" s="1"/>
    </row>
    <row r="989" spans="42:42" x14ac:dyDescent="0.25">
      <c r="AP989" s="1"/>
    </row>
    <row r="990" spans="42:42" x14ac:dyDescent="0.25">
      <c r="AP990" s="1"/>
    </row>
    <row r="991" spans="42:42" x14ac:dyDescent="0.25">
      <c r="AP991" s="1"/>
    </row>
    <row r="992" spans="42:42" x14ac:dyDescent="0.25">
      <c r="AP992" s="1"/>
    </row>
    <row r="993" spans="42:42" x14ac:dyDescent="0.25">
      <c r="AP993" s="1"/>
    </row>
    <row r="994" spans="42:42" x14ac:dyDescent="0.25">
      <c r="AP994" s="1"/>
    </row>
    <row r="995" spans="42:42" x14ac:dyDescent="0.25">
      <c r="AP995" s="1"/>
    </row>
    <row r="996" spans="42:42" x14ac:dyDescent="0.25">
      <c r="AP996" s="1"/>
    </row>
    <row r="997" spans="42:42" x14ac:dyDescent="0.25">
      <c r="AP997" s="1"/>
    </row>
    <row r="998" spans="42:42" x14ac:dyDescent="0.25">
      <c r="AP998" s="1"/>
    </row>
    <row r="999" spans="42:42" x14ac:dyDescent="0.25">
      <c r="AP999" s="1"/>
    </row>
    <row r="1000" spans="42:42" x14ac:dyDescent="0.25">
      <c r="AP1000" s="1"/>
    </row>
    <row r="1001" spans="42:42" x14ac:dyDescent="0.25">
      <c r="AP1001" s="1"/>
    </row>
    <row r="1002" spans="42:42" x14ac:dyDescent="0.25">
      <c r="AP1002" s="1"/>
    </row>
    <row r="1003" spans="42:42" x14ac:dyDescent="0.25">
      <c r="AP1003" s="1"/>
    </row>
    <row r="1004" spans="42:42" x14ac:dyDescent="0.25">
      <c r="AP1004" s="1"/>
    </row>
    <row r="1005" spans="42:42" x14ac:dyDescent="0.25">
      <c r="AP1005" s="1"/>
    </row>
    <row r="1006" spans="42:42" x14ac:dyDescent="0.25">
      <c r="AP1006" s="1"/>
    </row>
    <row r="1007" spans="42:42" x14ac:dyDescent="0.25">
      <c r="AP1007" s="1"/>
    </row>
    <row r="1008" spans="42:42" x14ac:dyDescent="0.25">
      <c r="AP1008" s="1"/>
    </row>
    <row r="1009" spans="42:42" x14ac:dyDescent="0.25">
      <c r="AP1009" s="1"/>
    </row>
    <row r="1010" spans="42:42" x14ac:dyDescent="0.25">
      <c r="AP1010" s="1"/>
    </row>
    <row r="1011" spans="42:42" x14ac:dyDescent="0.25">
      <c r="AP1011" s="1"/>
    </row>
    <row r="1012" spans="42:42" x14ac:dyDescent="0.25">
      <c r="AP1012" s="1"/>
    </row>
    <row r="1013" spans="42:42" x14ac:dyDescent="0.25">
      <c r="AP1013" s="1"/>
    </row>
    <row r="1014" spans="42:42" x14ac:dyDescent="0.25">
      <c r="AP1014" s="1"/>
    </row>
    <row r="1015" spans="42:42" x14ac:dyDescent="0.25">
      <c r="AP1015" s="1"/>
    </row>
    <row r="1016" spans="42:42" x14ac:dyDescent="0.25">
      <c r="AP1016" s="1"/>
    </row>
    <row r="1017" spans="42:42" x14ac:dyDescent="0.25">
      <c r="AP1017" s="1"/>
    </row>
    <row r="1018" spans="42:42" x14ac:dyDescent="0.25">
      <c r="AP1018" s="1"/>
    </row>
    <row r="1019" spans="42:42" x14ac:dyDescent="0.25">
      <c r="AP1019" s="1"/>
    </row>
    <row r="1020" spans="42:42" x14ac:dyDescent="0.25">
      <c r="AP1020" s="1"/>
    </row>
    <row r="1021" spans="42:42" x14ac:dyDescent="0.25">
      <c r="AP1021" s="1"/>
    </row>
    <row r="1022" spans="42:42" x14ac:dyDescent="0.25">
      <c r="AP1022" s="1"/>
    </row>
    <row r="1023" spans="42:42" x14ac:dyDescent="0.25">
      <c r="AP1023" s="1"/>
    </row>
    <row r="1024" spans="42:42" x14ac:dyDescent="0.25">
      <c r="AP1024" s="1"/>
    </row>
    <row r="1025" spans="42:42" x14ac:dyDescent="0.25">
      <c r="AP1025" s="1"/>
    </row>
    <row r="1026" spans="42:42" x14ac:dyDescent="0.25">
      <c r="AP1026" s="1"/>
    </row>
    <row r="1027" spans="42:42" x14ac:dyDescent="0.25">
      <c r="AP1027" s="1"/>
    </row>
    <row r="1028" spans="42:42" x14ac:dyDescent="0.25">
      <c r="AP1028" s="1"/>
    </row>
    <row r="1029" spans="42:42" x14ac:dyDescent="0.25">
      <c r="AP1029" s="1"/>
    </row>
    <row r="1030" spans="42:42" x14ac:dyDescent="0.25">
      <c r="AP1030" s="1"/>
    </row>
    <row r="1031" spans="42:42" x14ac:dyDescent="0.25">
      <c r="AP1031" s="1"/>
    </row>
    <row r="1032" spans="42:42" x14ac:dyDescent="0.25">
      <c r="AP1032" s="1"/>
    </row>
    <row r="1033" spans="42:42" x14ac:dyDescent="0.25">
      <c r="AP1033" s="1"/>
    </row>
    <row r="1034" spans="42:42" x14ac:dyDescent="0.25">
      <c r="AP1034" s="1"/>
    </row>
    <row r="1035" spans="42:42" x14ac:dyDescent="0.25">
      <c r="AP1035" s="1"/>
    </row>
    <row r="1036" spans="42:42" x14ac:dyDescent="0.25">
      <c r="AP1036" s="1"/>
    </row>
    <row r="1037" spans="42:42" x14ac:dyDescent="0.25">
      <c r="AP1037" s="1"/>
    </row>
    <row r="1038" spans="42:42" x14ac:dyDescent="0.25">
      <c r="AP1038" s="1"/>
    </row>
    <row r="1039" spans="42:42" x14ac:dyDescent="0.25">
      <c r="AP1039" s="1"/>
    </row>
    <row r="1040" spans="42:42" x14ac:dyDescent="0.25">
      <c r="AP1040" s="1"/>
    </row>
    <row r="1041" spans="42:42" x14ac:dyDescent="0.25">
      <c r="AP1041" s="1"/>
    </row>
    <row r="1042" spans="42:42" x14ac:dyDescent="0.25">
      <c r="AP1042" s="1"/>
    </row>
    <row r="1043" spans="42:42" x14ac:dyDescent="0.25">
      <c r="AP1043" s="1"/>
    </row>
    <row r="1044" spans="42:42" x14ac:dyDescent="0.25">
      <c r="AP1044" s="1"/>
    </row>
    <row r="1045" spans="42:42" x14ac:dyDescent="0.25">
      <c r="AP1045" s="1"/>
    </row>
    <row r="1046" spans="42:42" x14ac:dyDescent="0.25">
      <c r="AP1046" s="1"/>
    </row>
    <row r="1047" spans="42:42" x14ac:dyDescent="0.25">
      <c r="AP1047" s="1"/>
    </row>
    <row r="1048" spans="42:42" x14ac:dyDescent="0.25">
      <c r="AP1048" s="1"/>
    </row>
    <row r="1049" spans="42:42" x14ac:dyDescent="0.25">
      <c r="AP1049" s="1"/>
    </row>
    <row r="1050" spans="42:42" x14ac:dyDescent="0.25">
      <c r="AP1050" s="1"/>
    </row>
    <row r="1051" spans="42:42" x14ac:dyDescent="0.25">
      <c r="AP1051" s="1"/>
    </row>
    <row r="1052" spans="42:42" x14ac:dyDescent="0.25">
      <c r="AP1052" s="1"/>
    </row>
    <row r="1053" spans="42:42" x14ac:dyDescent="0.25">
      <c r="AP1053" s="1"/>
    </row>
    <row r="1054" spans="42:42" x14ac:dyDescent="0.25">
      <c r="AP1054" s="1"/>
    </row>
    <row r="1055" spans="42:42" x14ac:dyDescent="0.25">
      <c r="AP1055" s="1"/>
    </row>
    <row r="1056" spans="42:42" x14ac:dyDescent="0.25">
      <c r="AP1056" s="1"/>
    </row>
    <row r="1057" spans="42:42" x14ac:dyDescent="0.25">
      <c r="AP1057" s="1"/>
    </row>
    <row r="1058" spans="42:42" x14ac:dyDescent="0.25">
      <c r="AP1058" s="1"/>
    </row>
    <row r="1059" spans="42:42" x14ac:dyDescent="0.25">
      <c r="AP1059" s="1"/>
    </row>
    <row r="1060" spans="42:42" x14ac:dyDescent="0.25">
      <c r="AP1060" s="1"/>
    </row>
    <row r="1061" spans="42:42" x14ac:dyDescent="0.25">
      <c r="AP1061" s="1"/>
    </row>
    <row r="1062" spans="42:42" x14ac:dyDescent="0.25">
      <c r="AP1062" s="1"/>
    </row>
    <row r="1063" spans="42:42" x14ac:dyDescent="0.25">
      <c r="AP1063" s="1"/>
    </row>
    <row r="1064" spans="42:42" x14ac:dyDescent="0.25">
      <c r="AP1064" s="1"/>
    </row>
    <row r="1065" spans="42:42" x14ac:dyDescent="0.25">
      <c r="AP1065" s="1"/>
    </row>
    <row r="1066" spans="42:42" x14ac:dyDescent="0.25">
      <c r="AP1066" s="1"/>
    </row>
    <row r="1067" spans="42:42" x14ac:dyDescent="0.25">
      <c r="AP1067" s="1"/>
    </row>
    <row r="1068" spans="42:42" x14ac:dyDescent="0.25">
      <c r="AP1068" s="1"/>
    </row>
    <row r="1069" spans="42:42" x14ac:dyDescent="0.25">
      <c r="AP1069" s="1"/>
    </row>
    <row r="1070" spans="42:42" x14ac:dyDescent="0.25">
      <c r="AP1070" s="1"/>
    </row>
    <row r="1071" spans="42:42" x14ac:dyDescent="0.25">
      <c r="AP1071" s="1"/>
    </row>
    <row r="1072" spans="42:42" x14ac:dyDescent="0.25">
      <c r="AP1072" s="1"/>
    </row>
    <row r="1073" spans="42:42" x14ac:dyDescent="0.25">
      <c r="AP1073" s="1"/>
    </row>
    <row r="1074" spans="42:42" x14ac:dyDescent="0.25">
      <c r="AP1074" s="1"/>
    </row>
    <row r="1075" spans="42:42" x14ac:dyDescent="0.25">
      <c r="AP1075" s="1"/>
    </row>
    <row r="1076" spans="42:42" x14ac:dyDescent="0.25">
      <c r="AP1076" s="1"/>
    </row>
    <row r="1077" spans="42:42" x14ac:dyDescent="0.25">
      <c r="AP1077" s="1"/>
    </row>
    <row r="1078" spans="42:42" x14ac:dyDescent="0.25">
      <c r="AP1078" s="1"/>
    </row>
    <row r="1079" spans="42:42" x14ac:dyDescent="0.25">
      <c r="AP1079" s="1"/>
    </row>
    <row r="1080" spans="42:42" x14ac:dyDescent="0.25">
      <c r="AP1080" s="1"/>
    </row>
    <row r="1081" spans="42:42" x14ac:dyDescent="0.25">
      <c r="AP1081" s="1"/>
    </row>
    <row r="1082" spans="42:42" x14ac:dyDescent="0.25">
      <c r="AP1082" s="1"/>
    </row>
    <row r="1083" spans="42:42" x14ac:dyDescent="0.25">
      <c r="AP1083" s="1"/>
    </row>
    <row r="1084" spans="42:42" x14ac:dyDescent="0.25">
      <c r="AP1084" s="1"/>
    </row>
    <row r="1085" spans="42:42" x14ac:dyDescent="0.25">
      <c r="AP1085" s="1"/>
    </row>
    <row r="1086" spans="42:42" x14ac:dyDescent="0.25">
      <c r="AP1086" s="1"/>
    </row>
    <row r="1087" spans="42:42" x14ac:dyDescent="0.25">
      <c r="AP1087" s="1"/>
    </row>
    <row r="1088" spans="42:42" x14ac:dyDescent="0.25">
      <c r="AP1088" s="1"/>
    </row>
    <row r="1089" spans="42:42" x14ac:dyDescent="0.25">
      <c r="AP1089" s="1"/>
    </row>
    <row r="1090" spans="42:42" x14ac:dyDescent="0.25">
      <c r="AP1090" s="1"/>
    </row>
    <row r="1091" spans="42:42" x14ac:dyDescent="0.25">
      <c r="AP1091" s="1"/>
    </row>
    <row r="1092" spans="42:42" x14ac:dyDescent="0.25">
      <c r="AP1092" s="1"/>
    </row>
    <row r="1093" spans="42:42" x14ac:dyDescent="0.25">
      <c r="AP1093" s="1"/>
    </row>
    <row r="1094" spans="42:42" x14ac:dyDescent="0.25">
      <c r="AP1094" s="1"/>
    </row>
    <row r="1095" spans="42:42" x14ac:dyDescent="0.25">
      <c r="AP1095" s="1"/>
    </row>
    <row r="1096" spans="42:42" x14ac:dyDescent="0.25">
      <c r="AP1096" s="1"/>
    </row>
    <row r="1097" spans="42:42" x14ac:dyDescent="0.25">
      <c r="AP1097" s="1"/>
    </row>
    <row r="1098" spans="42:42" x14ac:dyDescent="0.25">
      <c r="AP1098" s="1"/>
    </row>
    <row r="1099" spans="42:42" x14ac:dyDescent="0.25">
      <c r="AP1099" s="1"/>
    </row>
    <row r="1100" spans="42:42" x14ac:dyDescent="0.25">
      <c r="AP1100" s="1"/>
    </row>
    <row r="1101" spans="42:42" x14ac:dyDescent="0.25">
      <c r="AP1101" s="1"/>
    </row>
    <row r="1102" spans="42:42" x14ac:dyDescent="0.25">
      <c r="AP1102" s="1"/>
    </row>
    <row r="1103" spans="42:42" x14ac:dyDescent="0.25">
      <c r="AP1103" s="1"/>
    </row>
    <row r="1104" spans="42:42" x14ac:dyDescent="0.25">
      <c r="AP1104" s="1"/>
    </row>
    <row r="1105" spans="42:42" x14ac:dyDescent="0.25">
      <c r="AP1105" s="1"/>
    </row>
    <row r="1106" spans="42:42" x14ac:dyDescent="0.25">
      <c r="AP1106" s="1"/>
    </row>
    <row r="1107" spans="42:42" x14ac:dyDescent="0.25">
      <c r="AP1107" s="1"/>
    </row>
    <row r="1108" spans="42:42" x14ac:dyDescent="0.25">
      <c r="AP1108" s="1"/>
    </row>
    <row r="1109" spans="42:42" x14ac:dyDescent="0.25">
      <c r="AP1109" s="1"/>
    </row>
    <row r="1110" spans="42:42" x14ac:dyDescent="0.25">
      <c r="AP1110" s="1"/>
    </row>
    <row r="1111" spans="42:42" x14ac:dyDescent="0.25">
      <c r="AP1111" s="1"/>
    </row>
    <row r="1112" spans="42:42" x14ac:dyDescent="0.25">
      <c r="AP1112" s="1"/>
    </row>
    <row r="1113" spans="42:42" x14ac:dyDescent="0.25">
      <c r="AP1113" s="1"/>
    </row>
    <row r="1114" spans="42:42" x14ac:dyDescent="0.25">
      <c r="AP1114" s="1"/>
    </row>
    <row r="1115" spans="42:42" x14ac:dyDescent="0.25">
      <c r="AP1115" s="1"/>
    </row>
    <row r="1116" spans="42:42" x14ac:dyDescent="0.25">
      <c r="AP1116" s="1"/>
    </row>
    <row r="1117" spans="42:42" x14ac:dyDescent="0.25">
      <c r="AP1117" s="1"/>
    </row>
    <row r="1118" spans="42:42" x14ac:dyDescent="0.25">
      <c r="AP1118" s="1"/>
    </row>
    <row r="1119" spans="42:42" x14ac:dyDescent="0.25">
      <c r="AP1119" s="1"/>
    </row>
    <row r="1120" spans="42:42" x14ac:dyDescent="0.25">
      <c r="AP1120" s="1"/>
    </row>
    <row r="1121" spans="42:42" x14ac:dyDescent="0.25">
      <c r="AP1121" s="1"/>
    </row>
    <row r="1122" spans="42:42" x14ac:dyDescent="0.25">
      <c r="AP1122" s="1"/>
    </row>
    <row r="1123" spans="42:42" x14ac:dyDescent="0.25">
      <c r="AP1123" s="1"/>
    </row>
    <row r="1124" spans="42:42" x14ac:dyDescent="0.25">
      <c r="AP1124" s="1"/>
    </row>
    <row r="1125" spans="42:42" x14ac:dyDescent="0.25">
      <c r="AP1125" s="1"/>
    </row>
    <row r="1126" spans="42:42" x14ac:dyDescent="0.25">
      <c r="AP1126" s="1"/>
    </row>
    <row r="1127" spans="42:42" x14ac:dyDescent="0.25">
      <c r="AP1127" s="1"/>
    </row>
    <row r="1128" spans="42:42" x14ac:dyDescent="0.25">
      <c r="AP1128" s="1"/>
    </row>
    <row r="1129" spans="42:42" x14ac:dyDescent="0.25">
      <c r="AP1129" s="1"/>
    </row>
    <row r="1130" spans="42:42" x14ac:dyDescent="0.25">
      <c r="AP1130" s="1"/>
    </row>
    <row r="1131" spans="42:42" x14ac:dyDescent="0.25">
      <c r="AP1131" s="1"/>
    </row>
    <row r="1132" spans="42:42" x14ac:dyDescent="0.25">
      <c r="AP1132" s="1"/>
    </row>
    <row r="1133" spans="42:42" x14ac:dyDescent="0.25">
      <c r="AP1133" s="1"/>
    </row>
    <row r="1134" spans="42:42" x14ac:dyDescent="0.25">
      <c r="AP1134" s="1"/>
    </row>
    <row r="1135" spans="42:42" x14ac:dyDescent="0.25">
      <c r="AP1135" s="1"/>
    </row>
    <row r="1136" spans="42:42" x14ac:dyDescent="0.25">
      <c r="AP1136" s="1"/>
    </row>
    <row r="1137" spans="42:42" x14ac:dyDescent="0.25">
      <c r="AP1137" s="1"/>
    </row>
    <row r="1138" spans="42:42" x14ac:dyDescent="0.25">
      <c r="AP1138" s="1"/>
    </row>
    <row r="1139" spans="42:42" x14ac:dyDescent="0.25">
      <c r="AP1139" s="1"/>
    </row>
    <row r="1140" spans="42:42" x14ac:dyDescent="0.25">
      <c r="AP1140" s="1"/>
    </row>
    <row r="1141" spans="42:42" x14ac:dyDescent="0.25">
      <c r="AP1141" s="1"/>
    </row>
    <row r="1142" spans="42:42" x14ac:dyDescent="0.25">
      <c r="AP1142" s="1"/>
    </row>
    <row r="1143" spans="42:42" x14ac:dyDescent="0.25">
      <c r="AP1143" s="1"/>
    </row>
    <row r="1144" spans="42:42" x14ac:dyDescent="0.25">
      <c r="AP1144" s="1"/>
    </row>
    <row r="1145" spans="42:42" x14ac:dyDescent="0.25">
      <c r="AP1145" s="1"/>
    </row>
    <row r="1146" spans="42:42" x14ac:dyDescent="0.25">
      <c r="AP1146" s="1"/>
    </row>
    <row r="1147" spans="42:42" x14ac:dyDescent="0.25">
      <c r="AP1147" s="1"/>
    </row>
    <row r="1148" spans="42:42" x14ac:dyDescent="0.25">
      <c r="AP1148" s="1"/>
    </row>
    <row r="1149" spans="42:42" x14ac:dyDescent="0.25">
      <c r="AP1149" s="1"/>
    </row>
    <row r="1150" spans="42:42" x14ac:dyDescent="0.25">
      <c r="AP1150" s="1"/>
    </row>
    <row r="1151" spans="42:42" x14ac:dyDescent="0.25">
      <c r="AP1151" s="1"/>
    </row>
    <row r="1152" spans="42:42" x14ac:dyDescent="0.25">
      <c r="AP1152" s="1"/>
    </row>
    <row r="1153" spans="42:42" x14ac:dyDescent="0.25">
      <c r="AP1153" s="1"/>
    </row>
    <row r="1154" spans="42:42" x14ac:dyDescent="0.25">
      <c r="AP1154" s="1"/>
    </row>
    <row r="1155" spans="42:42" x14ac:dyDescent="0.25">
      <c r="AP1155" s="1"/>
    </row>
    <row r="1156" spans="42:42" x14ac:dyDescent="0.25">
      <c r="AP1156" s="1"/>
    </row>
    <row r="1157" spans="42:42" x14ac:dyDescent="0.25">
      <c r="AP1157" s="1"/>
    </row>
    <row r="1158" spans="42:42" x14ac:dyDescent="0.25">
      <c r="AP1158" s="1"/>
    </row>
    <row r="1159" spans="42:42" x14ac:dyDescent="0.25">
      <c r="AP1159" s="1"/>
    </row>
    <row r="1160" spans="42:42" x14ac:dyDescent="0.25">
      <c r="AP1160" s="1"/>
    </row>
    <row r="1161" spans="42:42" x14ac:dyDescent="0.25">
      <c r="AP1161" s="1"/>
    </row>
    <row r="1162" spans="42:42" x14ac:dyDescent="0.25">
      <c r="AP1162" s="1"/>
    </row>
    <row r="1163" spans="42:42" x14ac:dyDescent="0.25">
      <c r="AP1163" s="1"/>
    </row>
    <row r="1164" spans="42:42" x14ac:dyDescent="0.25">
      <c r="AP1164" s="1"/>
    </row>
    <row r="1165" spans="42:42" x14ac:dyDescent="0.25">
      <c r="AP1165" s="1"/>
    </row>
    <row r="1166" spans="42:42" x14ac:dyDescent="0.25">
      <c r="AP1166" s="1"/>
    </row>
    <row r="1167" spans="42:42" x14ac:dyDescent="0.25">
      <c r="AP1167" s="1"/>
    </row>
    <row r="1168" spans="42:42" x14ac:dyDescent="0.25">
      <c r="AP1168" s="1"/>
    </row>
    <row r="1169" spans="42:42" x14ac:dyDescent="0.25">
      <c r="AP1169" s="1"/>
    </row>
    <row r="1170" spans="42:42" x14ac:dyDescent="0.25">
      <c r="AP1170" s="1"/>
    </row>
    <row r="1171" spans="42:42" x14ac:dyDescent="0.25">
      <c r="AP1171" s="1"/>
    </row>
    <row r="1172" spans="42:42" x14ac:dyDescent="0.25">
      <c r="AP1172" s="1"/>
    </row>
    <row r="1173" spans="42:42" x14ac:dyDescent="0.25">
      <c r="AP1173" s="1"/>
    </row>
    <row r="1174" spans="42:42" x14ac:dyDescent="0.25">
      <c r="AP1174" s="1"/>
    </row>
    <row r="1175" spans="42:42" x14ac:dyDescent="0.25">
      <c r="AP1175" s="1"/>
    </row>
    <row r="1176" spans="42:42" x14ac:dyDescent="0.25">
      <c r="AP1176" s="1"/>
    </row>
    <row r="1177" spans="42:42" x14ac:dyDescent="0.25">
      <c r="AP1177" s="1"/>
    </row>
    <row r="1178" spans="42:42" x14ac:dyDescent="0.25">
      <c r="AP1178" s="1"/>
    </row>
    <row r="1179" spans="42:42" x14ac:dyDescent="0.25">
      <c r="AP1179" s="1"/>
    </row>
    <row r="1180" spans="42:42" x14ac:dyDescent="0.25">
      <c r="AP1180" s="1"/>
    </row>
    <row r="1181" spans="42:42" x14ac:dyDescent="0.25">
      <c r="AP1181" s="1"/>
    </row>
    <row r="1182" spans="42:42" x14ac:dyDescent="0.25">
      <c r="AP1182" s="1"/>
    </row>
    <row r="1183" spans="42:42" x14ac:dyDescent="0.25">
      <c r="AP1183" s="1"/>
    </row>
    <row r="1184" spans="42:42" x14ac:dyDescent="0.25">
      <c r="AP1184" s="1"/>
    </row>
    <row r="1185" spans="42:42" x14ac:dyDescent="0.25">
      <c r="AP1185" s="1"/>
    </row>
    <row r="1186" spans="42:42" x14ac:dyDescent="0.25">
      <c r="AP1186" s="1"/>
    </row>
    <row r="1187" spans="42:42" x14ac:dyDescent="0.25">
      <c r="AP1187" s="1"/>
    </row>
    <row r="1188" spans="42:42" x14ac:dyDescent="0.25">
      <c r="AP1188" s="1"/>
    </row>
    <row r="1189" spans="42:42" x14ac:dyDescent="0.25">
      <c r="AP1189" s="1"/>
    </row>
    <row r="1190" spans="42:42" x14ac:dyDescent="0.25">
      <c r="AP1190" s="1"/>
    </row>
    <row r="1191" spans="42:42" x14ac:dyDescent="0.25">
      <c r="AP1191" s="1"/>
    </row>
    <row r="1192" spans="42:42" x14ac:dyDescent="0.25">
      <c r="AP1192" s="1"/>
    </row>
    <row r="1193" spans="42:42" x14ac:dyDescent="0.25">
      <c r="AP1193" s="1"/>
    </row>
    <row r="1194" spans="42:42" x14ac:dyDescent="0.25">
      <c r="AP1194" s="1"/>
    </row>
    <row r="1195" spans="42:42" x14ac:dyDescent="0.25">
      <c r="AP1195" s="1"/>
    </row>
    <row r="1196" spans="42:42" x14ac:dyDescent="0.25">
      <c r="AP1196" s="1"/>
    </row>
    <row r="1197" spans="42:42" x14ac:dyDescent="0.25">
      <c r="AP1197" s="1"/>
    </row>
    <row r="1198" spans="42:42" x14ac:dyDescent="0.25">
      <c r="AP1198" s="1"/>
    </row>
    <row r="1199" spans="42:42" x14ac:dyDescent="0.25">
      <c r="AP1199" s="1"/>
    </row>
    <row r="1200" spans="42:42" x14ac:dyDescent="0.25">
      <c r="AP1200" s="1"/>
    </row>
    <row r="1201" spans="42:42" x14ac:dyDescent="0.25">
      <c r="AP1201" s="1"/>
    </row>
    <row r="1202" spans="42:42" x14ac:dyDescent="0.25">
      <c r="AP1202" s="1"/>
    </row>
    <row r="1203" spans="42:42" x14ac:dyDescent="0.25">
      <c r="AP1203" s="1"/>
    </row>
    <row r="1204" spans="42:42" x14ac:dyDescent="0.25">
      <c r="AP1204" s="1"/>
    </row>
    <row r="1205" spans="42:42" x14ac:dyDescent="0.25">
      <c r="AP1205" s="1"/>
    </row>
    <row r="1206" spans="42:42" x14ac:dyDescent="0.25">
      <c r="AP1206" s="1"/>
    </row>
    <row r="1207" spans="42:42" x14ac:dyDescent="0.25">
      <c r="AP1207" s="1"/>
    </row>
    <row r="1208" spans="42:42" x14ac:dyDescent="0.25">
      <c r="AP1208" s="1"/>
    </row>
    <row r="1209" spans="42:42" x14ac:dyDescent="0.25">
      <c r="AP1209" s="1"/>
    </row>
    <row r="1210" spans="42:42" x14ac:dyDescent="0.25">
      <c r="AP1210" s="1"/>
    </row>
    <row r="1211" spans="42:42" x14ac:dyDescent="0.25">
      <c r="AP1211" s="1"/>
    </row>
    <row r="1212" spans="42:42" x14ac:dyDescent="0.25">
      <c r="AP1212" s="1"/>
    </row>
    <row r="1213" spans="42:42" x14ac:dyDescent="0.25">
      <c r="AP1213" s="1"/>
    </row>
    <row r="1214" spans="42:42" x14ac:dyDescent="0.25">
      <c r="AP1214" s="1"/>
    </row>
    <row r="1215" spans="42:42" x14ac:dyDescent="0.25">
      <c r="AP1215" s="1"/>
    </row>
    <row r="1216" spans="42:42" x14ac:dyDescent="0.25">
      <c r="AP1216" s="1"/>
    </row>
    <row r="1217" spans="42:42" x14ac:dyDescent="0.25">
      <c r="AP1217" s="1"/>
    </row>
    <row r="1218" spans="42:42" x14ac:dyDescent="0.25">
      <c r="AP1218" s="1"/>
    </row>
    <row r="1219" spans="42:42" x14ac:dyDescent="0.25">
      <c r="AP1219" s="1"/>
    </row>
    <row r="1220" spans="42:42" x14ac:dyDescent="0.25">
      <c r="AP1220" s="1"/>
    </row>
    <row r="1221" spans="42:42" x14ac:dyDescent="0.25">
      <c r="AP1221" s="1"/>
    </row>
    <row r="1222" spans="42:42" x14ac:dyDescent="0.25">
      <c r="AP1222" s="1"/>
    </row>
    <row r="1223" spans="42:42" x14ac:dyDescent="0.25">
      <c r="AP1223" s="1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C1223"/>
  <sheetViews>
    <sheetView topLeftCell="R1" zoomScale="80" zoomScaleNormal="80" workbookViewId="0">
      <pane ySplit="1" topLeftCell="A2" activePane="bottomLeft" state="frozen"/>
      <selection pane="bottomLeft" activeCell="AK1" sqref="AK1"/>
    </sheetView>
  </sheetViews>
  <sheetFormatPr defaultRowHeight="15" x14ac:dyDescent="0.25"/>
  <cols>
    <col min="1" max="2" width="9.140625" style="231"/>
    <col min="3" max="4" width="12.140625" style="231" customWidth="1"/>
    <col min="5" max="5" width="11.7109375" style="231" customWidth="1"/>
    <col min="6" max="6" width="12.7109375" style="231" customWidth="1"/>
    <col min="7" max="7" width="15" style="231" customWidth="1"/>
    <col min="8" max="8" width="9.140625" style="231"/>
    <col min="9" max="9" width="12" style="231" customWidth="1"/>
    <col min="10" max="10" width="9.140625" style="231"/>
    <col min="11" max="11" width="12.140625" style="231" customWidth="1"/>
    <col min="12" max="12" width="9.140625" style="231"/>
    <col min="13" max="13" width="9.7109375" style="231" customWidth="1"/>
    <col min="14" max="14" width="11.7109375" style="231" customWidth="1"/>
    <col min="15" max="18" width="9.140625" style="231"/>
    <col min="19" max="19" width="16.5703125" style="231" bestFit="1" customWidth="1"/>
    <col min="20" max="20" width="12" style="231" customWidth="1"/>
    <col min="21" max="21" width="15" style="231" bestFit="1" customWidth="1"/>
    <col min="22" max="22" width="14.7109375" style="231" customWidth="1"/>
    <col min="23" max="23" width="12.85546875" style="231" customWidth="1"/>
    <col min="24" max="24" width="9.140625" style="231"/>
    <col min="25" max="25" width="12.42578125" style="231" customWidth="1"/>
    <col min="26" max="26" width="9.140625" style="231"/>
    <col min="27" max="27" width="18.28515625" style="231" customWidth="1"/>
    <col min="28" max="28" width="13.28515625" style="231" customWidth="1"/>
    <col min="29" max="29" width="11" style="231" customWidth="1"/>
    <col min="30" max="32" width="10.85546875" style="231" customWidth="1"/>
    <col min="33" max="33" width="8.5703125" style="231" customWidth="1"/>
    <col min="34" max="35" width="14.42578125" style="231" customWidth="1"/>
    <col min="36" max="36" width="17.85546875" style="231" customWidth="1"/>
    <col min="37" max="37" width="58.42578125" style="231" customWidth="1"/>
    <col min="38" max="38" width="16" style="231" customWidth="1"/>
    <col min="39" max="40" width="11.85546875" style="231" customWidth="1"/>
    <col min="41" max="41" width="17.28515625" style="231" customWidth="1"/>
    <col min="42" max="42" width="12.42578125" style="9" customWidth="1"/>
    <col min="43" max="52" width="9.140625" style="231"/>
    <col min="53" max="53" width="9.140625" style="22"/>
    <col min="54" max="69" width="9.140625" style="231"/>
    <col min="70" max="70" width="12.42578125" style="231" customWidth="1"/>
    <col min="71" max="72" width="11.140625" style="231" customWidth="1"/>
    <col min="73" max="76" width="9.140625" style="231"/>
    <col min="77" max="77" width="18.85546875" style="231" customWidth="1"/>
    <col min="78" max="78" width="23.28515625" style="231" customWidth="1"/>
    <col min="79" max="79" width="8.7109375" style="231" customWidth="1"/>
    <col min="80" max="80" width="13.85546875" style="231" customWidth="1"/>
    <col min="81" max="81" width="17.42578125" style="231" customWidth="1"/>
    <col min="82" max="82" width="18.85546875" style="231" customWidth="1"/>
    <col min="83" max="16384" width="9.140625" style="231"/>
  </cols>
  <sheetData>
    <row r="1" spans="1:81" ht="178.5" customHeight="1" x14ac:dyDescent="0.25"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</row>
    <row r="2" spans="1:81" ht="24.75" customHeight="1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</row>
    <row r="3" spans="1:81" ht="24.75" customHeight="1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</row>
    <row r="4" spans="1:81" ht="24.75" customHeight="1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</row>
    <row r="5" spans="1:81" x14ac:dyDescent="0.25"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4838.2087799999999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2553.3999999999996</v>
      </c>
      <c r="AU5" s="11">
        <f>(F7+F5)*-1</f>
        <v>216.4101299999999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1410.9654499999997</v>
      </c>
      <c r="BJ5" s="11">
        <f t="shared" ref="BJ5:BQ5" si="4">(U7+U5)*-1</f>
        <v>0</v>
      </c>
      <c r="BK5" s="11">
        <f t="shared" si="4"/>
        <v>83.14797999999999</v>
      </c>
      <c r="BL5" s="11">
        <f t="shared" si="4"/>
        <v>20.000000000000004</v>
      </c>
      <c r="BM5" s="11">
        <f t="shared" si="4"/>
        <v>933.99999999999977</v>
      </c>
      <c r="BN5" s="11">
        <f t="shared" si="4"/>
        <v>95.642200000000003</v>
      </c>
      <c r="BO5" s="11">
        <f t="shared" si="4"/>
        <v>0</v>
      </c>
      <c r="BP5" s="11">
        <f t="shared" si="4"/>
        <v>264.50126999999992</v>
      </c>
      <c r="BQ5" s="11">
        <f t="shared" si="4"/>
        <v>13.673999999999996</v>
      </c>
      <c r="BR5" s="11"/>
      <c r="BS5" s="11"/>
      <c r="BT5" s="11"/>
      <c r="BU5" s="11">
        <f>-1*SUM(AF5,AF7,AF9,AF66,AF68)</f>
        <v>372.63240000000002</v>
      </c>
      <c r="BV5" s="11">
        <f>-1*SUM(AG5,AG7,AG9,AG66,AG68)</f>
        <v>0</v>
      </c>
      <c r="BW5" s="11">
        <f>-1*SUM(AH5,AH7,AH9,AH66,AH68)</f>
        <v>284.80080000000004</v>
      </c>
      <c r="BX5" s="11"/>
      <c r="BY5" s="123">
        <v>0</v>
      </c>
      <c r="BZ5" s="123">
        <f>(C5*Emissionsfaktorer!$I$4+E5*Emissionsfaktorer!$I$3+F5*Emissionsfaktorer!$I$5+H5*Emissionsfaktorer!$I$7+I5*Emissionsfaktorer!$I$8+J5*Emissionsfaktorer!$I$9+K5*Emissionsfaktorer!$I$10+L5*Emissionsfaktorer!$I$11+M5*Emissionsfaktorer!$I$12)*-1</f>
        <v>0</v>
      </c>
    </row>
    <row r="6" spans="1:81" x14ac:dyDescent="0.25"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Nøgletal!$R$283/IF(Nøgletal!$S$399=0,1,Nøgletal!$S$399)*Nøgletal!$R419*-1</f>
        <v>0</v>
      </c>
      <c r="V6" s="84"/>
      <c r="W6" s="84"/>
      <c r="X6" s="84"/>
      <c r="Y6" s="84"/>
      <c r="Z6" s="84">
        <f>Nøgletal!$R$283/IF(Nøgletal!$S$399=0,1,Nøgletal!$S$399)*Nøgletal!$R420*-1</f>
        <v>0</v>
      </c>
      <c r="AA6" s="84">
        <f>Nøgletal!$R$283/IF(Nøgletal!$S$399=0,1,Nøgletal!$S$399)*Nøgletal!$R421*-1</f>
        <v>0</v>
      </c>
      <c r="AB6" s="84">
        <f>Nøgletal!$R$283/IF(Nøgletal!$S$399=0,1,Nøgletal!$S$399)*Nøgletal!$R422*-1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Nøgletal!R283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(C6*Emissionsfaktorer!$I$4+E6*Emissionsfaktorer!$I$3+F6*Emissionsfaktorer!$I$5+H6*Emissionsfaktorer!$I$7+I6*Emissionsfaktorer!$I$8+J6*Emissionsfaktorer!$I$9+K6*Emissionsfaktorer!$I$10+L6*Emissionsfaktorer!$I$11+M6*Emissionsfaktorer!$I$12)*-1</f>
        <v>0</v>
      </c>
    </row>
    <row r="7" spans="1:81" x14ac:dyDescent="0.25">
      <c r="B7" s="31"/>
      <c r="C7" s="11">
        <f>AR7*-1</f>
        <v>0</v>
      </c>
      <c r="D7" s="11">
        <f>AS7*-1</f>
        <v>0</v>
      </c>
      <c r="E7" s="11">
        <f>AT7*-1</f>
        <v>-2553.3999999999996</v>
      </c>
      <c r="F7" s="11">
        <f>AU7*-1</f>
        <v>-216.4101299999999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-1410.9654499999997</v>
      </c>
      <c r="U7" s="11">
        <f>BJ7*-1</f>
        <v>0</v>
      </c>
      <c r="V7" s="11">
        <f t="shared" ref="V7:AB7" si="5">BK7*-1</f>
        <v>-83.14797999999999</v>
      </c>
      <c r="W7" s="11">
        <f t="shared" si="5"/>
        <v>-20.000000000000004</v>
      </c>
      <c r="X7" s="11">
        <f t="shared" si="5"/>
        <v>-933.99999999999977</v>
      </c>
      <c r="Y7" s="11">
        <f t="shared" si="5"/>
        <v>-95.642200000000003</v>
      </c>
      <c r="Z7" s="11">
        <f t="shared" si="5"/>
        <v>0</v>
      </c>
      <c r="AA7" s="11">
        <f t="shared" si="5"/>
        <v>-264.50126999999992</v>
      </c>
      <c r="AB7" s="11">
        <f t="shared" si="5"/>
        <v>-13.673999999999996</v>
      </c>
      <c r="AC7" s="11"/>
      <c r="AD7" s="11"/>
      <c r="AE7" s="11"/>
      <c r="AF7" s="11"/>
      <c r="AG7" s="11"/>
      <c r="AH7" s="11"/>
      <c r="AI7" s="11"/>
      <c r="AJ7" s="105">
        <f t="shared" si="0"/>
        <v>-4180.7755799999995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4180.7755799999995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2553.3999999999996</v>
      </c>
      <c r="AU7" s="11">
        <f>(F9+F68)*-1</f>
        <v>216.4101299999999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1410.9654499999997</v>
      </c>
      <c r="BJ7" s="11">
        <f t="shared" ref="BJ7:BQ7" si="9">(U9+U68)*-1</f>
        <v>0</v>
      </c>
      <c r="BK7" s="11">
        <f t="shared" si="9"/>
        <v>83.14797999999999</v>
      </c>
      <c r="BL7" s="11">
        <f t="shared" si="9"/>
        <v>20.000000000000004</v>
      </c>
      <c r="BM7" s="11">
        <f t="shared" si="9"/>
        <v>933.99999999999977</v>
      </c>
      <c r="BN7" s="11">
        <f t="shared" si="9"/>
        <v>95.642200000000003</v>
      </c>
      <c r="BO7" s="11">
        <f t="shared" si="9"/>
        <v>0</v>
      </c>
      <c r="BP7" s="11">
        <f t="shared" si="9"/>
        <v>264.50126999999992</v>
      </c>
      <c r="BQ7" s="11">
        <f t="shared" si="9"/>
        <v>13.673999999999996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</row>
    <row r="8" spans="1:81" x14ac:dyDescent="0.25"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98.67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98.67</v>
      </c>
      <c r="BD8" s="11">
        <f>-1*SUM(O5,O7,O9)</f>
        <v>80</v>
      </c>
      <c r="BE8" s="11">
        <f>-1*SUM(P5,P7,P9)</f>
        <v>0</v>
      </c>
      <c r="BF8" s="11">
        <f>-1*SUM(Q5,Q7,Q9)</f>
        <v>18.670000000000002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(C8*Emissionsfaktorer!$I$4+E8*Emissionsfaktorer!$I$3+F8*Emissionsfaktorer!$I$5+H8*Emissionsfaktorer!$I$7+I8*Emissionsfaktorer!$I$8+J8*Emissionsfaktorer!$I$9+K8*Emissionsfaktorer!$I$10+L8*Emissionsfaktorer!$I$11+M8*Emissionsfaktorer!$I$12)*-1</f>
        <v>0</v>
      </c>
      <c r="CA8" s="2"/>
      <c r="CB8" s="2"/>
      <c r="CC8" s="2"/>
    </row>
    <row r="9" spans="1:81" x14ac:dyDescent="0.25"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-1799.9999999999995</v>
      </c>
      <c r="F9" s="11">
        <f t="shared" si="10"/>
        <v>-216.4101299999999</v>
      </c>
      <c r="G9" s="11">
        <f t="shared" si="10"/>
        <v>-1.7171999999999996</v>
      </c>
      <c r="H9" s="11">
        <f t="shared" si="10"/>
        <v>0</v>
      </c>
      <c r="I9" s="11">
        <f t="shared" si="10"/>
        <v>0</v>
      </c>
      <c r="J9" s="11">
        <f t="shared" si="10"/>
        <v>-1.7171999999999996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-98.67</v>
      </c>
      <c r="O9" s="11">
        <f t="shared" si="10"/>
        <v>-80</v>
      </c>
      <c r="P9" s="11">
        <f t="shared" si="10"/>
        <v>0</v>
      </c>
      <c r="Q9" s="11">
        <f t="shared" si="10"/>
        <v>-18.670000000000002</v>
      </c>
      <c r="R9" s="11">
        <f t="shared" si="10"/>
        <v>0</v>
      </c>
      <c r="S9" s="11">
        <f t="shared" si="10"/>
        <v>0</v>
      </c>
      <c r="T9" s="11">
        <f t="shared" si="10"/>
        <v>-1091.8174699999997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-799.99999999999977</v>
      </c>
      <c r="Y9" s="11">
        <f t="shared" ref="Y9:AI9" si="11">SUM(Y10:Y11,Y18,Y57,Y65)</f>
        <v>-13.642199999999994</v>
      </c>
      <c r="Z9" s="11">
        <f t="shared" si="11"/>
        <v>0</v>
      </c>
      <c r="AA9" s="11">
        <f t="shared" si="11"/>
        <v>-264.50126999999992</v>
      </c>
      <c r="AB9" s="11">
        <f t="shared" si="11"/>
        <v>-13.673999999999996</v>
      </c>
      <c r="AC9" s="11">
        <f t="shared" si="11"/>
        <v>-142.40040000000002</v>
      </c>
      <c r="AD9" s="11">
        <f t="shared" si="11"/>
        <v>0</v>
      </c>
      <c r="AE9" s="11">
        <f t="shared" si="11"/>
        <v>0</v>
      </c>
      <c r="AF9" s="11">
        <f t="shared" si="11"/>
        <v>-372.63240000000002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-3723.6475999999993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5446.9496227340842</v>
      </c>
      <c r="AP9" s="37">
        <f t="shared" si="6"/>
        <v>1.4627994396500048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2024.5320199999996</v>
      </c>
      <c r="AW9" s="11">
        <f>H66*-1</f>
        <v>22.249999999999996</v>
      </c>
      <c r="AX9" s="11">
        <f t="shared" ref="AX9:BB9" si="13">I66*-1</f>
        <v>0</v>
      </c>
      <c r="AY9" s="11">
        <f t="shared" si="13"/>
        <v>77.38000000000001</v>
      </c>
      <c r="AZ9" s="11">
        <f t="shared" si="13"/>
        <v>1014.5151099999998</v>
      </c>
      <c r="BA9" s="11">
        <f t="shared" si="13"/>
        <v>385.50999999999993</v>
      </c>
      <c r="BB9" s="11">
        <f t="shared" si="13"/>
        <v>524.87690999999973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1274.6637827340842</v>
      </c>
      <c r="BS9" s="11">
        <f>SUM(BS10:BS11,BS18,BS57,BS65)+AD9</f>
        <v>2005.3534199999997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142.40040000000002</v>
      </c>
      <c r="BX9" s="11">
        <f t="shared" si="12"/>
        <v>0</v>
      </c>
      <c r="BY9" s="123">
        <f t="shared" si="12"/>
        <v>774.37625519999983</v>
      </c>
      <c r="BZ9" s="123">
        <f t="shared" si="12"/>
        <v>188.79674898664859</v>
      </c>
      <c r="CA9" s="2"/>
      <c r="CB9" s="2"/>
      <c r="CC9" s="2"/>
    </row>
    <row r="10" spans="1:81" x14ac:dyDescent="0.25"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2641.7958779340838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2026.2492199999995</v>
      </c>
      <c r="AW10" s="85">
        <f>IF(-(AW$11+AW$18+AW$57+AW65)-(H$70+H$79+H$80+H$84)-H$9&gt;0,-(AW$11+AW$18+AW$57+AW65)-(H$70+H$79+H$80+H$84)-H$9,0)</f>
        <v>22.249999999999996</v>
      </c>
      <c r="AX10" s="85">
        <f t="shared" ref="AX10:BB10" si="17">IF(-(AX$11+AX$18+AX$57+AX65)-(I70+I79+I80+I84)-I$9&gt;0,-(AX$11+AX$18+AX$57+AX65)-(I70+I79+I80+I84)-I$9,0)</f>
        <v>0</v>
      </c>
      <c r="AY10" s="85">
        <f t="shared" si="17"/>
        <v>79.097200000000015</v>
      </c>
      <c r="AZ10" s="85">
        <f t="shared" si="17"/>
        <v>1014.5151099999998</v>
      </c>
      <c r="BA10" s="85">
        <f t="shared" si="17"/>
        <v>385.50999999999993</v>
      </c>
      <c r="BB10" s="85">
        <f t="shared" si="17"/>
        <v>524.87690999999973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IF(-($BR$11+$BR$18+$BR$57+BR65)-(AC70+AC79+AC80+AC84)/(1-Nøgletal!$R$294)-$AC$9&gt;0,-($BR$11+$BR$18+$BR$57+BR65)-(AC70+AC79+AC80+AC84)/(1-Nøgletal!$R$294)-$AC$9,0)</f>
        <v>615.54665793408435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BR10*Emissionsfaktorer!I6+BT10*Emissionsfaktorer!I14</f>
        <v>68.276435298048639</v>
      </c>
      <c r="CA10" s="2"/>
      <c r="CB10" s="2"/>
      <c r="CC10" s="2"/>
    </row>
    <row r="11" spans="1:81" x14ac:dyDescent="0.25"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-98.67</v>
      </c>
      <c r="O11" s="20">
        <f t="shared" si="18"/>
        <v>-80</v>
      </c>
      <c r="P11" s="20">
        <f t="shared" si="18"/>
        <v>0</v>
      </c>
      <c r="Q11" s="20">
        <f t="shared" si="18"/>
        <v>-18.670000000000002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-98.67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98.67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98.67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  <c r="CC11" s="2"/>
    </row>
    <row r="12" spans="1:81" x14ac:dyDescent="0.25"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-18.670000000000002</v>
      </c>
      <c r="O12" s="23"/>
      <c r="P12" s="23"/>
      <c r="Q12" s="23">
        <f>AJ12</f>
        <v>-18.670000000000002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-18.670000000000002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18.670000000000002</v>
      </c>
      <c r="AP12" s="37">
        <f t="shared" si="6"/>
        <v>1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Nøgletal!R279</f>
        <v>18.670000000000002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(C12*Emissionsfaktorer!$I$4+E12*Emissionsfaktorer!$I$3+F12*Emissionsfaktorer!$I$5+H12*Emissionsfaktorer!$I$7+I12*Emissionsfaktorer!$I$8+J12*Emissionsfaktorer!$I$9+K12*Emissionsfaktorer!$I$10+L12*Emissionsfaktorer!$I$11+M12*Emissionsfaktorer!$I$12)*-1</f>
        <v>0</v>
      </c>
      <c r="CA12" s="2"/>
      <c r="CB12" s="2"/>
      <c r="CC12" s="2"/>
    </row>
    <row r="13" spans="1:81" x14ac:dyDescent="0.25"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-80</v>
      </c>
      <c r="O13" s="23">
        <f t="shared" si="21"/>
        <v>-80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-80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80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80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  <c r="CC13" s="2"/>
    </row>
    <row r="14" spans="1:81" x14ac:dyDescent="0.25"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-80</v>
      </c>
      <c r="O14" s="278">
        <f>AJ14</f>
        <v>-80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-80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80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Nøgletal!R277</f>
        <v>80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(C14*Emissionsfaktorer!$I$4+E14*Emissionsfaktorer!$I$3+F14*Emissionsfaktorer!$I$5+H14*Emissionsfaktorer!$I$7+I14*Emissionsfaktorer!$I$8+J14*Emissionsfaktorer!$I$9+K14*Emissionsfaktorer!$I$10+L14*Emissionsfaktorer!$I$11+M14*Emissionsfaktorer!$I$12)*-1</f>
        <v>0</v>
      </c>
      <c r="CB14" s="2"/>
      <c r="CC14" s="2"/>
    </row>
    <row r="15" spans="1:81" x14ac:dyDescent="0.25"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Nøgletal!R278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(C15*Emissionsfaktorer!$I$4+E15*Emissionsfaktorer!$I$3+F15*Emissionsfaktorer!$I$5+H15*Emissionsfaktorer!$I$7+I15*Emissionsfaktorer!$I$8+J15*Emissionsfaktorer!$I$9+K15*Emissionsfaktorer!$I$10+L15*Emissionsfaktorer!$I$11+M15*Emissionsfaktorer!$I$12)*-1</f>
        <v>0</v>
      </c>
    </row>
    <row r="16" spans="1:81" x14ac:dyDescent="0.25"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Nøgletal!R280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(C16*Emissionsfaktorer!$I$4+E16*Emissionsfaktorer!$I$3+F16*Emissionsfaktorer!$I$5+H16*Emissionsfaktorer!$I$7+I16*Emissionsfaktorer!$I$8+J16*Emissionsfaktorer!$I$9+K16*Emissionsfaktorer!$I$10+L16*Emissionsfaktorer!$I$11+M16*Emissionsfaktorer!$I$12)*-1</f>
        <v>0</v>
      </c>
    </row>
    <row r="17" spans="2:78" x14ac:dyDescent="0.25"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Nøgletal!R276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(C17*Emissionsfaktorer!$I$4+E17*Emissionsfaktorer!$I$3+F17*Emissionsfaktorer!$I$5+H17*Emissionsfaktorer!$I$7+I17*Emissionsfaktorer!$I$8+J17*Emissionsfaktorer!$I$9+K17*Emissionsfaktorer!$I$10+L17*Emissionsfaktorer!$I$11+M17*Emissionsfaktorer!$I$12)*-1</f>
        <v>0</v>
      </c>
    </row>
    <row r="18" spans="2:78" x14ac:dyDescent="0.25"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0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0</v>
      </c>
      <c r="AC18" s="20">
        <f t="shared" si="23"/>
        <v>-142.40040000000002</v>
      </c>
      <c r="AD18" s="20">
        <f t="shared" si="23"/>
        <v>0</v>
      </c>
      <c r="AE18" s="20">
        <f t="shared" si="23"/>
        <v>0</v>
      </c>
      <c r="AF18" s="20">
        <f t="shared" si="23"/>
        <v>-372.63240000000002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-515.03280000000007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515.03280000000007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0</v>
      </c>
      <c r="BS18" s="20">
        <f t="shared" si="24"/>
        <v>372.63240000000002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142.40040000000002</v>
      </c>
      <c r="BX18" s="20">
        <f t="shared" si="24"/>
        <v>0</v>
      </c>
      <c r="BY18" s="263">
        <f t="shared" si="24"/>
        <v>0</v>
      </c>
      <c r="BZ18" s="263">
        <f t="shared" si="24"/>
        <v>0</v>
      </c>
    </row>
    <row r="19" spans="2:78" x14ac:dyDescent="0.25"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Nøgletal!R268/(1-Nøgletal!R295)</f>
        <v>0</v>
      </c>
      <c r="BT19" s="23">
        <f>Nøgletal!S268/(1-Nøgletal!S295)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</row>
    <row r="20" spans="2:78" x14ac:dyDescent="0.25">
      <c r="B20" s="31"/>
      <c r="C20" s="278">
        <f>AJ20*Nøgletal!R429</f>
        <v>0</v>
      </c>
      <c r="D20" s="278"/>
      <c r="E20" s="278">
        <f>AJ20*Nøgletal!R431</f>
        <v>0</v>
      </c>
      <c r="F20" s="278"/>
      <c r="G20" s="278">
        <f t="shared" ref="G20:G83" si="29">SUM(H20:M20)</f>
        <v>0</v>
      </c>
      <c r="H20" s="278"/>
      <c r="I20" s="278">
        <f>AJ20*Nøgletal!R430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AJ20*Nøgletal!R432</f>
        <v>0</v>
      </c>
      <c r="V20" s="278">
        <f>AJ20*Nøgletal!R433</f>
        <v>0</v>
      </c>
      <c r="W20" s="278">
        <f>AJ20*Nøgletal!R434</f>
        <v>0</v>
      </c>
      <c r="X20" s="278">
        <f>AJ20*Nøgletal!R435</f>
        <v>0</v>
      </c>
      <c r="Y20" s="278">
        <f>AJ20*Nøgletal!R436</f>
        <v>0</v>
      </c>
      <c r="Z20" s="278"/>
      <c r="AA20" s="278"/>
      <c r="AB20" s="278">
        <f>AJ20*Nøgletal!R437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-AO20/IF(Nøgletal!R345+Nøgletal!S345&gt;0,Nøgletal!R345+Nøgletal!S345,1)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BS20/IF(Nøgletal!S345&gt;0,Nøgletal!S345,1)*Nøgletal!R345</f>
        <v>0</v>
      </c>
      <c r="BS20" s="278">
        <f>BS$19*Nøgletal!R303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I$4+E20*Emissionsfaktorer!$I$3+F20*Emissionsfaktorer!$I$5+H20*Emissionsfaktorer!$I$7+I20*Emissionsfaktorer!$I$8+J20*Emissionsfaktorer!$I$9+K20*Emissionsfaktorer!$I$10+L20*Emissionsfaktorer!$I$11+M20*Emissionsfaktorer!$I$12)*-1*(1-Nøgletal!$R$301)+T20*Emissionsfaktorer!$I$13*Nøgletal!$R$301</f>
        <v>0</v>
      </c>
    </row>
    <row r="21" spans="2:78" x14ac:dyDescent="0.25">
      <c r="B21" s="31"/>
      <c r="C21" s="278"/>
      <c r="D21" s="278"/>
      <c r="E21" s="278">
        <f>AJ21*Nøgletal!R443</f>
        <v>0</v>
      </c>
      <c r="F21" s="278"/>
      <c r="G21" s="278">
        <f t="shared" si="29"/>
        <v>0</v>
      </c>
      <c r="H21" s="278"/>
      <c r="I21" s="278">
        <f>AJ21*Nøgletal!R439</f>
        <v>0</v>
      </c>
      <c r="J21" s="278">
        <f>AJ21*Nøgletal!R440</f>
        <v>0</v>
      </c>
      <c r="K21" s="278">
        <f>AJ21*Nøgletal!R441</f>
        <v>0</v>
      </c>
      <c r="L21" s="278"/>
      <c r="M21" s="278">
        <f>AJ21*Nøgletal!R442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AJ21*Nøgletal!R444</f>
        <v>0</v>
      </c>
      <c r="V21" s="278">
        <f>AJ21*Nøgletal!R445</f>
        <v>0</v>
      </c>
      <c r="W21" s="278">
        <f>AJ21*Nøgletal!R446</f>
        <v>0</v>
      </c>
      <c r="X21" s="278">
        <f>AJ21*Nøgletal!R447</f>
        <v>0</v>
      </c>
      <c r="Y21" s="278">
        <f>AJ21*Nøgletal!R448</f>
        <v>0</v>
      </c>
      <c r="Z21" s="278"/>
      <c r="AA21" s="278"/>
      <c r="AB21" s="278">
        <f>AJ21*Nøgletal!R449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-AO21/IF(Nøgletal!R346+Nøgletal!S346&gt;0,Nøgletal!R346+Nøgletal!S346,1)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BS21/IF(Nøgletal!S346&gt;0,Nøgletal!S346,1)*Nøgletal!R346</f>
        <v>0</v>
      </c>
      <c r="BS21" s="278">
        <f>BS$19*Nøgletal!R304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I$4+E21*Emissionsfaktorer!$I$3+F21*Emissionsfaktorer!$I$5+H21*Emissionsfaktorer!$I$7+I21*Emissionsfaktorer!$I$8+J21*Emissionsfaktorer!$I$9+K21*Emissionsfaktorer!$I$10+L21*Emissionsfaktorer!$I$11+M21*Emissionsfaktorer!$I$12)*-1*(1-Nøgletal!$R$301)+T21*Emissionsfaktorer!$I$13*Nøgletal!$R$301</f>
        <v>0</v>
      </c>
    </row>
    <row r="22" spans="2:78" x14ac:dyDescent="0.25">
      <c r="B22" s="31"/>
      <c r="C22" s="278"/>
      <c r="D22" s="278"/>
      <c r="E22" s="278">
        <f>AJ22*Nøgletal!R451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AJ22*Nøgletal!R452</f>
        <v>0</v>
      </c>
      <c r="V22" s="278"/>
      <c r="W22" s="278"/>
      <c r="X22" s="278"/>
      <c r="Y22" s="278"/>
      <c r="Z22" s="278"/>
      <c r="AA22" s="278"/>
      <c r="AB22" s="278">
        <f>AJ22*Nøgletal!R453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-AO22/IF(Nøgletal!R347+Nøgletal!S347&gt;0,Nøgletal!R347+Nøgletal!S347,1)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BS22/IF(Nøgletal!S347&gt;0,Nøgletal!S347,1)*Nøgletal!R347</f>
        <v>0</v>
      </c>
      <c r="BS22" s="278">
        <f>BS$19*Nøgletal!R305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I$4+E22*Emissionsfaktorer!$I$3+F22*Emissionsfaktorer!$I$5+H22*Emissionsfaktorer!$I$7+I22*Emissionsfaktorer!$I$8+J22*Emissionsfaktorer!$I$9+K22*Emissionsfaktorer!$I$10+L22*Emissionsfaktorer!$I$11+M22*Emissionsfaktorer!$I$12)*-1*(1-Nøgletal!$R$301)+T22*Emissionsfaktorer!$I$13*Nøgletal!$R$301</f>
        <v>0</v>
      </c>
    </row>
    <row r="23" spans="2:78" x14ac:dyDescent="0.25">
      <c r="B23" s="31"/>
      <c r="C23" s="278">
        <f>AJ23*Nøgletal!R455</f>
        <v>0</v>
      </c>
      <c r="D23" s="278"/>
      <c r="E23" s="278">
        <f>AJ23*Nøgletal!R457</f>
        <v>0</v>
      </c>
      <c r="F23" s="278"/>
      <c r="G23" s="278">
        <f t="shared" si="29"/>
        <v>0</v>
      </c>
      <c r="H23" s="278"/>
      <c r="I23" s="278">
        <f>AJ23*Nøgletal!R456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AJ23*Nøgletal!R458</f>
        <v>0</v>
      </c>
      <c r="V23" s="278">
        <f>AJ23*Nøgletal!R459</f>
        <v>0</v>
      </c>
      <c r="W23" s="278">
        <f>AJ23*Nøgletal!R460</f>
        <v>0</v>
      </c>
      <c r="X23" s="278">
        <f>AJ23*Nøgletal!R461</f>
        <v>0</v>
      </c>
      <c r="Y23" s="278">
        <f>AJ23*Nøgletal!R462</f>
        <v>0</v>
      </c>
      <c r="Z23" s="278"/>
      <c r="AA23" s="278"/>
      <c r="AB23" s="278">
        <f>AJ23*Nøgletal!R463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-AO23/IF(Nøgletal!R348+Nøgletal!S348&gt;0,Nøgletal!R348+Nøgletal!S348,1)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BS23/IF(Nøgletal!S348&gt;0,Nøgletal!S348,1)*Nøgletal!R348</f>
        <v>0</v>
      </c>
      <c r="BS23" s="278">
        <f>BS$19*Nøgletal!R306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I$4+E23*Emissionsfaktorer!$I$3+F23*Emissionsfaktorer!$I$5+H23*Emissionsfaktorer!$I$7+I23*Emissionsfaktorer!$I$8+J23*Emissionsfaktorer!$I$9+K23*Emissionsfaktorer!$I$10+L23*Emissionsfaktorer!$I$11+M23*Emissionsfaktorer!$I$12)*-1*(1-Nøgletal!$R$301)+T23*Emissionsfaktorer!$I$13*Nøgletal!$R$301</f>
        <v>0</v>
      </c>
    </row>
    <row r="24" spans="2:78" x14ac:dyDescent="0.25"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-AO24*(1-1/IF(Nøgletal!S349&gt;0,Nøgletal!S349,1))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-AO24/Nøgletal!S465/(1-Nøgletal!R294)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BS$19*Nøgletal!R307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I$4+E24*Emissionsfaktorer!$I$3+F24*Emissionsfaktorer!$I$5+H24*Emissionsfaktorer!$I$7+I24*Emissionsfaktorer!$I$8+J24*Emissionsfaktorer!$I$9+K24*Emissionsfaktorer!$I$10+L24*Emissionsfaktorer!$I$11+M24*Emissionsfaktorer!$I$12)*-1*(1-Nøgletal!$R$301)+T24*Emissionsfaktorer!$I$13*Nøgletal!$R$301</f>
        <v>0</v>
      </c>
    </row>
    <row r="25" spans="2:78" x14ac:dyDescent="0.25"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-AO25/IF(Nøgletal!R350+Nøgletal!S350&gt;0,Nøgletal!R350+Nøgletal!S350,1)/(1-Nøgletal!R294)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BS$19*Nøgletal!R308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I$4+E25*Emissionsfaktorer!$I$3+F25*Emissionsfaktorer!$I$5+H25*Emissionsfaktorer!$I$7+I25*Emissionsfaktorer!$I$8+J25*Emissionsfaktorer!$I$9+K25*Emissionsfaktorer!$I$10+L25*Emissionsfaktorer!$I$11+M25*Emissionsfaktorer!$I$12)*-1*(1-Nøgletal!$R$301)+T25*Emissionsfaktorer!$I$13*Nøgletal!$R$301</f>
        <v>0</v>
      </c>
    </row>
    <row r="26" spans="2:78" x14ac:dyDescent="0.25"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-AO26/IF(Nøgletal!R352+Nøgletal!S352&gt;0,Nøgletal!R352+Nøgletal!S352,1)/(1-Nøgletal!R295)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I$4+E26*Emissionsfaktorer!$I$3+F26*Emissionsfaktorer!$I$5+H26*Emissionsfaktorer!$I$7+I26*Emissionsfaktorer!$I$8+J26*Emissionsfaktorer!$I$9+K26*Emissionsfaktorer!$I$10+L26*Emissionsfaktorer!$I$11+M26*Emissionsfaktorer!$I$12)*-1*(1-Nøgletal!$R$301)+T26*Emissionsfaktorer!$I$13*Nøgletal!$R$301</f>
        <v>0</v>
      </c>
    </row>
    <row r="27" spans="2:78" x14ac:dyDescent="0.25"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Nøgletal!R270/(1-Nøgletal!R297)</f>
        <v>0</v>
      </c>
      <c r="BT27" s="23">
        <f>Nøgletal!S270/(1-Nøgletal!S297)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</row>
    <row r="28" spans="2:78" x14ac:dyDescent="0.25">
      <c r="B28" s="31"/>
      <c r="C28" s="278">
        <f>AJ28*Nøgletal!R479</f>
        <v>0</v>
      </c>
      <c r="D28" s="278"/>
      <c r="E28" s="278">
        <f>AJ28*Nøgletal!R481</f>
        <v>0</v>
      </c>
      <c r="F28" s="278"/>
      <c r="G28" s="278">
        <f t="shared" si="29"/>
        <v>0</v>
      </c>
      <c r="H28" s="278"/>
      <c r="I28" s="278">
        <f>AJ28*Nøgletal!R480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AJ28*Nøgletal!R482</f>
        <v>0</v>
      </c>
      <c r="V28" s="278">
        <f>AJ28*Nøgletal!R483</f>
        <v>0</v>
      </c>
      <c r="W28" s="278">
        <f>AJ28*Nøgletal!R484</f>
        <v>0</v>
      </c>
      <c r="X28" s="278">
        <f>AJ28*Nøgletal!R485</f>
        <v>0</v>
      </c>
      <c r="Y28" s="278">
        <f>AJ28*Nøgletal!R486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-AO28/IF(Nøgletal!R357+Nøgletal!S357&gt;0,Nøgletal!R357+Nøgletal!S357,1)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BS28/IF(Nøgletal!S357&gt;0,Nøgletal!S357,1)*Nøgletal!R357</f>
        <v>0</v>
      </c>
      <c r="BS28" s="286">
        <f>BS$27*Nøgletal!R317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I$4+E28*Emissionsfaktorer!$I$3+F28*Emissionsfaktorer!$I$5+H28*Emissionsfaktorer!$I$7+I28*Emissionsfaktorer!$I$8+J28*Emissionsfaktorer!$I$9+K28*Emissionsfaktorer!$I$10+L28*Emissionsfaktorer!$I$11+M28*Emissionsfaktorer!$I$12)*-1*(1-Nøgletal!$R$315)+T28*Emissionsfaktorer!$I$13*Nøgletal!$R$315</f>
        <v>0</v>
      </c>
    </row>
    <row r="29" spans="2:78" x14ac:dyDescent="0.25">
      <c r="B29" s="31"/>
      <c r="C29" s="278"/>
      <c r="D29" s="278"/>
      <c r="E29" s="278">
        <f>AJ29*Nøgletal!R492</f>
        <v>0</v>
      </c>
      <c r="F29" s="278"/>
      <c r="G29" s="278">
        <f t="shared" si="29"/>
        <v>0</v>
      </c>
      <c r="H29" s="278"/>
      <c r="I29" s="278">
        <f>AJ29*Nøgletal!R488</f>
        <v>0</v>
      </c>
      <c r="J29" s="278">
        <f>AJ29*Nøgletal!R489</f>
        <v>0</v>
      </c>
      <c r="K29" s="278">
        <f>AJ29*Nøgletal!R490</f>
        <v>0</v>
      </c>
      <c r="L29" s="278"/>
      <c r="M29" s="278">
        <f>AJ29*Nøgletal!R491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AJ29*Nøgletal!R493</f>
        <v>0</v>
      </c>
      <c r="V29" s="278">
        <f>AJ29*Nøgletal!R494</f>
        <v>0</v>
      </c>
      <c r="W29" s="278">
        <f>AJ29*Nøgletal!R495</f>
        <v>0</v>
      </c>
      <c r="X29" s="278">
        <f>AJ29*Nøgletal!R496</f>
        <v>0</v>
      </c>
      <c r="Y29" s="278">
        <f>Nøgletal!R497</f>
        <v>0</v>
      </c>
      <c r="Z29" s="278"/>
      <c r="AA29" s="278"/>
      <c r="AB29" s="278">
        <f>AJ29*Nøgletal!R498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-AO29/IF(Nøgletal!R358+Nøgletal!S358&gt;0,Nøgletal!R358+Nøgletal!S358,1)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BS29/IF(Nøgletal!S358&gt;0,Nøgletal!S358,1)*Nøgletal!R358</f>
        <v>0</v>
      </c>
      <c r="BS29" s="286">
        <f>BS$27*Nøgletal!R318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I$4+E29*Emissionsfaktorer!$I$3+F29*Emissionsfaktorer!$I$5+H29*Emissionsfaktorer!$I$7+I29*Emissionsfaktorer!$I$8+J29*Emissionsfaktorer!$I$9+K29*Emissionsfaktorer!$I$10+L29*Emissionsfaktorer!$I$11+M29*Emissionsfaktorer!$I$12)*-1*(1-Nøgletal!$R$315)+T29*Emissionsfaktorer!$I$13*Nøgletal!$R$315</f>
        <v>0</v>
      </c>
    </row>
    <row r="30" spans="2:78" x14ac:dyDescent="0.25">
      <c r="B30" s="31"/>
      <c r="C30" s="278"/>
      <c r="D30" s="278"/>
      <c r="E30" s="278">
        <f>AJ30*Nøgletal!R500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AJ30*Nøgletal!R501</f>
        <v>0</v>
      </c>
      <c r="V30" s="278"/>
      <c r="W30" s="278"/>
      <c r="X30" s="278"/>
      <c r="Y30" s="278"/>
      <c r="Z30" s="278"/>
      <c r="AA30" s="278"/>
      <c r="AB30" s="278">
        <f>AJ30*Nøgletal!R502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-AO30/IF(Nøgletal!R359+Nøgletal!S359&gt;0,Nøgletal!R359+Nøgletal!S359,1)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BS30/IF(Nøgletal!S359&gt;0,Nøgletal!S359,1)*Nøgletal!R359</f>
        <v>0</v>
      </c>
      <c r="BS30" s="286">
        <f>BS$27*Nøgletal!R319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I$4+E30*Emissionsfaktorer!$I$3+F30*Emissionsfaktorer!$I$5+H30*Emissionsfaktorer!$I$7+I30*Emissionsfaktorer!$I$8+J30*Emissionsfaktorer!$I$9+K30*Emissionsfaktorer!$I$10+L30*Emissionsfaktorer!$I$11+M30*Emissionsfaktorer!$I$12)*-1*(1-Nøgletal!$R$315)+T30*Emissionsfaktorer!$I$13*Nøgletal!$R$315</f>
        <v>0</v>
      </c>
    </row>
    <row r="31" spans="2:78" x14ac:dyDescent="0.25">
      <c r="B31" s="31"/>
      <c r="C31" s="278">
        <f>AJ31*Nøgletal!R504</f>
        <v>0</v>
      </c>
      <c r="D31" s="278"/>
      <c r="E31" s="278">
        <f>AJ31*Nøgletal!R506</f>
        <v>0</v>
      </c>
      <c r="F31" s="278"/>
      <c r="G31" s="278">
        <f t="shared" si="29"/>
        <v>0</v>
      </c>
      <c r="H31" s="278"/>
      <c r="I31" s="278">
        <f>AJ31*Nøgletal!R505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AJ31*Nøgletal!R507</f>
        <v>0</v>
      </c>
      <c r="V31" s="278">
        <f>AJ31*Nøgletal!R508</f>
        <v>0</v>
      </c>
      <c r="W31" s="278">
        <f>AJ31*Nøgletal!R509</f>
        <v>0</v>
      </c>
      <c r="X31" s="278">
        <f>AJ31*Nøgletal!R510</f>
        <v>0</v>
      </c>
      <c r="Y31" s="278">
        <f>AJ31*Nøgletal!R511</f>
        <v>0</v>
      </c>
      <c r="Z31" s="278"/>
      <c r="AA31" s="278"/>
      <c r="AB31" s="278">
        <f>AJ31*Nøgletal!R512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-AO31/IF(Nøgletal!R360+Nøgletal!S360&gt;0,Nøgletal!R360+Nøgletal!S360,1)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BS31/IF(Nøgletal!S360&gt;0,Nøgletal!S360,1)*Nøgletal!R360</f>
        <v>0</v>
      </c>
      <c r="BS31" s="286">
        <f>BS$27*Nøgletal!R320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I$4+E31*Emissionsfaktorer!$I$3+F31*Emissionsfaktorer!$I$5+H31*Emissionsfaktorer!$I$7+I31*Emissionsfaktorer!$I$8+J31*Emissionsfaktorer!$I$9+K31*Emissionsfaktorer!$I$10+L31*Emissionsfaktorer!$I$11+M31*Emissionsfaktorer!$I$12)*-1*(1-Nøgletal!$R$315)+T31*Emissionsfaktorer!$I$13*Nøgletal!$R$315</f>
        <v>0</v>
      </c>
    </row>
    <row r="32" spans="2:78" x14ac:dyDescent="0.25"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AO32*(1-1/IF(Nøgletal!S361&gt;0,Nøgletal!S361,1))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-AO32/Nøgletal!S514/(1-Nøgletal!R294)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BS$27*Nøgletal!R321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I$4+E32*Emissionsfaktorer!$I$3+F32*Emissionsfaktorer!$I$5+H32*Emissionsfaktorer!$I$7+I32*Emissionsfaktorer!$I$8+J32*Emissionsfaktorer!$I$9+K32*Emissionsfaktorer!$I$10+L32*Emissionsfaktorer!$I$11+M32*Emissionsfaktorer!$I$12)*-1*(1-Nøgletal!$R$315)+T32*Emissionsfaktorer!$I$13*Nøgletal!$R$315</f>
        <v>0</v>
      </c>
    </row>
    <row r="33" spans="2:78" x14ac:dyDescent="0.25"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-AO33/IF(Nøgletal!R362+Nøgletal!S362&gt;0,Nøgletal!R362+Nøgletal!S362,1)/(1-Nøgletal!R294)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BS$27*Nøgletal!R322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I$4+E33*Emissionsfaktorer!$I$3+F33*Emissionsfaktorer!$I$5+H33*Emissionsfaktorer!$I$7+I33*Emissionsfaktorer!$I$8+J33*Emissionsfaktorer!$I$9+K33*Emissionsfaktorer!$I$10+L33*Emissionsfaktorer!$I$11+M33*Emissionsfaktorer!$I$12)*-1*(1-Nøgletal!$R$315)+T33*Emissionsfaktorer!$I$13*Nøgletal!$R$315</f>
        <v>0</v>
      </c>
    </row>
    <row r="34" spans="2:78" x14ac:dyDescent="0.25"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-AO34/IF(Nøgletal!R363+Nøgletal!S363&gt;0,Nøgletal!R363+Nøgletal!S363,1)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BS34/IF(Nøgletal!S363&gt;0,Nøgletal!S363,1)*Nøgletal!R363</f>
        <v>0</v>
      </c>
      <c r="BS34" s="286">
        <f>BS$27*Nøgletal!R323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I$4+E34*Emissionsfaktorer!$I$3+F34*Emissionsfaktorer!$I$5+H34*Emissionsfaktorer!$I$7+I34*Emissionsfaktorer!$I$8+J34*Emissionsfaktorer!$I$9+K34*Emissionsfaktorer!$I$10+L34*Emissionsfaktorer!$I$11+M34*Emissionsfaktorer!$I$12)*-1*(1-Nøgletal!$R$315)+T34*Emissionsfaktorer!$I$13*Nøgletal!$R$315</f>
        <v>0</v>
      </c>
    </row>
    <row r="35" spans="2:78" x14ac:dyDescent="0.25">
      <c r="B35" s="31"/>
      <c r="C35" s="278">
        <f>AJ35*Nøgletal!R518</f>
        <v>0</v>
      </c>
      <c r="D35" s="278"/>
      <c r="E35" s="278">
        <f>AJ35*Nøgletal!R520</f>
        <v>0</v>
      </c>
      <c r="F35" s="278"/>
      <c r="G35" s="278">
        <f t="shared" si="29"/>
        <v>0</v>
      </c>
      <c r="H35" s="278"/>
      <c r="I35" s="278">
        <f>AJ35*Nøgletal!R519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AJ35*Nøgletal!R521</f>
        <v>0</v>
      </c>
      <c r="V35" s="278">
        <f>AJ35*Nøgletal!R522</f>
        <v>0</v>
      </c>
      <c r="W35" s="278">
        <f>AJ35*Nøgletal!R523</f>
        <v>0</v>
      </c>
      <c r="X35" s="278">
        <f>AJ35*Nøgletal!R524</f>
        <v>0</v>
      </c>
      <c r="Y35" s="278">
        <f>AJ35*Nøgletal!R525</f>
        <v>0</v>
      </c>
      <c r="Z35" s="278"/>
      <c r="AA35" s="278"/>
      <c r="AB35" s="278">
        <f>AJ35*Nøgletal!R526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-AO35/IF(Nøgletal!R364+Nøgletal!S364&gt;0,Nøgletal!R364+Nøgletal!S364,1)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BS35/IF(Nøgletal!S364&gt;0,Nøgletal!S364,1)*Nøgletal!R364</f>
        <v>0</v>
      </c>
      <c r="BS35" s="286">
        <f>BS$27*Nøgletal!R324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I$4+E35*Emissionsfaktorer!$I$3+F35*Emissionsfaktorer!$I$5+H35*Emissionsfaktorer!$I$7+I35*Emissionsfaktorer!$I$8+J35*Emissionsfaktorer!$I$9+K35*Emissionsfaktorer!$I$10+L35*Emissionsfaktorer!$I$11+M35*Emissionsfaktorer!$I$12)*-1*(1-Nøgletal!$R$315)+T35*Emissionsfaktorer!$I$13*Nøgletal!$R$315</f>
        <v>0</v>
      </c>
    </row>
    <row r="36" spans="2:78" x14ac:dyDescent="0.25"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I$4+E36*Emissionsfaktorer!$I$3+F36*Emissionsfaktorer!$I$5+H36*Emissionsfaktorer!$I$7+I36*Emissionsfaktorer!$I$8+J36*Emissionsfaktorer!$I$9+K36*Emissionsfaktorer!$I$10+L36*Emissionsfaktorer!$I$11+M36*Emissionsfaktorer!$I$12)*-1*(1-Nøgletal!$R$315)+T36*Emissionsfaktorer!$I$13*Nøgletal!$R$315</f>
        <v>0</v>
      </c>
    </row>
    <row r="37" spans="2:78" x14ac:dyDescent="0.25"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0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0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0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0</v>
      </c>
      <c r="AP37" s="37">
        <f t="shared" si="6"/>
        <v>0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0</v>
      </c>
      <c r="BS37" s="23">
        <f>Nøgletal!R271/(1-Nøgletal!R298)</f>
        <v>0</v>
      </c>
      <c r="BT37" s="23">
        <f>Nøgletal!S271/(1-Nøgletal!S298)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0</v>
      </c>
      <c r="BZ37" s="126">
        <f t="shared" si="37"/>
        <v>0</v>
      </c>
    </row>
    <row r="38" spans="2:78" x14ac:dyDescent="0.25">
      <c r="B38" s="31"/>
      <c r="C38" s="278"/>
      <c r="D38" s="278"/>
      <c r="E38" s="278">
        <f>AJ38*Nøgletal!R532</f>
        <v>0</v>
      </c>
      <c r="F38" s="278"/>
      <c r="G38" s="278">
        <f t="shared" si="29"/>
        <v>0</v>
      </c>
      <c r="H38" s="278"/>
      <c r="I38" s="278">
        <f>AJ38*Nøgletal!R528</f>
        <v>0</v>
      </c>
      <c r="J38" s="278">
        <f>AJ38*Nøgletal!R529</f>
        <v>0</v>
      </c>
      <c r="K38" s="278">
        <f>AJ38*Nøgletal!R530</f>
        <v>0</v>
      </c>
      <c r="L38" s="278"/>
      <c r="M38" s="278">
        <f>AJ38*Nøgletal!R531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0</v>
      </c>
      <c r="U38" s="278">
        <f>AJ38*Nøgletal!R533</f>
        <v>0</v>
      </c>
      <c r="V38" s="278">
        <f>Nøgletal!R534</f>
        <v>0</v>
      </c>
      <c r="W38" s="278">
        <f>AJ38*Nøgletal!R535</f>
        <v>0</v>
      </c>
      <c r="X38" s="278">
        <f>Nøgletal!R536</f>
        <v>0</v>
      </c>
      <c r="Y38" s="278">
        <f>AJ38*Nøgletal!R537</f>
        <v>0</v>
      </c>
      <c r="Z38" s="278"/>
      <c r="AA38" s="278"/>
      <c r="AB38" s="278">
        <f>AJ38*Nøgletal!R538</f>
        <v>0</v>
      </c>
      <c r="AC38" s="280"/>
      <c r="AD38" s="280"/>
      <c r="AE38" s="280"/>
      <c r="AF38" s="280"/>
      <c r="AG38" s="280"/>
      <c r="AH38" s="280"/>
      <c r="AI38" s="280"/>
      <c r="AJ38" s="105">
        <f>-AO38/IF(Nøgletal!R366+Nøgletal!S366&gt;0,Nøgletal!R366+Nøgletal!S366,1)</f>
        <v>0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0</v>
      </c>
      <c r="AP38" s="37">
        <f t="shared" si="6"/>
        <v>0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Nøgletal!R275</f>
        <v>0</v>
      </c>
      <c r="BS38" s="292">
        <f>BS$37*Nøgletal!R327</f>
        <v>0</v>
      </c>
      <c r="BT38" s="280"/>
      <c r="BU38" s="280"/>
      <c r="BV38" s="280"/>
      <c r="BW38" s="280"/>
      <c r="BX38" s="280"/>
      <c r="BY38" s="124">
        <f>(AJ38+AO38)*-1</f>
        <v>0</v>
      </c>
      <c r="BZ38" s="123">
        <f>(C38*Emissionsfaktorer!$I$4+E38*Emissionsfaktorer!$I$3+F38*Emissionsfaktorer!$I$5+H38*Emissionsfaktorer!$I$7+I38*Emissionsfaktorer!$I$8+J38*Emissionsfaktorer!$I$9+K38*Emissionsfaktorer!$I$10+L38*Emissionsfaktorer!$I$11+M38*Emissionsfaktorer!$I$12)*-1*(1-Nøgletal!$R$325)+T38*Emissionsfaktorer!$I$13*Nøgletal!$R$325</f>
        <v>0</v>
      </c>
    </row>
    <row r="39" spans="2:78" x14ac:dyDescent="0.25">
      <c r="B39" s="31"/>
      <c r="C39" s="278">
        <f>AJ39*Nøgletal!R540</f>
        <v>0</v>
      </c>
      <c r="D39" s="278"/>
      <c r="E39" s="278">
        <f>AJ39*Nøgletal!R542</f>
        <v>0</v>
      </c>
      <c r="F39" s="278"/>
      <c r="G39" s="278">
        <f t="shared" si="29"/>
        <v>0</v>
      </c>
      <c r="H39" s="278"/>
      <c r="I39" s="278">
        <f>AJ39*Nøgletal!R541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AJ39*Nøgletal!R543</f>
        <v>0</v>
      </c>
      <c r="V39" s="278">
        <f>AJ39*Nøgletal!R544</f>
        <v>0</v>
      </c>
      <c r="W39" s="278">
        <f>AJ39*Nøgletal!R545</f>
        <v>0</v>
      </c>
      <c r="X39" s="278">
        <f>AJ39*Nøgletal!R547</f>
        <v>0</v>
      </c>
      <c r="Y39" s="278">
        <f>AJ39*Nøgletal!R548</f>
        <v>0</v>
      </c>
      <c r="Z39" s="278"/>
      <c r="AA39" s="278"/>
      <c r="AB39" s="278">
        <f>Nøgletal!R549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-AO39/IF(Nøgletal!R367+Nøgletal!S367&gt;0,Nøgletal!R367+Nøgletal!S367,1)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BS39/IF(Nøgletal!S367&gt;0,Nøgletal!S367,1)*Nøgletal!R367</f>
        <v>0</v>
      </c>
      <c r="BS39" s="292">
        <f>BS$37*Nøgletal!R328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I$4+E39*Emissionsfaktorer!$I$3+F39*Emissionsfaktorer!$I$5+H39*Emissionsfaktorer!$I$7+I39*Emissionsfaktorer!$I$8+J39*Emissionsfaktorer!$I$9+K39*Emissionsfaktorer!$I$10+L39*Emissionsfaktorer!$I$11+M39*Emissionsfaktorer!$I$12)*-1*(1-Nøgletal!$R$325)+T39*Emissionsfaktorer!$I$13*Nøgletal!$R$325</f>
        <v>0</v>
      </c>
    </row>
    <row r="40" spans="2:78" x14ac:dyDescent="0.25"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I$4+E40*Emissionsfaktorer!$I$3+F40*Emissionsfaktorer!$I$5+H40*Emissionsfaktorer!$I$7+I40*Emissionsfaktorer!$I$8+J40*Emissionsfaktorer!$I$9+K40*Emissionsfaktorer!$I$10+L40*Emissionsfaktorer!$I$11+M40*Emissionsfaktorer!$I$12)*-1*(1-Nøgletal!$R$325)+T40*Emissionsfaktorer!$I$13*Nøgletal!$R$325</f>
        <v>0</v>
      </c>
    </row>
    <row r="41" spans="2:78" x14ac:dyDescent="0.25"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Nøgletal!R269/(1-Nøgletal!R296)</f>
        <v>0</v>
      </c>
      <c r="BT41" s="23">
        <f>Nøgletal!S269/(1-Nøgletal!S296)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</row>
    <row r="42" spans="2:78" x14ac:dyDescent="0.25">
      <c r="B42" s="31"/>
      <c r="C42" s="278"/>
      <c r="D42" s="278"/>
      <c r="E42" s="278"/>
      <c r="F42" s="278">
        <f>AJ42*Nøgletal!R469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AJ42*Nøgletal!R467</f>
        <v>0</v>
      </c>
      <c r="AA42" s="278">
        <f>AJ42*Nøgletal!R468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-AO42/IF(Nøgletal!R353+Nøgletal!S353&gt;0,Nøgletal!R353+Nøgletal!S353,1)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BS42/IF(Nøgletal!S353&gt;0,Nøgletal!S353,1)*Nøgletal!R353</f>
        <v>0</v>
      </c>
      <c r="BS42" s="289">
        <f>BS$41*Nøgletal!R312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I$4+E42*Emissionsfaktorer!$I$3+F42*Emissionsfaktorer!$I$5+H42*Emissionsfaktorer!$I$7+I42*Emissionsfaktorer!$I$8+J42*Emissionsfaktorer!$I$9+K42*Emissionsfaktorer!$I$10+L42*Emissionsfaktorer!$I$11+M42*Emissionsfaktorer!$I$12)*-1*(1-Nøgletal!$R$310)+T42*Emissionsfaktorer!$I$13*Nøgletal!$R$310</f>
        <v>0</v>
      </c>
    </row>
    <row r="43" spans="2:78" x14ac:dyDescent="0.25">
      <c r="B43" s="31"/>
      <c r="C43" s="278"/>
      <c r="D43" s="278"/>
      <c r="E43" s="278"/>
      <c r="F43" s="278">
        <f>AJ43*Nøgletal!R473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AJ43*Nøgletal!R471</f>
        <v>0</v>
      </c>
      <c r="AA43" s="278">
        <f>AJ43*Nøgletal!R472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-AO43/IF(Nøgletal!R354+Nøgletal!S354&gt;0,Nøgletal!R354+Nøgletal!S354,1)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BS43/IF(Nøgletal!S354&gt;0,Nøgletal!S354,1)*Nøgletal!R354</f>
        <v>0</v>
      </c>
      <c r="BS43" s="289">
        <f>BS$41*Nøgletal!R313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I$4+E43*Emissionsfaktorer!$I$3+F43*Emissionsfaktorer!$I$5+H43*Emissionsfaktorer!$I$7+I43*Emissionsfaktorer!$I$8+J43*Emissionsfaktorer!$I$9+K43*Emissionsfaktorer!$I$10+L43*Emissionsfaktorer!$I$11+M43*Emissionsfaktorer!$I$12)*-1*(1-Nøgletal!$R$310)+T43*Emissionsfaktorer!$I$13*Nøgletal!$R$310</f>
        <v>0</v>
      </c>
    </row>
    <row r="44" spans="2:78" x14ac:dyDescent="0.25">
      <c r="B44" s="31"/>
      <c r="C44" s="278"/>
      <c r="D44" s="278"/>
      <c r="E44" s="278"/>
      <c r="F44" s="278">
        <f>AJ44*Nøgletal!R477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AJ44*Nøgletal!R475</f>
        <v>0</v>
      </c>
      <c r="AA44" s="278">
        <f>AJ44*Nøgletal!R476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-AO44/IF(Nøgletal!R355+Nøgletal!S355&gt;0,Nøgletal!R355+Nøgletal!S355,1)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BS44/IF(Nøgletal!S355&gt;0,Nøgletal!S355,1)*Nøgletal!R355</f>
        <v>0</v>
      </c>
      <c r="BS44" s="289">
        <f>BS$41*Nøgletal!R314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I$4+E44*Emissionsfaktorer!$I$3+F44*Emissionsfaktorer!$I$5+H44*Emissionsfaktorer!$I$7+I44*Emissionsfaktorer!$I$8+J44*Emissionsfaktorer!$I$9+K44*Emissionsfaktorer!$I$10+L44*Emissionsfaktorer!$I$11+M44*Emissionsfaktorer!$I$12)*-1*(1-Nøgletal!$R$310)+T44*Emissionsfaktorer!$I$13*Nøgletal!$R$310</f>
        <v>0</v>
      </c>
    </row>
    <row r="45" spans="2:78" x14ac:dyDescent="0.25"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I$4+E45*Emissionsfaktorer!$I$3+F45*Emissionsfaktorer!$I$5+H45*Emissionsfaktorer!$I$7+I45*Emissionsfaktorer!$I$8+J45*Emissionsfaktorer!$I$9+K45*Emissionsfaktorer!$I$10+L45*Emissionsfaktorer!$I$11+M45*Emissionsfaktorer!$I$12)*-1*(1-Nøgletal!$R$310)+T45*Emissionsfaktorer!$I$13*Nøgletal!$R$310</f>
        <v>0</v>
      </c>
    </row>
    <row r="46" spans="2:78" x14ac:dyDescent="0.25"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-142.40040000000002</v>
      </c>
      <c r="AD46" s="23">
        <f t="shared" si="40"/>
        <v>0</v>
      </c>
      <c r="AE46" s="23">
        <f t="shared" si="40"/>
        <v>0</v>
      </c>
      <c r="AF46" s="23">
        <f t="shared" si="40"/>
        <v>-372.63240000000002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-515.03280000000007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515.03280000000007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372.63240000000002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142.40040000000002</v>
      </c>
      <c r="BX46" s="23"/>
      <c r="BY46" s="126">
        <f t="shared" si="41"/>
        <v>0</v>
      </c>
      <c r="BZ46" s="126">
        <f t="shared" si="41"/>
        <v>0</v>
      </c>
    </row>
    <row r="47" spans="2:78" x14ac:dyDescent="0.25">
      <c r="B47" s="31"/>
      <c r="C47" s="278">
        <f>AJ47*Nøgletal!R586</f>
        <v>0</v>
      </c>
      <c r="D47" s="278"/>
      <c r="E47" s="278">
        <f>AJ47*Nøgletal!R588</f>
        <v>0</v>
      </c>
      <c r="F47" s="278"/>
      <c r="G47" s="278">
        <f t="shared" si="29"/>
        <v>0</v>
      </c>
      <c r="H47" s="278"/>
      <c r="I47" s="278">
        <f>AJ47*Nøgletal!R587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AJ47*Nøgletal!R589</f>
        <v>0</v>
      </c>
      <c r="V47" s="278">
        <f>AJ47*Nøgletal!R590</f>
        <v>0</v>
      </c>
      <c r="W47" s="278">
        <f>AJ47*Nøgletal!R591</f>
        <v>0</v>
      </c>
      <c r="X47" s="278">
        <f>AJ47*Nøgletal!R592</f>
        <v>0</v>
      </c>
      <c r="Y47" s="278">
        <f>AJ47*Nøgletal!R593</f>
        <v>0</v>
      </c>
      <c r="Z47" s="278"/>
      <c r="AA47" s="278"/>
      <c r="AB47" s="278">
        <f>AJ47*Nøgletal!R594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-AO47/IF(Nøgletal!R375+Nøgletal!S375&gt;0,Nøgletal!R375+Nøgletal!S375,1)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BS47/IF(Nøgletal!S375&gt;0,Nøgletal!S375,1)*Nøgletal!R375</f>
        <v>0</v>
      </c>
      <c r="BS47" s="292">
        <f>(Nøgletal!R$202+Nøgletal!R$273/(1-Nøgletal!R$300))*Nøgletal!R338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I$4+E47*Emissionsfaktorer!$I$3+F47*Emissionsfaktorer!$I$5+H47*Emissionsfaktorer!$I$7+I47*Emissionsfaktorer!$I$8+J47*Emissionsfaktorer!$I$9+K47*Emissionsfaktorer!$I$10+L47*Emissionsfaktorer!$I$11+M47*Emissionsfaktorer!$I$12)*-1*(1-Nøgletal!$R$336)+T47*Emissionsfaktorer!$I$13*Nøgletal!$R$336</f>
        <v>0</v>
      </c>
    </row>
    <row r="48" spans="2:78" x14ac:dyDescent="0.25">
      <c r="B48" s="31"/>
      <c r="C48" s="278"/>
      <c r="D48" s="278"/>
      <c r="E48" s="278">
        <f>AJ48*Nøgletal!R600</f>
        <v>0</v>
      </c>
      <c r="F48" s="278"/>
      <c r="G48" s="278">
        <f t="shared" si="29"/>
        <v>0</v>
      </c>
      <c r="H48" s="278"/>
      <c r="I48" s="278">
        <f>AJ48*Nøgletal!R596</f>
        <v>0</v>
      </c>
      <c r="J48" s="278">
        <f>AJ48*Nøgletal!R597</f>
        <v>0</v>
      </c>
      <c r="K48" s="278">
        <f>AJ48*Nøgletal!R598</f>
        <v>0</v>
      </c>
      <c r="L48" s="278"/>
      <c r="M48" s="278">
        <f>AJ48*Nøgletal!R599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AJ48*Nøgletal!R601</f>
        <v>0</v>
      </c>
      <c r="V48" s="278">
        <f>Nøgletal!R602</f>
        <v>0</v>
      </c>
      <c r="W48" s="278">
        <f>Nøgletal!R603</f>
        <v>0</v>
      </c>
      <c r="X48" s="278">
        <f>AJ48*Nøgletal!R604</f>
        <v>0</v>
      </c>
      <c r="Y48" s="278">
        <f>AJ48*Nøgletal!R605</f>
        <v>0</v>
      </c>
      <c r="Z48" s="278"/>
      <c r="AA48" s="278"/>
      <c r="AB48" s="278">
        <f>AJ48*Nøgletal!R606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-AO48/IF(Nøgletal!R376+Nøgletal!S376&gt;0,Nøgletal!R376+Nøgletal!S376,1)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BS48/IF(Nøgletal!S376&gt;0,Nøgletal!S376,1)*Nøgletal!R376</f>
        <v>0</v>
      </c>
      <c r="BS48" s="292">
        <f>(Nøgletal!R$202+Nøgletal!R$273/(1-Nøgletal!R$300))*Nøgletal!R339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I$4+E48*Emissionsfaktorer!$I$3+F48*Emissionsfaktorer!$I$5+H48*Emissionsfaktorer!$I$7+I48*Emissionsfaktorer!$I$8+J48*Emissionsfaktorer!$I$9+K48*Emissionsfaktorer!$I$10+L48*Emissionsfaktorer!$I$11+M48*Emissionsfaktorer!$I$12)*-1*(1-Nøgletal!$R$336)+T48*Emissionsfaktorer!$I$13*Nøgletal!$R$336</f>
        <v>0</v>
      </c>
    </row>
    <row r="49" spans="2:80" x14ac:dyDescent="0.25">
      <c r="B49" s="31"/>
      <c r="C49" s="278"/>
      <c r="D49" s="278"/>
      <c r="E49" s="278">
        <f>AJ49*Nøgletal!R608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AJ49*Nøgletal!R609</f>
        <v>0</v>
      </c>
      <c r="V49" s="278"/>
      <c r="W49" s="278"/>
      <c r="X49" s="278"/>
      <c r="Y49" s="278"/>
      <c r="Z49" s="278"/>
      <c r="AA49" s="278"/>
      <c r="AB49" s="278">
        <f>AJ49*Nøgletal!R610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-AO49/IF(Nøgletal!R377+Nøgletal!S377&gt;0,Nøgletal!R377+Nøgletal!S377,1)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BS49/IF(Nøgletal!S377&gt;0,Nøgletal!S377,1)*Nøgletal!R377</f>
        <v>0</v>
      </c>
      <c r="BS49" s="292">
        <f>(Nøgletal!R$202+Nøgletal!R$273/(1-Nøgletal!R$300))*Nøgletal!R340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I$4+E49*Emissionsfaktorer!$I$3+F49*Emissionsfaktorer!$I$5+H49*Emissionsfaktorer!$I$7+I49*Emissionsfaktorer!$I$8+J49*Emissionsfaktorer!$I$9+K49*Emissionsfaktorer!$I$10+L49*Emissionsfaktorer!$I$11+M49*Emissionsfaktorer!$I$12)*-1*(1-Nøgletal!$R$336)+T49*Emissionsfaktorer!$I$13*Nøgletal!$R$336</f>
        <v>0</v>
      </c>
    </row>
    <row r="50" spans="2:80" x14ac:dyDescent="0.25">
      <c r="B50" s="31"/>
      <c r="C50" s="278">
        <f>AJ50*Nøgletal!R612</f>
        <v>0</v>
      </c>
      <c r="D50" s="278"/>
      <c r="E50" s="278">
        <f>AJ50*Nøgletal!R614</f>
        <v>0</v>
      </c>
      <c r="F50" s="278"/>
      <c r="G50" s="278">
        <f t="shared" si="29"/>
        <v>0</v>
      </c>
      <c r="H50" s="278"/>
      <c r="I50" s="278">
        <f>AJ50*Nøgletal!R613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AJ50*Nøgletal!R615</f>
        <v>0</v>
      </c>
      <c r="V50" s="278">
        <f>AJ50*Nøgletal!R626</f>
        <v>0</v>
      </c>
      <c r="W50" s="278">
        <f>AJ50*Nøgletal!R617</f>
        <v>0</v>
      </c>
      <c r="X50" s="278">
        <f>AJ50*Nøgletal!R628</f>
        <v>0</v>
      </c>
      <c r="Y50" s="278">
        <f>AJ50*Nøgletal!R619</f>
        <v>0</v>
      </c>
      <c r="Z50" s="278"/>
      <c r="AA50" s="278"/>
      <c r="AB50" s="278">
        <f>AJ50*Nøgletal!R620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-AO50/IF(Nøgletal!R378+Nøgletal!S378&gt;0,Nøgletal!R378+Nøgletal!S378,1)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BS50/IF(Nøgletal!S378&gt;0,Nøgletal!S378,1)*Nøgletal!R378</f>
        <v>0</v>
      </c>
      <c r="BS50" s="292">
        <f>(Nøgletal!R$202+Nøgletal!R$273/(1-Nøgletal!R$300))*Nøgletal!R341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I$4+E50*Emissionsfaktorer!$I$3+F50*Emissionsfaktorer!$I$5+H50*Emissionsfaktorer!$I$7+I50*Emissionsfaktorer!$I$8+J50*Emissionsfaktorer!$I$9+K50*Emissionsfaktorer!$I$10+L50*Emissionsfaktorer!$I$11+M50*Emissionsfaktorer!$I$12)*-1*(1-Nøgletal!$R$336)+T50*Emissionsfaktorer!$I$13*Nøgletal!$R$336</f>
        <v>0</v>
      </c>
    </row>
    <row r="51" spans="2:80" x14ac:dyDescent="0.25">
      <c r="B51" s="31"/>
      <c r="C51" s="278">
        <f>AJ51*Nøgletal!R622</f>
        <v>0</v>
      </c>
      <c r="D51" s="278"/>
      <c r="E51" s="278">
        <f>AJ51*Nøgletal!R624</f>
        <v>0</v>
      </c>
      <c r="F51" s="278"/>
      <c r="G51" s="278">
        <f t="shared" si="29"/>
        <v>0</v>
      </c>
      <c r="H51" s="278"/>
      <c r="I51" s="278">
        <f>AJ51*Nøgletal!R623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AJ51*Nøgletal!R625</f>
        <v>0</v>
      </c>
      <c r="V51" s="278">
        <f>AJ51*Nøgletal!R626</f>
        <v>0</v>
      </c>
      <c r="W51" s="278">
        <f>AJ51*Nøgletal!R627</f>
        <v>0</v>
      </c>
      <c r="X51" s="278">
        <f>AJ51*Nøgletal!R628</f>
        <v>0</v>
      </c>
      <c r="Y51" s="278">
        <f>AJ51*Nøgletal!R629</f>
        <v>0</v>
      </c>
      <c r="Z51" s="278"/>
      <c r="AA51" s="278"/>
      <c r="AB51" s="278">
        <f>AJ51*Nøgletal!R630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-AO51/IF(Nøgletal!R379+Nøgletal!S379&gt;0,Nøgletal!R379+Nøgletal!S379,1)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BS51/IF(Nøgletal!S379&gt;0,Nøgletal!S379,1)*Nøgletal!R379</f>
        <v>0</v>
      </c>
      <c r="BS51" s="292">
        <f>(Nøgletal!R$202+Nøgletal!R$273/(1-Nøgletal!R$300))*Nøgletal!R342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I$4+E51*Emissionsfaktorer!$I$3+F51*Emissionsfaktorer!$I$5+H51*Emissionsfaktorer!$I$7+I51*Emissionsfaktorer!$I$8+J51*Emissionsfaktorer!$I$9+K51*Emissionsfaktorer!$I$10+L51*Emissionsfaktorer!$I$11+M51*Emissionsfaktorer!$I$12)*-1*(1-Nøgletal!$R$336)+T51*Emissionsfaktorer!$I$13*Nøgletal!$R$336</f>
        <v>0</v>
      </c>
    </row>
    <row r="52" spans="2:80" x14ac:dyDescent="0.25"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-372.63240000000002</v>
      </c>
      <c r="AG52" s="280"/>
      <c r="AH52" s="280"/>
      <c r="AI52" s="280"/>
      <c r="AJ52" s="105">
        <f>-AO52/IF(Nøgletal!R380+Nøgletal!S380&gt;0,Nøgletal!R380+Nøgletal!S380,1)</f>
        <v>-372.63240000000002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372.63240000000002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BS52/IF(Nøgletal!S380&gt;0,Nøgletal!S380,1)*Nøgletal!R380</f>
        <v>0</v>
      </c>
      <c r="BS52" s="292">
        <f>(Nøgletal!R$202+Nøgletal!R$273/(1-Nøgletal!R$300))*Nøgletal!R343</f>
        <v>372.63240000000002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I$4+E52*Emissionsfaktorer!$I$3+F52*Emissionsfaktorer!$I$5+H52*Emissionsfaktorer!$I$7+I52*Emissionsfaktorer!$I$8+J52*Emissionsfaktorer!$I$9+K52*Emissionsfaktorer!$I$10+L52*Emissionsfaktorer!$I$11+M52*Emissionsfaktorer!$I$12)*-1*(1-Nøgletal!$R$336)+T52*Emissionsfaktorer!$I$13*Nøgletal!$R$336</f>
        <v>0</v>
      </c>
    </row>
    <row r="53" spans="2:80" x14ac:dyDescent="0.25"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Nøgletal!R201*-1</f>
        <v>-142.40040000000002</v>
      </c>
      <c r="AD53" s="280"/>
      <c r="AE53" s="280"/>
      <c r="AF53" s="280"/>
      <c r="AG53" s="280"/>
      <c r="AH53" s="280"/>
      <c r="AI53" s="280"/>
      <c r="AJ53" s="105">
        <f>AC53</f>
        <v>-142.40040000000002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142.40040000000002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Nøgletal!R201</f>
        <v>142.40040000000002</v>
      </c>
      <c r="BX53" s="292"/>
      <c r="BY53" s="124">
        <f t="shared" si="42"/>
        <v>0</v>
      </c>
      <c r="BZ53" s="123">
        <f>(C53*Emissionsfaktorer!$I$4+E53*Emissionsfaktorer!$I$3+F53*Emissionsfaktorer!$I$5+H53*Emissionsfaktorer!$I$7+I53*Emissionsfaktorer!$I$8+J53*Emissionsfaktorer!$I$9+K53*Emissionsfaktorer!$I$10+L53*Emissionsfaktorer!$I$11+M53*Emissionsfaktorer!$I$12)*-1*(1-Nøgletal!$R$336)+T53*Emissionsfaktorer!$I$13*Nøgletal!$R$336</f>
        <v>0</v>
      </c>
    </row>
    <row r="54" spans="2:80" x14ac:dyDescent="0.25"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Nøgletal!R202</f>
        <v>0</v>
      </c>
      <c r="BX54" s="292"/>
      <c r="BY54" s="124">
        <f t="shared" si="42"/>
        <v>0</v>
      </c>
      <c r="BZ54" s="123">
        <f>(C54*Emissionsfaktorer!$I$4+E54*Emissionsfaktorer!$I$3+F54*Emissionsfaktorer!$I$5+H54*Emissionsfaktorer!$I$7+I54*Emissionsfaktorer!$I$8+J54*Emissionsfaktorer!$I$9+K54*Emissionsfaktorer!$I$10+L54*Emissionsfaktorer!$I$11+M54*Emissionsfaktorer!$I$12)*-1*(1-Nøgletal!$R$336)+T54*Emissionsfaktorer!$I$13*Nøgletal!$R$336</f>
        <v>0</v>
      </c>
    </row>
    <row r="55" spans="2:80" x14ac:dyDescent="0.25"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I$4+E55*Emissionsfaktorer!$I$3+F55*Emissionsfaktorer!$I$5+H55*Emissionsfaktorer!$I$7+I55*Emissionsfaktorer!$I$8+J55*Emissionsfaktorer!$I$9+K55*Emissionsfaktorer!$I$10+L55*Emissionsfaktorer!$I$11+M55*Emissionsfaktorer!$I$12)*-1*(1-Nøgletal!$R$336)+T55*Emissionsfaktorer!$I$13*Nøgletal!$R$336</f>
        <v>0</v>
      </c>
      <c r="CA55" s="40"/>
    </row>
    <row r="56" spans="2:80" x14ac:dyDescent="0.25"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2:80" x14ac:dyDescent="0.25"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-1799.9999999999995</v>
      </c>
      <c r="F57" s="20">
        <f t="shared" si="43"/>
        <v>-216.4101299999999</v>
      </c>
      <c r="G57" s="20">
        <f t="shared" si="43"/>
        <v>-1.7171999999999996</v>
      </c>
      <c r="H57" s="20">
        <f t="shared" si="43"/>
        <v>0</v>
      </c>
      <c r="I57" s="20">
        <f t="shared" si="43"/>
        <v>0</v>
      </c>
      <c r="J57" s="20">
        <f t="shared" si="43"/>
        <v>-1.7171999999999996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-1091.8174699999997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-799.99999999999977</v>
      </c>
      <c r="Y57" s="20">
        <f t="shared" si="43"/>
        <v>-13.642199999999994</v>
      </c>
      <c r="Z57" s="20">
        <f t="shared" si="43"/>
        <v>0</v>
      </c>
      <c r="AA57" s="20">
        <f t="shared" si="43"/>
        <v>-264.50126999999992</v>
      </c>
      <c r="AB57" s="20">
        <f t="shared" si="43"/>
        <v>-13.673999999999996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-3109.9447999999993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2335.5685447999995</v>
      </c>
      <c r="AP57" s="37">
        <f t="shared" ref="AP57:AP64" si="44">IF(AJ57=0,0,AO57/AJ57*-1)</f>
        <v>0.751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702.84752479999986</v>
      </c>
      <c r="BS57" s="20">
        <f>Nøgletal!R272/(1-Nøgletal!R299)</f>
        <v>1632.7210199999997</v>
      </c>
      <c r="BT57" s="20">
        <f>Nøgletal!S272/(1-Nøgletal!S299)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774.37625519999983</v>
      </c>
      <c r="BZ57" s="126">
        <f t="shared" si="47"/>
        <v>120.52031368859997</v>
      </c>
      <c r="CB57" s="40"/>
    </row>
    <row r="58" spans="2:80" x14ac:dyDescent="0.25">
      <c r="B58" s="31"/>
      <c r="C58" s="23">
        <f>AJ58*Nøgletal!R551</f>
        <v>0</v>
      </c>
      <c r="D58" s="23"/>
      <c r="E58" s="23">
        <f>AJ58*Nøgletal!R553</f>
        <v>0</v>
      </c>
      <c r="F58" s="23"/>
      <c r="G58" s="23">
        <f t="shared" ref="G58:G64" si="48">SUM(H58:M58)</f>
        <v>0</v>
      </c>
      <c r="H58" s="23"/>
      <c r="I58" s="23">
        <f>AJ58*Nøgletal!R552</f>
        <v>0</v>
      </c>
      <c r="J58" s="23">
        <f>AJ58*Nøgletal!R557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AJ58*Nøgletal!R554</f>
        <v>0</v>
      </c>
      <c r="V58" s="23">
        <f>AJ58*Nøgletal!R555</f>
        <v>0</v>
      </c>
      <c r="W58" s="23">
        <f>AJ58*Nøgletal!R556</f>
        <v>0</v>
      </c>
      <c r="X58" s="23">
        <f>AJ58*Nøgletal!R558</f>
        <v>0</v>
      </c>
      <c r="Y58" s="23">
        <f>AJ58*Nøgletal!R559</f>
        <v>0</v>
      </c>
      <c r="Z58" s="23"/>
      <c r="AA58" s="23"/>
      <c r="AB58" s="23">
        <f>AJ58*Nøgletal!R560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-AO58/IF(Nøgletal!S369+Nøgletal!R369&gt;0,Nøgletal!S369+Nøgletal!R369,1)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BS58/IF(Nøgletal!S369&gt;0,Nøgletal!S369,1)*Nøgletal!R369</f>
        <v>0</v>
      </c>
      <c r="BS58" s="78">
        <f>BS$57*Nøgletal!R331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I$4+E58*Emissionsfaktorer!$I$3+F58*Emissionsfaktorer!$I$5+H58*Emissionsfaktorer!$I$7+I58*Emissionsfaktorer!$I$8+J58*Emissionsfaktorer!$I$9+K58*Emissionsfaktorer!$I$10+L58*Emissionsfaktorer!$I$11+M58*Emissionsfaktorer!$I$12)*-1*(1-Nøgletal!$R$329)+T58*Emissionsfaktorer!$I$13*Nøgletal!$R$329</f>
        <v>0</v>
      </c>
    </row>
    <row r="59" spans="2:80" x14ac:dyDescent="0.25"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-AO59*(1-1/IF(Nøgletal!S370&gt;0,Nøgletal!S370,1))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-AO59/IF(Nøgletal!S514&gt;0,Nøgletal!S514,1)/(1-Nøgletal!R294)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BS59/IF(Nøgletal!S370&gt;0,Nøgletal!S370,1)*Nøgletal!R370</f>
        <v>0</v>
      </c>
      <c r="BS59" s="78">
        <f>BS$57*Nøgletal!R332</f>
        <v>0</v>
      </c>
      <c r="BT59" s="32"/>
      <c r="BU59" s="32"/>
      <c r="BV59" s="32"/>
      <c r="BW59" s="32"/>
      <c r="BX59" s="32"/>
      <c r="BY59" s="124"/>
      <c r="BZ59" s="123">
        <f>(C59*Emissionsfaktorer!$I$4+E59*Emissionsfaktorer!$I$3+F59*Emissionsfaktorer!$I$5+H59*Emissionsfaktorer!$I$7+I59*Emissionsfaktorer!$I$8+J59*Emissionsfaktorer!$I$9+K59*Emissionsfaktorer!$I$10+L59*Emissionsfaktorer!$I$11+M59*Emissionsfaktorer!$I$12)*-1*(1-Nøgletal!$R$329)+T59*Emissionsfaktorer!$I$13*Nøgletal!$R$329</f>
        <v>0</v>
      </c>
    </row>
    <row r="60" spans="2:80" x14ac:dyDescent="0.25"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-AO60/IF(Nøgletal!S371+Nøgletal!R371&gt;0,Nøgletal!S371+Nøgletal!R371,1)/(1-Nøgletal!R294)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BS$57*Nøgletal!R333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I$4+E60*Emissionsfaktorer!$I$3+F60*Emissionsfaktorer!$I$5+H60*Emissionsfaktorer!$I$7+I60*Emissionsfaktorer!$I$8+J60*Emissionsfaktorer!$I$9+K60*Emissionsfaktorer!$I$10+L60*Emissionsfaktorer!$I$11+M60*Emissionsfaktorer!$I$12)*-1*(1-Nøgletal!$R$329)+T60*Emissionsfaktorer!$I$13*Nøgletal!$R$329</f>
        <v>0</v>
      </c>
    </row>
    <row r="61" spans="2:80" x14ac:dyDescent="0.25"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-AO61/IF(Nøgletal!S372+Nøgletal!R372&gt;0,Nøgletal!S372+Nøgletal!R372,1)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BS61/IF(Nøgletal!S372&gt;0,Nøgletal!S372,1)*Nøgletal!R372</f>
        <v>0</v>
      </c>
      <c r="BS61" s="78">
        <f>BS$57*Nøgletal!R334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I$4+E61*Emissionsfaktorer!$I$3+F61*Emissionsfaktorer!$I$5+H61*Emissionsfaktorer!$I$7+I61*Emissionsfaktorer!$I$8+J61*Emissionsfaktorer!$I$9+K61*Emissionsfaktorer!$I$10+L61*Emissionsfaktorer!$I$11+M61*Emissionsfaktorer!$I$12)*-1*(1-Nøgletal!$R$329)+T61*Emissionsfaktorer!$I$13*Nøgletal!$R$329</f>
        <v>0</v>
      </c>
    </row>
    <row r="62" spans="2:80" x14ac:dyDescent="0.25"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-AO62/IF(Nøgletal!S373+Nøgletal!R373&gt;0,Nøgletal!S373+Nøgletal!R373,1)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BS62/IF(Nøgletal!S373&gt;0,Nøgletal!S373,1)*Nøgletal!R373</f>
        <v>0</v>
      </c>
      <c r="BS62" s="78">
        <f>BS$57*Nøgletal!R335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I$4+E62*Emissionsfaktorer!$I$3+F62*Emissionsfaktorer!$I$5+H62*Emissionsfaktorer!$I$7+I62*Emissionsfaktorer!$I$8+J62*Emissionsfaktorer!$I$9+K62*Emissionsfaktorer!$I$10+L62*Emissionsfaktorer!$I$11+M62*Emissionsfaktorer!$I$12)*-1*(1-Nøgletal!$R$329)+T62*Emissionsfaktorer!$I$13*Nøgletal!$R$329</f>
        <v>0</v>
      </c>
    </row>
    <row r="63" spans="2:80" x14ac:dyDescent="0.25"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BS63/IF(Nøgletal!S351&gt;0,Nøgletal!S351,1)*Nøgletal!R351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I$4+E63*Emissionsfaktorer!$I$3+F63*Emissionsfaktorer!$I$5+H63*Emissionsfaktorer!$I$7+I63*Emissionsfaktorer!$I$8+J63*Emissionsfaktorer!$I$9+K63*Emissionsfaktorer!$I$10+L63*Emissionsfaktorer!$I$11+M63*Emissionsfaktorer!$I$12)*-1*(1-Nøgletal!$R$329)+T63*Emissionsfaktorer!$I$13*Nøgletal!$R$329</f>
        <v>0</v>
      </c>
    </row>
    <row r="64" spans="2:80" x14ac:dyDescent="0.25">
      <c r="B64" s="31"/>
      <c r="C64" s="23">
        <f>AJ64*Nøgletal!R567</f>
        <v>0</v>
      </c>
      <c r="D64" s="23"/>
      <c r="E64" s="23">
        <f>AJ64*Nøgletal!R572</f>
        <v>-1799.9999999999995</v>
      </c>
      <c r="F64" s="23">
        <f>AJ64*Nøgletal!R584</f>
        <v>-216.4101299999999</v>
      </c>
      <c r="G64" s="23">
        <f t="shared" si="48"/>
        <v>-1.7171999999999996</v>
      </c>
      <c r="H64" s="23">
        <f>AJ64*Nøgletal!R566</f>
        <v>0</v>
      </c>
      <c r="I64" s="23">
        <f>AJ64*Nøgletal!R568</f>
        <v>0</v>
      </c>
      <c r="J64" s="23">
        <f>AJ64*Nøgletal!R569</f>
        <v>-1.7171999999999996</v>
      </c>
      <c r="K64" s="23">
        <f>AJ64*Nøgletal!R570</f>
        <v>0</v>
      </c>
      <c r="L64" s="23"/>
      <c r="M64" s="23">
        <f>AJ64*Nøgletal!R571</f>
        <v>0</v>
      </c>
      <c r="N64" s="23">
        <f t="shared" si="49"/>
        <v>0</v>
      </c>
      <c r="O64" s="23"/>
      <c r="P64" s="23"/>
      <c r="Q64" s="23">
        <f>AJ64*Nøgletal!R573</f>
        <v>0</v>
      </c>
      <c r="R64" s="23">
        <f>AJ64*Nøgletal!R574</f>
        <v>0</v>
      </c>
      <c r="S64" s="23">
        <f>AJ64*Nøgletal!R575</f>
        <v>0</v>
      </c>
      <c r="T64" s="23">
        <f t="shared" si="50"/>
        <v>-1091.8174699999997</v>
      </c>
      <c r="U64" s="23">
        <f>AJ64*Nøgletal!R576</f>
        <v>0</v>
      </c>
      <c r="V64" s="23">
        <f>AJ64*Nøgletal!R577</f>
        <v>0</v>
      </c>
      <c r="W64" s="23">
        <f>AJ64*Nøgletal!R578</f>
        <v>0</v>
      </c>
      <c r="X64" s="23">
        <f>AJ64*Nøgletal!R579</f>
        <v>-799.99999999999977</v>
      </c>
      <c r="Y64" s="23">
        <f>AJ64*Nøgletal!R580</f>
        <v>-13.642199999999994</v>
      </c>
      <c r="Z64" s="23">
        <f>AJ64*Nøgletal!R581</f>
        <v>0</v>
      </c>
      <c r="AA64" s="23">
        <f>AJ64*Nøgletal!R582</f>
        <v>-264.50126999999992</v>
      </c>
      <c r="AB64" s="23">
        <f>AJ64*Nøgletal!R583</f>
        <v>-13.673999999999996</v>
      </c>
      <c r="AC64" s="23"/>
      <c r="AD64" s="23"/>
      <c r="AE64" s="23"/>
      <c r="AF64" s="23"/>
      <c r="AG64" s="23"/>
      <c r="AH64" s="23"/>
      <c r="AI64" s="23"/>
      <c r="AJ64" s="105">
        <f>-AO64/IF(Nøgletal!S351+Nøgletal!R351&gt;0,Nøgletal!S351+Nøgletal!R351,1)</f>
        <v>-3109.9447999999993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2335.5685447999995</v>
      </c>
      <c r="AP64" s="37">
        <f t="shared" si="44"/>
        <v>0.751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BS64/IF(Nøgletal!S351&gt;0,Nøgletal!S351,1)*Nøgletal!R351</f>
        <v>702.84752479999986</v>
      </c>
      <c r="BS64" s="78">
        <f>BS$57*Nøgletal!R309</f>
        <v>1632.7210199999997</v>
      </c>
      <c r="BT64" s="23"/>
      <c r="BU64" s="32"/>
      <c r="BV64" s="32"/>
      <c r="BW64" s="93"/>
      <c r="BX64" s="93"/>
      <c r="BY64" s="124">
        <f t="shared" si="54"/>
        <v>774.37625519999983</v>
      </c>
      <c r="BZ64" s="123">
        <f>(C64*Emissionsfaktorer!$I$4+E64*Emissionsfaktorer!$I$3+F64*Emissionsfaktorer!$I$5+H64*Emissionsfaktorer!$I$7+I64*Emissionsfaktorer!$I$8+J64*Emissionsfaktorer!$I$9+K64*Emissionsfaktorer!$I$10+L64*Emissionsfaktorer!$I$11+M64*Emissionsfaktorer!$I$12)*-1*(1-Nøgletal!$R$329)+T64*Emissionsfaktorer!$I$13*Nøgletal!$R$329</f>
        <v>120.52031368859997</v>
      </c>
    </row>
    <row r="65" spans="2:80" x14ac:dyDescent="0.25">
      <c r="B65" s="31"/>
      <c r="C65" s="295"/>
      <c r="D65" s="20">
        <f>AV65/IF(Nøgletal!R708&gt;0,Nøgletal!R708,1)*-1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$BT65/IF(Nøgletal!$R$720&gt;0,Nøgletal!$R$720,1)*-Nøgletal!$R711*Nøgletal!$R710</f>
        <v>0</v>
      </c>
      <c r="V65" s="20">
        <f>$BT65/IF(Nøgletal!$R$720&gt;0,Nøgletal!$R$720,1)*-Nøgletal!$R712*Nøgletal!$R710</f>
        <v>0</v>
      </c>
      <c r="W65" s="20">
        <f>$BT65/IF(Nøgletal!$R$720&gt;0,Nøgletal!$R$720,1)*-Nøgletal!$R713*Nøgletal!$R710</f>
        <v>0</v>
      </c>
      <c r="X65" s="20">
        <f>$BT65/IF(Nøgletal!$R$720&gt;0,Nøgletal!$R$720,1)*-Nøgletal!$R714*Nøgletal!$R710</f>
        <v>0</v>
      </c>
      <c r="Y65" s="20">
        <f>$BT65/IF(Nøgletal!$R$720&gt;0,Nøgletal!$R$720,1)*-Nøgletal!$R715*Nøgletal!$R710</f>
        <v>0</v>
      </c>
      <c r="Z65" s="20">
        <f>$BT65/IF(Nøgletal!$R$720&gt;0,Nøgletal!$R$720,1)*-Nøgletal!$R716*Nøgletal!$R710</f>
        <v>0</v>
      </c>
      <c r="AA65" s="20">
        <f>$BT65/IF(Nøgletal!$R$720&gt;0,Nøgletal!$R$720,1)*-Nøgletal!$R717*Nøgletal!$R710</f>
        <v>0</v>
      </c>
      <c r="AB65" s="20">
        <f>$BT65/IF(Nøgletal!$R$720&gt;0,Nøgletal!$R$720,1)*-Nøgletal!$R718*Nøgletal!$R710</f>
        <v>0</v>
      </c>
      <c r="AC65" s="20">
        <f>BT65/IF(Nøgletal!R720&gt;0,Nøgletal!R720,1)*-Nøgletal!R719</f>
        <v>0</v>
      </c>
      <c r="AD65" s="20"/>
      <c r="AE65" s="20"/>
      <c r="AF65" s="20"/>
      <c r="AG65" s="20"/>
      <c r="AH65" s="20"/>
      <c r="AI65" s="20"/>
      <c r="AJ65" s="105">
        <f>AV65/IF(Nøgletal!R708&gt;0,Nøgletal!R708,1)+BT65/IF(Nøgletal!R720&gt;0,Nøgletal!R720,1)*-1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Nøgletal!R701</f>
        <v>0</v>
      </c>
      <c r="AW65" s="20">
        <f>$AV65*Nøgletal!R702</f>
        <v>0</v>
      </c>
      <c r="AX65" s="20">
        <f>$AV65*Nøgletal!R703</f>
        <v>0</v>
      </c>
      <c r="AY65" s="20">
        <f>$AV65*Nøgletal!R704</f>
        <v>0</v>
      </c>
      <c r="AZ65" s="20">
        <f>$AV65*Nøgletal!R705</f>
        <v>0</v>
      </c>
      <c r="BA65" s="20">
        <f>$AV65*Nøgletal!R706</f>
        <v>0</v>
      </c>
      <c r="BB65" s="20">
        <f>$AV65*Nøgletal!R707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Nøgletal!R709</f>
        <v>0</v>
      </c>
      <c r="BU65" s="21"/>
      <c r="BV65" s="21"/>
      <c r="BW65" s="86"/>
      <c r="BX65" s="86"/>
      <c r="BY65" s="124">
        <f t="shared" si="54"/>
        <v>0</v>
      </c>
      <c r="BZ65" s="300"/>
      <c r="CB65" s="231" t="e">
        <f>#REF!*#REF!/1.25/#REF!*-1</f>
        <v>#REF!</v>
      </c>
    </row>
    <row r="66" spans="2:80" x14ac:dyDescent="0.25">
      <c r="B66" s="31"/>
      <c r="C66" s="80"/>
      <c r="D66" s="80"/>
      <c r="E66" s="80"/>
      <c r="F66" s="80"/>
      <c r="G66" s="81">
        <f t="shared" si="29"/>
        <v>-2024.5320199999996</v>
      </c>
      <c r="H66" s="80">
        <f t="shared" ref="H66:M66" si="55">H68</f>
        <v>-22.249999999999996</v>
      </c>
      <c r="I66" s="80">
        <f t="shared" si="55"/>
        <v>0</v>
      </c>
      <c r="J66" s="80">
        <f t="shared" si="55"/>
        <v>-77.38000000000001</v>
      </c>
      <c r="K66" s="80">
        <f t="shared" si="55"/>
        <v>-1014.5151099999998</v>
      </c>
      <c r="L66" s="80">
        <f t="shared" si="55"/>
        <v>-385.50999999999993</v>
      </c>
      <c r="M66" s="80">
        <f t="shared" si="55"/>
        <v>-524.87690999999973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-1274.6637827340842</v>
      </c>
      <c r="AD66" s="82">
        <f>-BS9</f>
        <v>-2005.3534199999997</v>
      </c>
      <c r="AE66" s="80"/>
      <c r="AF66" s="80"/>
      <c r="AG66" s="80"/>
      <c r="AH66" s="267">
        <f>-BW9</f>
        <v>-142.40040000000002</v>
      </c>
      <c r="AI66" s="80"/>
      <c r="AJ66" s="105">
        <f t="shared" ref="AJ66:AJ83" si="56">SUM(C66:G66,N66,T66,AC66:AG66)</f>
        <v>-5304.5492227340837</v>
      </c>
      <c r="AK66" s="13" t="s">
        <v>233</v>
      </c>
      <c r="AL66" s="13" t="s">
        <v>234</v>
      </c>
      <c r="AM66" s="99"/>
      <c r="AN66" s="37"/>
      <c r="AO66" s="38">
        <f t="shared" si="1"/>
        <v>4929.8342535429838</v>
      </c>
      <c r="AP66" s="37">
        <f t="shared" si="6"/>
        <v>0.92935969609158164</v>
      </c>
      <c r="AQ66" s="31"/>
      <c r="AR66" s="80"/>
      <c r="AS66" s="80"/>
      <c r="AT66" s="80"/>
      <c r="AU66" s="80"/>
      <c r="AV66" s="95">
        <f t="shared" si="7"/>
        <v>2024.5320199999996</v>
      </c>
      <c r="AW66" s="80">
        <f t="shared" ref="AW66:BB66" si="57">H66*-1</f>
        <v>22.249999999999996</v>
      </c>
      <c r="AX66" s="80">
        <f t="shared" si="57"/>
        <v>0</v>
      </c>
      <c r="AY66" s="80">
        <f t="shared" si="57"/>
        <v>77.38000000000001</v>
      </c>
      <c r="AZ66" s="80">
        <f t="shared" si="57"/>
        <v>1014.5151099999998</v>
      </c>
      <c r="BA66" s="80">
        <f t="shared" si="57"/>
        <v>385.50999999999993</v>
      </c>
      <c r="BB66" s="80">
        <f t="shared" si="57"/>
        <v>524.87690999999973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1170.6512180629829</v>
      </c>
      <c r="BS66" s="80">
        <f>AD68*-1</f>
        <v>1592.2506154800003</v>
      </c>
      <c r="BT66" s="80"/>
      <c r="BU66" s="80"/>
      <c r="BV66" s="80"/>
      <c r="BW66" s="267">
        <f>-AH66</f>
        <v>142.40040000000002</v>
      </c>
      <c r="BX66" s="80"/>
      <c r="BY66" s="124">
        <f t="shared" si="54"/>
        <v>374.71496919109995</v>
      </c>
      <c r="BZ66" s="123"/>
    </row>
    <row r="67" spans="2:80" x14ac:dyDescent="0.25"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3.09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3.09</v>
      </c>
      <c r="BD67" s="11">
        <f>-1*O68</f>
        <v>0</v>
      </c>
      <c r="BE67" s="11">
        <f>-1*P68</f>
        <v>0</v>
      </c>
      <c r="BF67" s="11">
        <f>-1*Q68</f>
        <v>3.09</v>
      </c>
      <c r="BG67" s="11">
        <f>-1*R68</f>
        <v>0</v>
      </c>
      <c r="BH67" s="11">
        <f>-1*S68</f>
        <v>0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(C67*Emissionsfaktorer!$I$4+E67*Emissionsfaktorer!$I$3+F67*Emissionsfaktorer!$I$5+H67*Emissionsfaktorer!$I$7+I67*Emissionsfaktorer!$I$8+J67*Emissionsfaktorer!$I$9+K67*Emissionsfaktorer!$I$10+L67*Emissionsfaktorer!$I$11+M67*Emissionsfaktorer!$I$12)*-1</f>
        <v>0</v>
      </c>
      <c r="CA67" s="2"/>
    </row>
    <row r="68" spans="2:80" x14ac:dyDescent="0.25"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-753.4</v>
      </c>
      <c r="F68" s="267">
        <f t="shared" si="58"/>
        <v>0</v>
      </c>
      <c r="G68" s="267">
        <f t="shared" si="58"/>
        <v>-2024.5320199999996</v>
      </c>
      <c r="H68" s="267">
        <f t="shared" si="58"/>
        <v>-22.249999999999996</v>
      </c>
      <c r="I68" s="267">
        <f t="shared" si="58"/>
        <v>0</v>
      </c>
      <c r="J68" s="267">
        <f t="shared" si="58"/>
        <v>-77.38000000000001</v>
      </c>
      <c r="K68" s="267">
        <f t="shared" si="58"/>
        <v>-1014.5151099999998</v>
      </c>
      <c r="L68" s="267">
        <f t="shared" si="58"/>
        <v>-385.50999999999993</v>
      </c>
      <c r="M68" s="267">
        <f t="shared" si="58"/>
        <v>-524.87690999999973</v>
      </c>
      <c r="N68" s="267">
        <f t="shared" si="58"/>
        <v>-3.09</v>
      </c>
      <c r="O68" s="267">
        <f t="shared" si="58"/>
        <v>0</v>
      </c>
      <c r="P68" s="267">
        <f t="shared" si="58"/>
        <v>0</v>
      </c>
      <c r="Q68" s="267">
        <f t="shared" si="58"/>
        <v>-3.09</v>
      </c>
      <c r="R68" s="267">
        <f t="shared" si="58"/>
        <v>0</v>
      </c>
      <c r="S68" s="267">
        <f t="shared" si="58"/>
        <v>0</v>
      </c>
      <c r="T68" s="267">
        <f t="shared" si="58"/>
        <v>-319.14797999999996</v>
      </c>
      <c r="U68" s="267">
        <f t="shared" si="58"/>
        <v>0</v>
      </c>
      <c r="V68" s="267">
        <f t="shared" si="58"/>
        <v>-83.14797999999999</v>
      </c>
      <c r="W68" s="267">
        <f t="shared" si="58"/>
        <v>-20.000000000000004</v>
      </c>
      <c r="X68" s="267">
        <f t="shared" si="58"/>
        <v>-134</v>
      </c>
      <c r="Y68" s="267">
        <f t="shared" si="58"/>
        <v>-82.000000000000014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-1170.6512180629829</v>
      </c>
      <c r="AD68" s="267">
        <f t="shared" si="58"/>
        <v>-1592.2506154800003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-142.40040000000002</v>
      </c>
      <c r="AI68" s="267">
        <f>SUM(AI69:AI70,AI79:AI80,AI84)</f>
        <v>0</v>
      </c>
      <c r="AJ68" s="105">
        <f t="shared" si="56"/>
        <v>-5863.0718335429838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4213.5930154799998</v>
      </c>
      <c r="AP68" s="37">
        <f t="shared" si="6"/>
        <v>0.71866644910843203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4213.5930154799998</v>
      </c>
      <c r="BX68" s="267">
        <f t="shared" si="59"/>
        <v>0</v>
      </c>
      <c r="BY68" s="268">
        <f t="shared" si="59"/>
        <v>1649.4788180629821</v>
      </c>
      <c r="BZ68" s="268">
        <f t="shared" si="59"/>
        <v>191.22074756999996</v>
      </c>
    </row>
    <row r="69" spans="2:80" x14ac:dyDescent="0.25"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IF(-($BR$11+$BR$18+$BR$57)-($AC$70+AC79+AC80+AC84)/(1-Nøgletal!$R$294)-$AC$9&lt;0,-($BR$11+$BR$18+$BR$57)-($AC$70+AC79+AC80+AC84)/(1-Nøgletal!$R$294)-$AC$9,0)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AC69*Emissionsfaktorer!I6+AE69*Emissionsfaktorer!I14</f>
        <v>0</v>
      </c>
    </row>
    <row r="70" spans="2:80" x14ac:dyDescent="0.25"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-1894.4420199999995</v>
      </c>
      <c r="H70" s="79">
        <f t="shared" ref="H70:M70" si="62">SUM(H71:H78)</f>
        <v>-4.4499999999999993</v>
      </c>
      <c r="I70" s="79">
        <f t="shared" si="62"/>
        <v>0</v>
      </c>
      <c r="J70" s="79">
        <f t="shared" si="62"/>
        <v>0</v>
      </c>
      <c r="K70" s="79">
        <f t="shared" si="62"/>
        <v>-979.60510999999985</v>
      </c>
      <c r="L70" s="79">
        <f t="shared" si="62"/>
        <v>-385.50999999999993</v>
      </c>
      <c r="M70" s="79">
        <f t="shared" si="62"/>
        <v>-524.87690999999973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-83.14797999999999</v>
      </c>
      <c r="U70" s="79">
        <f t="shared" ref="U70:AI70" si="63">SUM(U71:U78)</f>
        <v>0</v>
      </c>
      <c r="V70" s="79">
        <f t="shared" si="63"/>
        <v>-83.14797999999999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-1.529411764705882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-1979.1194117647053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537.18569999999988</v>
      </c>
      <c r="AP70" s="37">
        <f t="shared" si="6"/>
        <v>0.27142662378366139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537.18569999999988</v>
      </c>
      <c r="BX70" s="21">
        <f t="shared" si="64"/>
        <v>0</v>
      </c>
      <c r="BY70" s="127">
        <f t="shared" si="64"/>
        <v>1441.9337117647051</v>
      </c>
      <c r="BZ70" s="127">
        <f t="shared" si="64"/>
        <v>138.84430756999996</v>
      </c>
    </row>
    <row r="71" spans="2:80" x14ac:dyDescent="0.25">
      <c r="B71" s="31"/>
      <c r="C71" s="78"/>
      <c r="D71" s="78"/>
      <c r="E71" s="78">
        <f>BW71*Nøgletal!R635*-1/Nøgletal!R401</f>
        <v>0</v>
      </c>
      <c r="F71" s="78"/>
      <c r="G71" s="23">
        <f t="shared" si="29"/>
        <v>-907.50858999999969</v>
      </c>
      <c r="H71" s="78"/>
      <c r="I71" s="78"/>
      <c r="J71" s="78"/>
      <c r="K71" s="78">
        <f>AO71*Nøgletal!R287/(Nøgletal!R286+Nøgletal!R287+Nøgletal!R284)*Nøgletal!R642/Nøgletal!R402*-1</f>
        <v>-382.90167999999994</v>
      </c>
      <c r="L71" s="78"/>
      <c r="M71" s="78">
        <f>AO71*Nøgletal!R286/(Nøgletal!R286+Nøgletal!R287+Nøgletal!R284)*Nøgletal!R634/Nøgletal!R401*-1</f>
        <v>-524.60690999999974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-45.161409999999989</v>
      </c>
      <c r="U71" s="78">
        <f>IF(Nøgletal!R636=0,0,$AO$71*Nøgletal!R636/Nøgletal!$R$401*-1)</f>
        <v>0</v>
      </c>
      <c r="V71" s="78">
        <f>AO71*(Nøgletal!R286/(Nøgletal!R286+Nøgletal!R287+Nøgletal!R284)*Nøgletal!R637/Nøgletal!R401+Nøgletal!R287/(Nøgletal!R286+Nøgletal!R287+Nøgletal!R284)*Nøgletal!R646/Nøgletal!R402)*-1</f>
        <v>-45.161409999999989</v>
      </c>
      <c r="W71" s="78"/>
      <c r="X71" s="78"/>
      <c r="Y71" s="78"/>
      <c r="Z71" s="78"/>
      <c r="AA71" s="78"/>
      <c r="AB71" s="78">
        <f>IF(Nøgletal!R638=0,0,AO71*Nøgletal!R638/Nøgletal!R401*-1)</f>
        <v>0</v>
      </c>
      <c r="AC71" s="32">
        <f>AO71*Nøgletal!R284/(Nøgletal!R284+Nøgletal!R286+Nøgletal!R287)/(Nøgletal!R410*-1)</f>
        <v>-1.529411764705882</v>
      </c>
      <c r="AD71" s="32"/>
      <c r="AE71" s="32">
        <f>AO71*Nøgletal!R286/(Nøgletal!R286+Nøgletal!R287+Nøgletal!R284)*Nøgletal!R639/Nøgletal!R401*-1+AO71*Nøgletal!R287/(Nøgletal!R286+Nøgletal!R287+Nøgletal!R284)*Nøgletal!R647/Nøgletal!R402*-1</f>
        <v>0</v>
      </c>
      <c r="AF71" s="32"/>
      <c r="AG71" s="32"/>
      <c r="AH71" s="32"/>
      <c r="AI71" s="32"/>
      <c r="AJ71" s="105">
        <f t="shared" si="56"/>
        <v>-954.19941176470547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212.39799999999991</v>
      </c>
      <c r="AP71" s="37">
        <f t="shared" si="6"/>
        <v>0.22259288507335068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Nøgletal!R$282*(Nøgletal!R286+Nøgletal!R287+Nøgletal!R284)</f>
        <v>212.39799999999991</v>
      </c>
      <c r="BX71" s="78"/>
      <c r="BY71" s="127">
        <f t="shared" ref="BY71:BY79" si="67">(AJ71+BW71)*-1</f>
        <v>741.80141176470556</v>
      </c>
      <c r="BZ71" s="123">
        <f>(C71*Emissionsfaktorer!$I$4+E71*Emissionsfaktorer!$I$3+F71*Emissionsfaktorer!$I$5+H71*Emissionsfaktorer!$I$7+I71*Emissionsfaktorer!$I$8+J71*Emissionsfaktorer!$I$9+K71*Emissionsfaktorer!$I$10+L71*Emissionsfaktorer!$I$11+M71*Emissionsfaktorer!$I$12)*-1</f>
        <v>66.63102874999997</v>
      </c>
    </row>
    <row r="72" spans="2:80" x14ac:dyDescent="0.25">
      <c r="B72" s="31"/>
      <c r="C72" s="78"/>
      <c r="D72" s="78"/>
      <c r="E72" s="149"/>
      <c r="F72" s="78"/>
      <c r="G72" s="23">
        <f>SUM(H72:M72)</f>
        <v>-4.4499999999999993</v>
      </c>
      <c r="H72" s="78">
        <f>AO72/Nøgletal!R411*-1</f>
        <v>-4.4499999999999993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-4.4499999999999993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1.6909999999999998</v>
      </c>
      <c r="AP72" s="37">
        <f>IF(AJ72=0,0,AO72/AJ72*-1)</f>
        <v>0.38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Nøgletal!R$282*Nøgletal!R285</f>
        <v>1.6909999999999998</v>
      </c>
      <c r="BX72" s="78"/>
      <c r="BY72" s="127">
        <f t="shared" si="67"/>
        <v>2.7589999999999995</v>
      </c>
      <c r="BZ72" s="123">
        <f>(C72*Emissionsfaktorer!$I$4+E72*Emissionsfaktorer!$I$3+F72*Emissionsfaktorer!$I$5+H72*Emissionsfaktorer!$I$7+I72*Emissionsfaktorer!$I$8+J72*Emissionsfaktorer!$I$9+K72*Emissionsfaktorer!$I$10+L72*Emissionsfaktorer!$I$11+M72*Emissionsfaktorer!$I$12)*-1</f>
        <v>0.28079499999999996</v>
      </c>
    </row>
    <row r="73" spans="2:80" x14ac:dyDescent="0.25">
      <c r="B73" s="31"/>
      <c r="C73" s="78"/>
      <c r="D73" s="78"/>
      <c r="E73" s="78">
        <f>AO73*Nøgletal!R654/IF(Nøgletal!$R$403&gt;0,Nøgletal!R403,1)*-1</f>
        <v>0</v>
      </c>
      <c r="F73" s="78"/>
      <c r="G73" s="23">
        <f t="shared" si="29"/>
        <v>-158.94962999999996</v>
      </c>
      <c r="H73" s="78"/>
      <c r="I73" s="78"/>
      <c r="J73" s="78"/>
      <c r="K73" s="78">
        <f>$AO$73*Nøgletal!R650/IF(Nøgletal!R403&gt;0,Nøgletal!R403,1)*-1</f>
        <v>-158.94962999999996</v>
      </c>
      <c r="L73" s="78"/>
      <c r="M73" s="78">
        <f>AO73*Nøgletal!R651/IF(Nøgletal!R403&gt;0,Nøgletal!R403,1)*-1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-11.780369999999998</v>
      </c>
      <c r="U73" s="78">
        <f>AO73*Nøgletal!R653/IF(Nøgletal!R403&gt;0,Nøgletal!R403,1)*-1</f>
        <v>0</v>
      </c>
      <c r="V73" s="78">
        <f>AO73*Nøgletal!R655/IF(Nøgletal!R403&gt;0,Nøgletal!R403,1)*-1</f>
        <v>-11.780369999999998</v>
      </c>
      <c r="W73" s="78"/>
      <c r="X73" s="78"/>
      <c r="Y73" s="78"/>
      <c r="Z73" s="78"/>
      <c r="AA73" s="78"/>
      <c r="AB73" s="78">
        <f>AO73*Nøgletal!R652/IF(Nøgletal!R403&gt;0,Nøgletal!R403,1)*-1</f>
        <v>0</v>
      </c>
      <c r="AC73" s="32">
        <f>AO73*Nøgletal!R657/IF(Nøgletal!R410&gt;0,Nøgletal!R410,1)*-1</f>
        <v>0</v>
      </c>
      <c r="AD73" s="32"/>
      <c r="AE73" s="32">
        <f>AO73*Nøgletal!R656/IF(Nøgletal!R403&gt;0,Nøgletal!R403,1)*-1</f>
        <v>0</v>
      </c>
      <c r="AF73" s="32"/>
      <c r="AG73" s="32"/>
      <c r="AH73" s="32"/>
      <c r="AI73" s="32"/>
      <c r="AJ73" s="105">
        <f t="shared" si="56"/>
        <v>-170.72999999999996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42.68249999999999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Nøgletal!R$282*Nøgletal!R288</f>
        <v>42.68249999999999</v>
      </c>
      <c r="BX73" s="78"/>
      <c r="BY73" s="127">
        <f t="shared" si="67"/>
        <v>128.04749999999996</v>
      </c>
      <c r="BZ73" s="123">
        <f>(C73*Emissionsfaktorer!$I$4+E73*Emissionsfaktorer!$I$3+F73*Emissionsfaktorer!$I$5+H73*Emissionsfaktorer!$I$7+I73*Emissionsfaktorer!$I$8+J73*Emissionsfaktorer!$I$9+K73*Emissionsfaktorer!$I$10+L73*Emissionsfaktorer!$I$11+M73*Emissionsfaktorer!$I$12)*-1</f>
        <v>11.762272619999996</v>
      </c>
    </row>
    <row r="74" spans="2:80" x14ac:dyDescent="0.25">
      <c r="B74" s="31"/>
      <c r="C74" s="78"/>
      <c r="D74" s="78"/>
      <c r="E74" s="78">
        <f>AO74*Nøgletal!R662/Nøgletal!R404*-1</f>
        <v>0</v>
      </c>
      <c r="F74" s="78"/>
      <c r="G74" s="23">
        <f t="shared" si="29"/>
        <v>-45.712099999999992</v>
      </c>
      <c r="H74" s="78"/>
      <c r="I74" s="78"/>
      <c r="J74" s="78"/>
      <c r="K74" s="78">
        <f>AO74*Nøgletal!R659/Nøgletal!R404*-1</f>
        <v>-45.712099999999992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-3.3878999999999997</v>
      </c>
      <c r="U74" s="78">
        <f>AO75*Nøgletal!R661/Nøgletal!R404*-1</f>
        <v>0</v>
      </c>
      <c r="V74" s="78">
        <f>AO74*Nøgletal!R663/Nøgletal!R404*-1</f>
        <v>-3.3878999999999997</v>
      </c>
      <c r="W74" s="78"/>
      <c r="X74" s="78"/>
      <c r="Y74" s="78"/>
      <c r="Z74" s="78"/>
      <c r="AA74" s="78"/>
      <c r="AB74" s="78">
        <f>AO74*Nøgletal!R660/Nøgletal!R404*-1</f>
        <v>0</v>
      </c>
      <c r="AC74" s="269">
        <f>AO74*Nøgletal!R665/Nøgletal!R410*-1</f>
        <v>0</v>
      </c>
      <c r="AD74" s="32"/>
      <c r="AE74" s="32">
        <f>AO74*Nøgletal!R664/Nøgletal!R404*-1</f>
        <v>0</v>
      </c>
      <c r="AF74" s="32"/>
      <c r="AG74" s="32"/>
      <c r="AH74" s="32"/>
      <c r="AI74" s="32"/>
      <c r="AJ74" s="105">
        <f t="shared" si="56"/>
        <v>-49.099999999999994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16.202999999999999</v>
      </c>
      <c r="AP74" s="37">
        <f t="shared" ref="AP74:AP89" si="68">IF(AJ74=0,0,AO74/AJ74*-1)</f>
        <v>0.33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Nøgletal!R$282*Nøgletal!R289</f>
        <v>16.202999999999999</v>
      </c>
      <c r="BX74" s="78"/>
      <c r="BY74" s="127">
        <f t="shared" si="67"/>
        <v>32.896999999999991</v>
      </c>
      <c r="BZ74" s="123">
        <f>(C74*Emissionsfaktorer!$I$4+E74*Emissionsfaktorer!$I$3+F74*Emissionsfaktorer!$I$5+H74*Emissionsfaktorer!$I$7+I74*Emissionsfaktorer!$I$8+J74*Emissionsfaktorer!$I$9+K74*Emissionsfaktorer!$I$10+L74*Emissionsfaktorer!$I$11+M74*Emissionsfaktorer!$I$12)*-1</f>
        <v>3.3826953999999994</v>
      </c>
    </row>
    <row r="75" spans="2:80" x14ac:dyDescent="0.25">
      <c r="B75" s="31"/>
      <c r="C75" s="78"/>
      <c r="D75" s="78"/>
      <c r="E75" s="78">
        <f>AO75*Nøgletal!R670/Nøgletal!R405*-1</f>
        <v>0</v>
      </c>
      <c r="F75" s="78"/>
      <c r="G75" s="23">
        <f t="shared" si="29"/>
        <v>-307.88169999999997</v>
      </c>
      <c r="H75" s="78"/>
      <c r="I75" s="78"/>
      <c r="J75" s="78"/>
      <c r="K75" s="78">
        <f>AO75*Nøgletal!R667/Nøgletal!R405*-1</f>
        <v>-307.88169999999997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-22.818299999999997</v>
      </c>
      <c r="U75" s="78">
        <f>AO76*Nøgletal!R669/Nøgletal!R405*-1</f>
        <v>0</v>
      </c>
      <c r="V75" s="78">
        <f>AO75*Nøgletal!R671/Nøgletal!R405*-1</f>
        <v>-22.818299999999997</v>
      </c>
      <c r="W75" s="78"/>
      <c r="X75" s="78"/>
      <c r="Y75" s="78"/>
      <c r="Z75" s="78"/>
      <c r="AA75" s="78"/>
      <c r="AB75" s="78">
        <f>AO75*Nøgletal!R668/Nøgletal!R405*-1</f>
        <v>0</v>
      </c>
      <c r="AC75" s="269">
        <f>AO75*Nøgletal!R673/Nøgletal!R410*-1</f>
        <v>0</v>
      </c>
      <c r="AD75" s="32"/>
      <c r="AE75" s="32">
        <f>AO75*Nøgletal!R672/Nøgletal!R405*-1</f>
        <v>0</v>
      </c>
      <c r="AF75" s="32"/>
      <c r="AG75" s="32"/>
      <c r="AH75" s="32"/>
      <c r="AI75" s="32"/>
      <c r="AJ75" s="105">
        <f t="shared" si="56"/>
        <v>-330.7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109.131</v>
      </c>
      <c r="AP75" s="37">
        <f t="shared" si="68"/>
        <v>0.33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Nøgletal!R$282*Nøgletal!R290</f>
        <v>109.131</v>
      </c>
      <c r="BX75" s="78"/>
      <c r="BY75" s="127">
        <f t="shared" si="67"/>
        <v>221.56899999999999</v>
      </c>
      <c r="BZ75" s="123">
        <f>(C75*Emissionsfaktorer!$I$4+E75*Emissionsfaktorer!$I$3+F75*Emissionsfaktorer!$I$5+H75*Emissionsfaktorer!$I$7+I75*Emissionsfaktorer!$I$8+J75*Emissionsfaktorer!$I$9+K75*Emissionsfaktorer!$I$10+L75*Emissionsfaktorer!$I$11+M75*Emissionsfaktorer!$I$12)*-1</f>
        <v>22.783245799999996</v>
      </c>
    </row>
    <row r="76" spans="2:80" x14ac:dyDescent="0.25">
      <c r="B76" s="31"/>
      <c r="C76" s="78"/>
      <c r="D76" s="78"/>
      <c r="E76" s="78"/>
      <c r="F76" s="78"/>
      <c r="G76" s="23">
        <f t="shared" si="29"/>
        <v>-29.169999999999995</v>
      </c>
      <c r="H76" s="78"/>
      <c r="I76" s="78"/>
      <c r="J76" s="78"/>
      <c r="K76" s="78">
        <f>AO76*Nøgletal!R675/Nøgletal!R407*-1</f>
        <v>-29.169999999999995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AO76*Nøgletal!R676/Nøgletal!R407*-1</f>
        <v>0</v>
      </c>
      <c r="W76" s="78"/>
      <c r="X76" s="78"/>
      <c r="Y76" s="78"/>
      <c r="Z76" s="78"/>
      <c r="AA76" s="78"/>
      <c r="AB76" s="78"/>
      <c r="AC76" s="269">
        <f>AO76*Nøgletal!R678/Nøgletal!R410*-1</f>
        <v>0</v>
      </c>
      <c r="AD76" s="32"/>
      <c r="AE76" s="32">
        <f>AO76*Nøgletal!R677/Nøgletal!R407*-1</f>
        <v>0</v>
      </c>
      <c r="AF76" s="32"/>
      <c r="AG76" s="32"/>
      <c r="AH76" s="32"/>
      <c r="AI76" s="32"/>
      <c r="AJ76" s="105">
        <f t="shared" si="56"/>
        <v>-29.169999999999995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9.6260999999999992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Nøgletal!R$282*Nøgletal!R291</f>
        <v>9.6260999999999992</v>
      </c>
      <c r="BX76" s="78"/>
      <c r="BY76" s="127">
        <f t="shared" si="67"/>
        <v>19.543899999999994</v>
      </c>
      <c r="BZ76" s="123">
        <f>(C76*Emissionsfaktorer!$I$4+E76*Emissionsfaktorer!$I$3+F76*Emissionsfaktorer!$I$5+H76*Emissionsfaktorer!$I$7+I76*Emissionsfaktorer!$I$8+J76*Emissionsfaktorer!$I$9+K76*Emissionsfaktorer!$I$10+L76*Emissionsfaktorer!$I$11+M76*Emissionsfaktorer!$I$12)*-1</f>
        <v>2.1585799999999993</v>
      </c>
    </row>
    <row r="77" spans="2:80" x14ac:dyDescent="0.25">
      <c r="B77" s="31"/>
      <c r="C77" s="78"/>
      <c r="D77" s="78"/>
      <c r="E77" s="78"/>
      <c r="F77" s="78"/>
      <c r="G77" s="23">
        <f t="shared" si="29"/>
        <v>-385.77999999999992</v>
      </c>
      <c r="H77" s="78"/>
      <c r="I77" s="78"/>
      <c r="J77" s="78"/>
      <c r="K77" s="78"/>
      <c r="L77" s="78">
        <f>AO77*Nøgletal!R680/Nøgletal!R408*-1</f>
        <v>-385.50999999999993</v>
      </c>
      <c r="M77" s="78">
        <f>AO77*Nøgletal!R681/Nøgletal!R408*-1</f>
        <v>-0.27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AO77*Nøgletal!R682/Nøgletal!R407*-1</f>
        <v>0</v>
      </c>
      <c r="W77" s="78"/>
      <c r="X77" s="78"/>
      <c r="Y77" s="78"/>
      <c r="Z77" s="78"/>
      <c r="AA77" s="78"/>
      <c r="AB77" s="78"/>
      <c r="AC77" s="269">
        <f>AO77*Nøgletal!R684/Nøgletal!R410</f>
        <v>0</v>
      </c>
      <c r="AD77" s="32"/>
      <c r="AE77" s="32">
        <f>AO77*Nøgletal!R683/Nøgletal!R408*-1</f>
        <v>0</v>
      </c>
      <c r="AF77" s="32"/>
      <c r="AG77" s="32"/>
      <c r="AH77" s="32"/>
      <c r="AI77" s="32"/>
      <c r="AJ77" s="105">
        <f t="shared" si="56"/>
        <v>-385.77999999999992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127.30739999999999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Nøgletal!R$282*Nøgletal!R292</f>
        <v>127.30739999999999</v>
      </c>
      <c r="BX77" s="78"/>
      <c r="BY77" s="127">
        <f t="shared" si="67"/>
        <v>258.47259999999994</v>
      </c>
      <c r="BZ77" s="123">
        <f>(C77*Emissionsfaktorer!$I$4+E77*Emissionsfaktorer!$I$3+F77*Emissionsfaktorer!$I$5+H77*Emissionsfaktorer!$I$7+I77*Emissionsfaktorer!$I$8+J77*Emissionsfaktorer!$I$9+K77*Emissionsfaktorer!$I$10+L77*Emissionsfaktorer!$I$11+M77*Emissionsfaktorer!$I$12)*-1</f>
        <v>27.776429999999994</v>
      </c>
    </row>
    <row r="78" spans="2:80" x14ac:dyDescent="0.25">
      <c r="B78" s="31"/>
      <c r="C78" s="78"/>
      <c r="D78" s="78"/>
      <c r="E78" s="78"/>
      <c r="F78" s="78"/>
      <c r="G78" s="23">
        <f t="shared" si="29"/>
        <v>-54.989999999999981</v>
      </c>
      <c r="H78" s="78"/>
      <c r="I78" s="78">
        <f>-AO78/Nøgletal!R409*Nøgletal!R686</f>
        <v>0</v>
      </c>
      <c r="J78" s="78"/>
      <c r="K78" s="78">
        <f>AO78*Nøgletal!R687/Nøgletal!R409*-1</f>
        <v>-54.989999999999981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AO78*Nøgletal!R688/Nøgletal!R409*-1</f>
        <v>0</v>
      </c>
      <c r="W78" s="78"/>
      <c r="X78" s="78"/>
      <c r="Y78" s="78"/>
      <c r="Z78" s="78"/>
      <c r="AA78" s="78"/>
      <c r="AB78" s="78"/>
      <c r="AC78" s="269">
        <f>AO78*Nøgletal!R690/Nøgletal!R410*-1</f>
        <v>0</v>
      </c>
      <c r="AD78" s="32"/>
      <c r="AE78" s="32">
        <f>AO78*Nøgletal!R689/Nøgletal!R409*-1</f>
        <v>0</v>
      </c>
      <c r="AF78" s="32"/>
      <c r="AG78" s="32"/>
      <c r="AH78" s="32"/>
      <c r="AI78" s="32"/>
      <c r="AJ78" s="105">
        <f t="shared" si="56"/>
        <v>-54.989999999999981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18.146699999999996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Nøgletal!R$282*Nøgletal!R293</f>
        <v>18.146699999999996</v>
      </c>
      <c r="BX78" s="78"/>
      <c r="BY78" s="127">
        <f t="shared" si="67"/>
        <v>36.843299999999985</v>
      </c>
      <c r="BZ78" s="123">
        <f>(C78*Emissionsfaktorer!$I$4+E78*Emissionsfaktorer!$I$3+F78*Emissionsfaktorer!$I$5+H78*Emissionsfaktorer!$I$7+I78*Emissionsfaktorer!$I$8+J78*Emissionsfaktorer!$I$9+K78*Emissionsfaktorer!$I$10+L78*Emissionsfaktorer!$I$11+M78*Emissionsfaktorer!$I$12)*-1</f>
        <v>4.0692599999999981</v>
      </c>
    </row>
    <row r="79" spans="2:80" x14ac:dyDescent="0.25">
      <c r="B79" s="31"/>
      <c r="C79" s="21"/>
      <c r="D79" s="21"/>
      <c r="E79" s="21">
        <f>Nøgletal!R37*Nøgletal!R38*Nøgletal!R43/Nøgletal!S391*-1</f>
        <v>-0.4</v>
      </c>
      <c r="F79" s="21"/>
      <c r="G79" s="20">
        <f t="shared" si="29"/>
        <v>-54.45000000000001</v>
      </c>
      <c r="H79" s="21">
        <f>Nøgletal!R34/Nøgletal!S389*-1</f>
        <v>-4.45</v>
      </c>
      <c r="I79" s="21"/>
      <c r="J79" s="21">
        <f>Nøgletal!R37*Nøgletal!R38*Nøgletal!R42/Nøgletal!S390*-1</f>
        <v>-50.000000000000007</v>
      </c>
      <c r="K79" s="21"/>
      <c r="L79" s="21"/>
      <c r="M79" s="21"/>
      <c r="N79" s="20">
        <f t="shared" si="32"/>
        <v>-3.09</v>
      </c>
      <c r="O79" s="21"/>
      <c r="P79" s="21"/>
      <c r="Q79" s="21">
        <f>Nøgletal!R37*Nøgletal!R38*Nøgletal!R47/Nøgletal!S395*-1</f>
        <v>-3.09</v>
      </c>
      <c r="R79" s="21"/>
      <c r="S79" s="21">
        <f>Nøgletal!R37*Nøgletal!R38*Nøgletal!R41*(1-1/Nøgletal!S388)*-1</f>
        <v>0</v>
      </c>
      <c r="T79" s="20">
        <f t="shared" si="30"/>
        <v>-236</v>
      </c>
      <c r="U79" s="21"/>
      <c r="V79" s="21"/>
      <c r="W79" s="21">
        <f>Nøgletal!R37*Nøgletal!R38*Nøgletal!R46/Nøgletal!S394*-1</f>
        <v>-20.000000000000004</v>
      </c>
      <c r="X79" s="21">
        <f>Nøgletal!R37*Nøgletal!R38*Nøgletal!R45/Nøgletal!S393*-1</f>
        <v>-134</v>
      </c>
      <c r="Y79" s="21">
        <f>Nøgletal!R37*Nøgletal!R38*Nøgletal!R44/Nøgletal!S392*-1</f>
        <v>-82.000000000000014</v>
      </c>
      <c r="Z79" s="21"/>
      <c r="AA79" s="21"/>
      <c r="AB79" s="21"/>
      <c r="AC79" s="79">
        <f>-(Nøgletal!R31/Nøgletal!R$385+Nøgletal!R32/Nøgletal!R$386+Nøgletal!R33/Nøgletal!R$387+Nøgletal!R30/Nøgletal!R382+Nøgletal!R37*Nøgletal!R38*Nøgletal!R48/Nøgletal!R384+Nøgletal!R37*Nøgletal!R38*Nøgletal!R49/Nøgletal!R383+Nøgletal!R37*Nøgletal!R38*Nøgletal!R41/Nøgletal!S388)</f>
        <v>-259.61592394533574</v>
      </c>
      <c r="AD79" s="21">
        <f>Nøgletal!R37*Nøgletal!R39*-1</f>
        <v>-1036.55515067748</v>
      </c>
      <c r="AE79" s="21"/>
      <c r="AF79" s="21"/>
      <c r="AG79" s="21"/>
      <c r="AH79" s="21"/>
      <c r="AI79" s="21"/>
      <c r="AJ79" s="105">
        <f t="shared" si="56"/>
        <v>-1590.1110746228157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1467.4761506774801</v>
      </c>
      <c r="AP79" s="37">
        <f t="shared" si="68"/>
        <v>0.92287650472818361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Nøgletal!R28</f>
        <v>1467.4761506774801</v>
      </c>
      <c r="BX79" s="79"/>
      <c r="BY79" s="127">
        <f t="shared" si="67"/>
        <v>122.63492394533569</v>
      </c>
      <c r="BZ79" s="123">
        <f>(C79*Emissionsfaktorer!$I$4+E79*Emissionsfaktorer!$I$3+F79*Emissionsfaktorer!$I$5+H79*Emissionsfaktorer!$I$7+I79*Emissionsfaktorer!$I$8+J79*Emissionsfaktorer!$I$9+K79*Emissionsfaktorer!$I$10+L79*Emissionsfaktorer!$I$11+M79*Emissionsfaktorer!$I$12)*-1</f>
        <v>4.0035949999999998</v>
      </c>
    </row>
    <row r="80" spans="2:80" x14ac:dyDescent="0.25"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-274.35686274509806</v>
      </c>
      <c r="AD80" s="21">
        <f>SUM(AD81:AD83)</f>
        <v>-480.85968587496006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-755.21654862005812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713.85968587496006</v>
      </c>
      <c r="AP80" s="37">
        <f t="shared" si="68"/>
        <v>0.94523840503671974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713.85968587496006</v>
      </c>
      <c r="BX80" s="79"/>
      <c r="BY80" s="230">
        <f>SUM(BY81:BY83)</f>
        <v>41.356862745098056</v>
      </c>
      <c r="BZ80" s="123">
        <f>(C80*Emissionsfaktorer!$I$4+E80*Emissionsfaktorer!$I$3+F80*Emissionsfaktorer!$I$5+H80*Emissionsfaktorer!$I$7+I80*Emissionsfaktorer!$I$8+J80*Emissionsfaktorer!$I$9+K80*Emissionsfaktorer!$I$10+L80*Emissionsfaktorer!$I$11+M80*Emissionsfaktorer!$I$12)*-1</f>
        <v>0</v>
      </c>
    </row>
    <row r="81" spans="2:80" x14ac:dyDescent="0.25">
      <c r="B81" s="31"/>
      <c r="C81" s="32"/>
      <c r="D81" s="32"/>
      <c r="E81" s="32">
        <f>Nøgletal!R65*Nøgletal!R66*Nøgletal!R71/Nøgletal!S391*-1</f>
        <v>0</v>
      </c>
      <c r="F81" s="32"/>
      <c r="G81" s="23">
        <f t="shared" si="29"/>
        <v>0</v>
      </c>
      <c r="H81" s="32">
        <f>Nøgletal!R62/Nøgletal!S389*-1</f>
        <v>0</v>
      </c>
      <c r="I81" s="32"/>
      <c r="J81" s="32">
        <f>Nøgletal!R65*Nøgletal!R66*Nøgletal!R70/Nøgletal!S390*-1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Nøgletal!R65*Nøgletal!R66*Nøgletal!R75/Nøgletal!S395*-1</f>
        <v>0</v>
      </c>
      <c r="R81" s="32"/>
      <c r="S81" s="32">
        <f>Nøgletal!R65*Nøgletal!R66*Nøgletal!R69*(1-1/Nøgletal!S388)*-1</f>
        <v>0</v>
      </c>
      <c r="T81" s="23">
        <f t="shared" si="30"/>
        <v>0</v>
      </c>
      <c r="U81" s="32"/>
      <c r="V81" s="32"/>
      <c r="W81" s="32">
        <f>Nøgletal!R65*Nøgletal!R66*Nøgletal!R74/Nøgletal!S394*-1</f>
        <v>0</v>
      </c>
      <c r="X81" s="32">
        <f>Nøgletal!R65*Nøgletal!R66*Nøgletal!R73/Nøgletal!S393*-1</f>
        <v>0</v>
      </c>
      <c r="Y81" s="32">
        <f>Nøgletal!R65*Nøgletal!R66*Nøgletal!R72/Nøgletal!S392*-1</f>
        <v>0</v>
      </c>
      <c r="Z81" s="32"/>
      <c r="AA81" s="32"/>
      <c r="AB81" s="32"/>
      <c r="AC81" s="78">
        <f>-(Nøgletal!R59/Nøgletal!R$385+Nøgletal!R60/Nøgletal!R$386+Nøgletal!R61/Nøgletal!R$387+Nøgletal!R65*Nøgletal!R66*Nøgletal!R76/Nøgletal!R384+Nøgletal!R65*Nøgletal!R66*Nøgletal!R69/Nøgletal!S388+Nøgletal!R77*Nøgletal!R65*Nøgletal!R66/Nøgletal!R383)</f>
        <v>-137.90588235294118</v>
      </c>
      <c r="AD81" s="32">
        <f>Nøgletal!R65*Nøgletal!R67*-1</f>
        <v>-157.63281093252002</v>
      </c>
      <c r="AE81" s="32"/>
      <c r="AF81" s="32"/>
      <c r="AG81" s="32"/>
      <c r="AH81" s="32"/>
      <c r="AI81" s="32"/>
      <c r="AJ81" s="105">
        <f t="shared" si="56"/>
        <v>-295.53869328546119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261.83281093252003</v>
      </c>
      <c r="AP81" s="37">
        <f t="shared" si="68"/>
        <v>0.88595103409899489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Nøgletal!R57</f>
        <v>261.83281093252003</v>
      </c>
      <c r="BX81" s="78"/>
      <c r="BY81" s="127">
        <f>(AJ81+BW81)*-1</f>
        <v>33.70588235294116</v>
      </c>
      <c r="BZ81" s="123">
        <f>(C81*Emissionsfaktorer!$I$4+E81*Emissionsfaktorer!$I$3+F81*Emissionsfaktorer!$I$5+H81*Emissionsfaktorer!$I$7+I81*Emissionsfaktorer!$I$8+J81*Emissionsfaktorer!$I$9+K81*Emissionsfaktorer!$I$10+L81*Emissionsfaktorer!$I$11+M81*Emissionsfaktorer!$I$12)*-1</f>
        <v>0</v>
      </c>
    </row>
    <row r="82" spans="2:80" x14ac:dyDescent="0.25">
      <c r="B82" s="31"/>
      <c r="C82" s="32"/>
      <c r="D82" s="32"/>
      <c r="E82" s="32">
        <f>Nøgletal!R93*Nøgletal!R94*Nøgletal!R99/Nøgletal!S391*-1</f>
        <v>0</v>
      </c>
      <c r="F82" s="32"/>
      <c r="G82" s="23">
        <f t="shared" si="29"/>
        <v>0</v>
      </c>
      <c r="H82" s="32">
        <f>Nøgletal!R90/Nøgletal!S389*-1</f>
        <v>0</v>
      </c>
      <c r="I82" s="32"/>
      <c r="J82" s="32">
        <f>Nøgletal!R93*Nøgletal!R94*Nøgletal!R98/Nøgletal!S390*-1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Nøgletal!R93*Nøgletal!R94*Nøgletal!R103/Nøgletal!S395*-1</f>
        <v>0</v>
      </c>
      <c r="R82" s="32"/>
      <c r="S82" s="32">
        <f>Nøgletal!R93*Nøgletal!R94*Nøgletal!R97*(1-1/Nøgletal!S388)*-1</f>
        <v>0</v>
      </c>
      <c r="T82" s="23">
        <f t="shared" si="30"/>
        <v>0</v>
      </c>
      <c r="U82" s="32"/>
      <c r="V82" s="32"/>
      <c r="W82" s="32">
        <f>Nøgletal!R93*Nøgletal!R94*Nøgletal!R102/Nøgletal!S394*-1</f>
        <v>0</v>
      </c>
      <c r="X82" s="32">
        <f>Nøgletal!R93*Nøgletal!R94*Nøgletal!R101/Nøgletal!S393*-1</f>
        <v>0</v>
      </c>
      <c r="Y82" s="32">
        <f>Nøgletal!R93*Nøgletal!R94*Nøgletal!R100/Nøgletal!S392*-1</f>
        <v>0</v>
      </c>
      <c r="Z82" s="32"/>
      <c r="AA82" s="32"/>
      <c r="AB82" s="32"/>
      <c r="AC82" s="78">
        <f>-(Nøgletal!R87/Nøgletal!R$385+Nøgletal!R88/Nøgletal!R$386+Nøgletal!R89/Nøgletal!R$387+Nøgletal!R93*Nøgletal!R94*(Nøgletal!R97/Nøgletal!S388+Nøgletal!R104/Nøgletal!R384+Nøgletal!R105/Nøgletal!R383))</f>
        <v>-64.61960784313726</v>
      </c>
      <c r="AD82" s="32">
        <f>Nøgletal!R93*Nøgletal!R95*-1</f>
        <v>-211.76933185884002</v>
      </c>
      <c r="AE82" s="32"/>
      <c r="AF82" s="32"/>
      <c r="AG82" s="32"/>
      <c r="AH82" s="32"/>
      <c r="AI82" s="32"/>
      <c r="AJ82" s="105">
        <f t="shared" si="56"/>
        <v>-276.38893970197728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272.76933185884002</v>
      </c>
      <c r="AP82" s="37">
        <f t="shared" si="68"/>
        <v>0.98690393382947894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Nøgletal!R85</f>
        <v>272.76933185884002</v>
      </c>
      <c r="BX82" s="78"/>
      <c r="BY82" s="127">
        <f>(AJ82+BW82)*-1</f>
        <v>3.6196078431372598</v>
      </c>
      <c r="BZ82" s="123">
        <f>(C82*Emissionsfaktorer!$I$4+E82*Emissionsfaktorer!$I$3+F82*Emissionsfaktorer!$I$5+H82*Emissionsfaktorer!$I$7+I82*Emissionsfaktorer!$I$8+J82*Emissionsfaktorer!$I$9+K82*Emissionsfaktorer!$I$10+L82*Emissionsfaktorer!$I$11+M82*Emissionsfaktorer!$I$12)*-1</f>
        <v>0</v>
      </c>
    </row>
    <row r="83" spans="2:80" x14ac:dyDescent="0.25">
      <c r="B83" s="31"/>
      <c r="C83" s="32"/>
      <c r="D83" s="32"/>
      <c r="E83" s="32">
        <f>Nøgletal!R121*Nøgletal!R122*Nøgletal!R127/Nøgletal!S391*-1</f>
        <v>0</v>
      </c>
      <c r="F83" s="32"/>
      <c r="G83" s="23">
        <f t="shared" si="29"/>
        <v>0</v>
      </c>
      <c r="H83" s="32">
        <f>Nøgletal!R118/Nøgletal!S389*-1</f>
        <v>0</v>
      </c>
      <c r="I83" s="32"/>
      <c r="J83" s="32">
        <f>Nøgletal!R121*Nøgletal!R122*Nøgletal!R126/Nøgletal!S390*-1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Nøgletal!R121*Nøgletal!R122*Nøgletal!R131/Nøgletal!S395*-1</f>
        <v>0</v>
      </c>
      <c r="R83" s="32"/>
      <c r="S83" s="32">
        <f>Nøgletal!R121*Nøgletal!R122*Nøgletal!R125*(1-1/Nøgletal!S388)*-1</f>
        <v>0</v>
      </c>
      <c r="T83" s="23">
        <f t="shared" si="30"/>
        <v>0</v>
      </c>
      <c r="U83" s="32"/>
      <c r="V83" s="32"/>
      <c r="W83" s="32">
        <f>Nøgletal!R121*Nøgletal!R122*Nøgletal!R130/Nøgletal!S394*-1</f>
        <v>0</v>
      </c>
      <c r="X83" s="32">
        <f>Nøgletal!R121*Nøgletal!R122*Nøgletal!R129/Nøgletal!S392*-1</f>
        <v>0</v>
      </c>
      <c r="Y83" s="32">
        <f>Nøgletal!R121*Nøgletal!R122*Nøgletal!R128/Nøgletal!S392*-1</f>
        <v>0</v>
      </c>
      <c r="Z83" s="32"/>
      <c r="AA83" s="32"/>
      <c r="AB83" s="32"/>
      <c r="AC83" s="78">
        <f>-(Nøgletal!R115/Nøgletal!R$385+Nøgletal!R116/Nøgletal!R$386+Nøgletal!R117/Nøgletal!R$387+Nøgletal!R121*Nøgletal!R122*(Nøgletal!R125/Nøgletal!S388+Nøgletal!R132/Nøgletal!R384+Nøgletal!R133/Nøgletal!R383))</f>
        <v>-71.831372549019605</v>
      </c>
      <c r="AD83" s="32">
        <f>Nøgletal!R121*Nøgletal!R123*-1</f>
        <v>-111.45754308360003</v>
      </c>
      <c r="AE83" s="32"/>
      <c r="AF83" s="32"/>
      <c r="AG83" s="32"/>
      <c r="AH83" s="32"/>
      <c r="AI83" s="32"/>
      <c r="AJ83" s="105">
        <f t="shared" si="56"/>
        <v>-183.28891563261965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179.25754308360001</v>
      </c>
      <c r="AP83" s="37">
        <f t="shared" si="68"/>
        <v>0.97800536636323365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Nøgletal!R113</f>
        <v>179.25754308360001</v>
      </c>
      <c r="BX83" s="78"/>
      <c r="BY83" s="127">
        <f>(AJ83+BW83)*-1</f>
        <v>4.0313725490196362</v>
      </c>
      <c r="BZ83" s="123">
        <f>(C83*Emissionsfaktorer!$I$4+E83*Emissionsfaktorer!$I$3+F83*Emissionsfaktorer!$I$5+H83*Emissionsfaktorer!$I$7+I83*Emissionsfaktorer!$I$8+J83*Emissionsfaktorer!$I$9+K83*Emissionsfaktorer!$I$10+L83*Emissionsfaktorer!$I$11+M83*Emissionsfaktorer!$I$12)*-1</f>
        <v>0</v>
      </c>
    </row>
    <row r="84" spans="2:80" x14ac:dyDescent="0.25"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-753</v>
      </c>
      <c r="F84" s="266">
        <f t="shared" si="71"/>
        <v>0</v>
      </c>
      <c r="G84" s="266">
        <f t="shared" si="71"/>
        <v>-75.639999999999986</v>
      </c>
      <c r="H84" s="266">
        <f t="shared" si="71"/>
        <v>-13.349999999999998</v>
      </c>
      <c r="I84" s="266">
        <f t="shared" si="71"/>
        <v>0</v>
      </c>
      <c r="J84" s="266">
        <f t="shared" si="71"/>
        <v>-27.38</v>
      </c>
      <c r="K84" s="266">
        <f t="shared" si="71"/>
        <v>-34.909999999999997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0</v>
      </c>
      <c r="U84" s="266">
        <f t="shared" si="71"/>
        <v>0</v>
      </c>
      <c r="V84" s="266">
        <f t="shared" si="71"/>
        <v>0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-635.14901960784323</v>
      </c>
      <c r="AD84" s="266">
        <f t="shared" si="71"/>
        <v>-74.835778927560014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-142.40040000000002</v>
      </c>
      <c r="AI84" s="266">
        <f t="shared" si="71"/>
        <v>0</v>
      </c>
      <c r="AJ84" s="105">
        <f>SUM(AJ85:AJ88)</f>
        <v>-1538.6247985354032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1495.0714789275601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1495.0714789275601</v>
      </c>
      <c r="BX84" s="266">
        <f t="shared" si="72"/>
        <v>0</v>
      </c>
      <c r="BY84" s="123">
        <f t="shared" si="72"/>
        <v>43.553319607843157</v>
      </c>
      <c r="BZ84" s="123">
        <f t="shared" si="72"/>
        <v>48.372844999999998</v>
      </c>
    </row>
    <row r="85" spans="2:80" x14ac:dyDescent="0.25">
      <c r="B85" s="31"/>
      <c r="C85" s="32"/>
      <c r="D85" s="32"/>
      <c r="E85" s="32">
        <f>Nøgletal!R149*Nøgletal!R150*Nøgletal!R155/Nøgletal!S391*-1</f>
        <v>0</v>
      </c>
      <c r="F85" s="32"/>
      <c r="G85" s="23">
        <f>SUM(H85:M85)</f>
        <v>0</v>
      </c>
      <c r="H85" s="32">
        <f>Nøgletal!R146/Nøgletal!S389*-1</f>
        <v>0</v>
      </c>
      <c r="I85" s="32"/>
      <c r="J85" s="32">
        <f>Nøgletal!R149*Nøgletal!R150*Nøgletal!R154/Nøgletal!S390*-1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Nøgletal!R149*Nøgletal!R150*Nøgletal!R159/Nøgletal!S395*-1</f>
        <v>0</v>
      </c>
      <c r="R85" s="32"/>
      <c r="S85" s="32">
        <f>Nøgletal!R149*Nøgletal!R150*Nøgletal!R153*(1-1/Nøgletal!S388)*-1</f>
        <v>0</v>
      </c>
      <c r="T85" s="23">
        <f>SUM(U85:AB85)</f>
        <v>0</v>
      </c>
      <c r="U85" s="32"/>
      <c r="V85" s="32"/>
      <c r="W85" s="32">
        <f>Nøgletal!R149*Nøgletal!R150*Nøgletal!R158/Nøgletal!S394*-1</f>
        <v>0</v>
      </c>
      <c r="X85" s="32">
        <f>Nøgletal!R149*Nøgletal!R150*Nøgletal!R157/Nøgletal!S393*-1</f>
        <v>0</v>
      </c>
      <c r="Y85" s="32">
        <f>Nøgletal!R149*Nøgletal!R150*Nøgletal!R156/Nøgletal!S392*-1</f>
        <v>0</v>
      </c>
      <c r="Z85" s="32"/>
      <c r="AA85" s="32"/>
      <c r="AB85" s="32"/>
      <c r="AC85" s="78">
        <f>-(Nøgletal!R143/Nøgletal!R$385+Nøgletal!R144/Nøgletal!R$386+Nøgletal!R145/Nøgletal!R$387+Nøgletal!R149*Nøgletal!R150*(Nøgletal!R153/Nøgletal!S388+Nøgletal!R160/Nøgletal!R384+Nøgletal!R161/Nøgletal!R383))</f>
        <v>-5.1529411764705886</v>
      </c>
      <c r="AD85" s="32">
        <f>Nøgletal!R149*Nøgletal!R151*-1</f>
        <v>0</v>
      </c>
      <c r="AE85" s="32"/>
      <c r="AF85" s="32"/>
      <c r="AG85" s="32"/>
      <c r="AH85" s="32"/>
      <c r="AI85" s="32"/>
      <c r="AJ85" s="105">
        <f>SUM(C85:G85,N85,T85,AC85:AG85)</f>
        <v>-5.1529411764705886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4.5</v>
      </c>
      <c r="AP85" s="37">
        <f t="shared" si="68"/>
        <v>0.87328767123287665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Nøgletal!R141</f>
        <v>4.5</v>
      </c>
      <c r="BX85" s="78"/>
      <c r="BY85" s="127">
        <f>(AJ85+BW85)*-1</f>
        <v>0.65294117647058858</v>
      </c>
      <c r="BZ85" s="123">
        <f>(C85*Emissionsfaktorer!$I$4+E85*Emissionsfaktorer!$I$3+F85*Emissionsfaktorer!$I$5+H85*Emissionsfaktorer!$I$7+I85*Emissionsfaktorer!$I$8+J85*Emissionsfaktorer!$I$9+K85*Emissionsfaktorer!$I$10+L85*Emissionsfaktorer!$I$11+M85*Emissionsfaktorer!$I$12)*-1</f>
        <v>0</v>
      </c>
    </row>
    <row r="86" spans="2:80" x14ac:dyDescent="0.25">
      <c r="B86" s="31"/>
      <c r="C86" s="32"/>
      <c r="D86" s="32"/>
      <c r="E86" s="78">
        <f>Nøgletal!R181*Nøgletal!R182*Nøgletal!R187/Nøgletal!S391*-1+Nøgletal!R177/Nøgletal!S397*Nøgletal!R413*-1+Nøgletal!R178/Nøgletal!S398*Nøgletal!R424*-1</f>
        <v>-753</v>
      </c>
      <c r="F86" s="32">
        <f>Nøgletal!R178/Nøgletal!S398*Nøgletal!R427*-1</f>
        <v>0</v>
      </c>
      <c r="G86" s="23">
        <f>SUM(H86:M86)</f>
        <v>-40.729999999999997</v>
      </c>
      <c r="H86" s="32">
        <f>Nøgletal!R175/Nøgletal!S389*-1</f>
        <v>-13.349999999999998</v>
      </c>
      <c r="I86" s="32">
        <f>Nøgletal!R178/Nøgletal!S398*Nøgletal!R425*-1</f>
        <v>0</v>
      </c>
      <c r="J86" s="32">
        <f>Nøgletal!R181*Nøgletal!R182*Nøgletal!R186/Nøgletal!S390*-1+Nøgletal!R176/Nøgletal!S396*Nøgletal!R416*-1</f>
        <v>-27.38</v>
      </c>
      <c r="K86" s="32"/>
      <c r="L86" s="32"/>
      <c r="M86" s="32"/>
      <c r="N86" s="23">
        <f>SUM(O86:S86)</f>
        <v>0</v>
      </c>
      <c r="O86" s="32"/>
      <c r="P86" s="32"/>
      <c r="Q86" s="32">
        <f>Nøgletal!R181*Nøgletal!R182*Nøgletal!R191/Nøgletal!S395*-1</f>
        <v>0</v>
      </c>
      <c r="R86" s="32"/>
      <c r="S86" s="32">
        <f>Nøgletal!R181*Nøgletal!R182*Nøgletal!R185*(1-1/Nøgletal!S388)*-1</f>
        <v>0</v>
      </c>
      <c r="T86" s="23">
        <f>SUM(U86:AB86)</f>
        <v>0</v>
      </c>
      <c r="U86" s="32"/>
      <c r="V86" s="32"/>
      <c r="W86" s="32">
        <f>Nøgletal!R181*Nøgletal!R182*Nøgletal!R190/Nøgletal!S394*-1</f>
        <v>0</v>
      </c>
      <c r="X86" s="32">
        <f>Nøgletal!$R$177/Nøgletal!$S$397*Nøgletal!$R$414*-1+Nøgletal!R176/Nøgletal!S396*Nøgletal!R417*-1</f>
        <v>0</v>
      </c>
      <c r="Y86" s="32">
        <f>Nøgletal!R178/Nøgletal!S398*Nøgletal!R426*-1</f>
        <v>0</v>
      </c>
      <c r="Z86" s="32"/>
      <c r="AA86" s="32"/>
      <c r="AB86" s="32"/>
      <c r="AC86" s="78">
        <f>-(Nøgletal!R171/Nøgletal!R$385+Nøgletal!R172/Nøgletal!R$386+Nøgletal!R173/Nøgletal!R$387+Nøgletal!R181*Nøgletal!R182*(Nøgletal!R185/Nøgletal!S388+Nøgletal!R192/Nøgletal!R384+Nøgletal!R193/Nøgletal!R383))</f>
        <v>-620.09411764705897</v>
      </c>
      <c r="AD86" s="32">
        <f>(Nøgletal!R181*Nøgletal!R183+Nøgletal!R202)*-1</f>
        <v>-50.952019695360008</v>
      </c>
      <c r="AE86" s="32"/>
      <c r="AF86" s="32"/>
      <c r="AG86" s="32"/>
      <c r="AH86" s="269">
        <f>AH68</f>
        <v>-142.40040000000002</v>
      </c>
      <c r="AI86" s="32"/>
      <c r="AJ86" s="105">
        <f>SUM(C86:G86,N86,T86,AC86:AG86)</f>
        <v>-1464.7761373424189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1447.0674196953601</v>
      </c>
      <c r="AP86" s="37">
        <f t="shared" si="68"/>
        <v>0.98791029072934777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Nøgletal!R169</f>
        <v>1447.0674196953601</v>
      </c>
      <c r="BX86" s="78"/>
      <c r="BY86" s="127">
        <f>(AJ86+BW86)*-1</f>
        <v>17.708717647058847</v>
      </c>
      <c r="BZ86" s="123">
        <f>(C86*Emissionsfaktorer!$I$4+E86*Emissionsfaktorer!$I$3+F86*Emissionsfaktorer!$I$5+H86*Emissionsfaktorer!$I$7+I86*Emissionsfaktorer!$I$8+J86*Emissionsfaktorer!$I$9+K86*Emissionsfaktorer!$I$10+L86*Emissionsfaktorer!$I$11+M86*Emissionsfaktorer!$I$12)*-1</f>
        <v>45.789504999999998</v>
      </c>
    </row>
    <row r="87" spans="2:80" x14ac:dyDescent="0.25">
      <c r="B87" s="31"/>
      <c r="C87" s="32"/>
      <c r="D87" s="32"/>
      <c r="E87" s="32">
        <f>Nøgletal!R211*Nøgletal!R212*Nøgletal!R217/Nøgletal!S391*-1</f>
        <v>0</v>
      </c>
      <c r="F87" s="32"/>
      <c r="G87" s="23">
        <f>SUM(H87:M87)</f>
        <v>0</v>
      </c>
      <c r="H87" s="32">
        <f>Nøgletal!R208/Nøgletal!S389*-1</f>
        <v>0</v>
      </c>
      <c r="I87" s="149"/>
      <c r="J87" s="32">
        <f>Nøgletal!R211*Nøgletal!R212*Nøgletal!R216/Nøgletal!S390*-1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Nøgletal!R211*Nøgletal!R212*Nøgletal!R221/Nøgletal!S395*-1</f>
        <v>0</v>
      </c>
      <c r="R87" s="32"/>
      <c r="S87" s="32">
        <f>Nøgletal!R211*Nøgletal!R212*Nøgletal!R215*(1-1/Nøgletal!S388)*-1</f>
        <v>0</v>
      </c>
      <c r="T87" s="23">
        <f>SUM(U87:AB87)</f>
        <v>0</v>
      </c>
      <c r="U87" s="32"/>
      <c r="V87" s="32"/>
      <c r="W87" s="32">
        <f>Nøgletal!R211*Nøgletal!R212*Nøgletal!R220/Nøgletal!S394*-1</f>
        <v>0</v>
      </c>
      <c r="X87" s="32">
        <f>Nøgletal!R211*Nøgletal!R212*Nøgletal!R219/Nøgletal!S393*-1</f>
        <v>0</v>
      </c>
      <c r="Y87" s="32">
        <f>Nøgletal!R211*Nøgletal!R212*Nøgletal!R218/Nøgletal!S392*-1</f>
        <v>0</v>
      </c>
      <c r="Z87" s="32"/>
      <c r="AA87" s="32"/>
      <c r="AB87" s="32"/>
      <c r="AC87" s="78">
        <f>-(Nøgletal!R205/Nøgletal!R$385+Nøgletal!R206/Nøgletal!R$386+Nøgletal!R207/Nøgletal!R$387+Nøgletal!R211*Nøgletal!R212*(Nøgletal!R215/Nøgletal!S388+Nøgletal!R222/Nøgletal!R384+Nøgletal!R223/Nøgletal!R383))</f>
        <v>-0.4705882352941177</v>
      </c>
      <c r="AD87" s="32">
        <f>Nøgletal!R211*Nøgletal!R213*-1</f>
        <v>-23.883759232200003</v>
      </c>
      <c r="AE87" s="32"/>
      <c r="AF87" s="32"/>
      <c r="AG87" s="32"/>
      <c r="AH87" s="32"/>
      <c r="AI87" s="32"/>
      <c r="AJ87" s="105">
        <f>SUM(C87:G87,N87,T87,AC87:AG87)</f>
        <v>-24.354347467494119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24.283759232200001</v>
      </c>
      <c r="AP87" s="37">
        <f t="shared" si="68"/>
        <v>0.99710161664613139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Nøgletal!R203</f>
        <v>24.283759232200001</v>
      </c>
      <c r="BX87" s="78"/>
      <c r="BY87" s="127">
        <f>(AJ87+BW87)*-1</f>
        <v>7.0588235294117396E-2</v>
      </c>
      <c r="BZ87" s="123">
        <f>(C87*Emissionsfaktorer!$I$4+E87*Emissionsfaktorer!$I$3+F87*Emissionsfaktorer!$I$5+H87*Emissionsfaktorer!$I$7+I87*Emissionsfaktorer!$I$8+J87*Emissionsfaktorer!$I$9+K87*Emissionsfaktorer!$I$10+L87*Emissionsfaktorer!$I$11+M87*Emissionsfaktorer!$I$12)*-1</f>
        <v>0</v>
      </c>
    </row>
    <row r="88" spans="2:80" x14ac:dyDescent="0.25">
      <c r="B88" s="31"/>
      <c r="C88" s="32"/>
      <c r="D88" s="32"/>
      <c r="E88" s="32">
        <f>(Nøgletal!R236/Nøgletal!R406*Nøgletal!R696+Nøgletal!R240*Nøgletal!R241*Nøgletal!R246/Nøgletal!S391)*-1</f>
        <v>0</v>
      </c>
      <c r="F88" s="32"/>
      <c r="G88" s="23">
        <f>SUM(H88:M88)</f>
        <v>-34.909999999999997</v>
      </c>
      <c r="H88" s="32">
        <f>Nøgletal!R237/Nøgletal!S389*-1</f>
        <v>0</v>
      </c>
      <c r="I88" s="32"/>
      <c r="J88" s="32">
        <f>Nøgletal!R240*Nøgletal!R241*Nøgletal!R245/Nøgletal!S390*-1</f>
        <v>0</v>
      </c>
      <c r="K88" s="78">
        <f>Nøgletal!R236/Nøgletal!R406*Nøgletal!R692*-1</f>
        <v>-34.909999999999997</v>
      </c>
      <c r="L88" s="32"/>
      <c r="M88" s="32">
        <f>Nøgletal!R236/Nøgletal!R406*Nøgletal!R693*-1</f>
        <v>0</v>
      </c>
      <c r="N88" s="23">
        <f>SUM(O88:S88)</f>
        <v>0</v>
      </c>
      <c r="O88" s="32"/>
      <c r="P88" s="32"/>
      <c r="Q88" s="32">
        <f>Nøgletal!R240*Nøgletal!R241*Nøgletal!R250/Nøgletal!S395*-1</f>
        <v>0</v>
      </c>
      <c r="R88" s="32"/>
      <c r="S88" s="32">
        <f>Nøgletal!R240*Nøgletal!R241*Nøgletal!R244*(1-1/Nøgletal!S388)*-1</f>
        <v>0</v>
      </c>
      <c r="T88" s="23">
        <f>SUM(U88:AB88)</f>
        <v>0</v>
      </c>
      <c r="U88" s="32">
        <f>Nøgletal!R236*Nøgletal!R695/Nøgletal!R406*-1</f>
        <v>0</v>
      </c>
      <c r="V88" s="32">
        <f>Nøgletal!R236*Nøgletal!R697/Nøgletal!R406*-1</f>
        <v>0</v>
      </c>
      <c r="W88" s="32">
        <f>Nøgletal!R240*Nøgletal!R241*Nøgletal!R249/Nøgletal!S394*-1</f>
        <v>0</v>
      </c>
      <c r="X88" s="32">
        <f>Nøgletal!R240*Nøgletal!R241*Nøgletal!R248/Nøgletal!S393*-1</f>
        <v>0</v>
      </c>
      <c r="Y88" s="32">
        <f>Nøgletal!R240*Nøgletal!R241*Nøgletal!R247/Nøgletal!S392*-1</f>
        <v>0</v>
      </c>
      <c r="Z88" s="32"/>
      <c r="AA88" s="32"/>
      <c r="AB88" s="32">
        <f>Nøgletal!R236*Nøgletal!R694/Nøgletal!R406*-1</f>
        <v>0</v>
      </c>
      <c r="AC88" s="78">
        <f>-(Nøgletal!R233/Nøgletal!R$385+Nøgletal!R234/Nøgletal!R$386+Nøgletal!R235/Nøgletal!R$387+Nøgletal!R236*Nøgletal!R698/Nøgletal!R406+Nøgletal!R240*Nøgletal!R241*(Nøgletal!R244/Nøgletal!S388+Nøgletal!R251/Nøgletal!R384+Nøgletal!R252/Nøgletal!R383))</f>
        <v>-9.4313725490196081</v>
      </c>
      <c r="AD88" s="32">
        <f>Nøgletal!R240*Nøgletal!R242</f>
        <v>0</v>
      </c>
      <c r="AE88" s="32"/>
      <c r="AF88" s="32"/>
      <c r="AG88" s="32"/>
      <c r="AH88" s="32"/>
      <c r="AI88" s="32"/>
      <c r="AJ88" s="105">
        <f>SUM(C88:G88,N88,T88,AC88:AG88)</f>
        <v>-44.341372549019603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19.220299999999998</v>
      </c>
      <c r="AP88" s="37">
        <f t="shared" si="68"/>
        <v>0.43346199937207319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Nøgletal!R231</f>
        <v>19.220299999999998</v>
      </c>
      <c r="BX88" s="78"/>
      <c r="BY88" s="127">
        <f>(AJ88+BW88)*-1</f>
        <v>25.121072549019605</v>
      </c>
      <c r="BZ88" s="123">
        <f>(C88*Emissionsfaktorer!$I$4+E88*Emissionsfaktorer!$I$3+F88*Emissionsfaktorer!$I$5+H88*Emissionsfaktorer!$I$7+I88*Emissionsfaktorer!$I$8+J88*Emissionsfaktorer!$I$9+K88*Emissionsfaktorer!$I$10+L88*Emissionsfaktorer!$I$11+M88*Emissionsfaktorer!$I$12)*-1</f>
        <v>2.5833399999999997</v>
      </c>
    </row>
    <row r="89" spans="2:80" x14ac:dyDescent="0.25"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-6005.4722335429824</v>
      </c>
      <c r="AJ89" s="155">
        <f>AJ90+AJ101+AJ112+AJ117</f>
        <v>-6005.4722335429824</v>
      </c>
      <c r="AK89" s="88" t="s">
        <v>274</v>
      </c>
      <c r="AL89" s="89" t="s">
        <v>275</v>
      </c>
      <c r="AM89" s="89"/>
      <c r="AN89" s="37"/>
      <c r="AO89" s="38">
        <f t="shared" si="61"/>
        <v>4213.5930154799998</v>
      </c>
      <c r="AP89" s="37">
        <f t="shared" si="68"/>
        <v>0.70162559272947511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4213.5930154799998</v>
      </c>
      <c r="BX89" s="82"/>
      <c r="BY89" s="128">
        <f>BY90+BY101+BY112+BY117</f>
        <v>1813.6908062982761</v>
      </c>
      <c r="BZ89" s="128">
        <f>BZ90+BZ101+BZ112+BZ117</f>
        <v>0</v>
      </c>
    </row>
    <row r="90" spans="2:80" x14ac:dyDescent="0.25"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-1979.1194117647055</v>
      </c>
      <c r="AJ90" s="156">
        <f>SUM(AJ91:AJ100)</f>
        <v>-1979.1194117647055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537.18569999999988</v>
      </c>
      <c r="AP90" s="146">
        <f t="shared" ref="AP90:AP127" si="73">BW90/IF(AJ90&lt;0,AJ90,1)*-1</f>
        <v>0.27142662378366134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537.18569999999988</v>
      </c>
      <c r="BX90" s="108"/>
      <c r="BY90" s="129">
        <f>SUM(BY91:BY100)</f>
        <v>1438.9452999999994</v>
      </c>
      <c r="BZ90" s="129">
        <f>SUM(BZ91:BZ100)</f>
        <v>0</v>
      </c>
    </row>
    <row r="91" spans="2:80" x14ac:dyDescent="0.25"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-541.38999999999987</v>
      </c>
      <c r="AJ91" s="156">
        <f>AO91/Nøgletal!R401*-1</f>
        <v>-541.38999999999987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108.27799999999998</v>
      </c>
      <c r="AP91" s="146">
        <f t="shared" si="73"/>
        <v>0.2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W91" s="78">
        <f>Nøgletal!R$282*Nøgletal!R286</f>
        <v>108.27799999999998</v>
      </c>
      <c r="BX91" s="119"/>
      <c r="BY91" s="127">
        <f t="shared" ref="BY91:BY98" si="76">(AJ91+BW91)*-1</f>
        <v>433.11199999999991</v>
      </c>
      <c r="BZ91" s="125">
        <v>0</v>
      </c>
      <c r="CB91" s="151"/>
    </row>
    <row r="92" spans="2:80" x14ac:dyDescent="0.25"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-411.27999999999986</v>
      </c>
      <c r="AJ92" s="156">
        <f>AO92/Nøgletal!R402*-1</f>
        <v>-411.27999999999986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102.81999999999996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W92" s="78">
        <f>Nøgletal!R$282*Nøgletal!R287</f>
        <v>102.81999999999996</v>
      </c>
      <c r="BX92" s="119"/>
      <c r="BY92" s="127">
        <f t="shared" si="76"/>
        <v>308.45999999999992</v>
      </c>
      <c r="BZ92" s="125">
        <v>0</v>
      </c>
      <c r="CB92" s="151"/>
    </row>
    <row r="93" spans="2:80" x14ac:dyDescent="0.25"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-170.72999999999996</v>
      </c>
      <c r="AJ93" s="156">
        <f>AO93/IF(Nøgletal!R403&gt;0,Nøgletal!R403,1)*-1</f>
        <v>-170.72999999999996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42.68249999999999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W93" s="78">
        <f>Nøgletal!R$282*Nøgletal!R288</f>
        <v>42.68249999999999</v>
      </c>
      <c r="BX93" s="119"/>
      <c r="BY93" s="127">
        <f t="shared" si="76"/>
        <v>128.04749999999996</v>
      </c>
      <c r="BZ93" s="125">
        <v>0</v>
      </c>
      <c r="CB93" s="151"/>
    </row>
    <row r="94" spans="2:80" x14ac:dyDescent="0.25"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-49.099999999999994</v>
      </c>
      <c r="AJ94" s="156">
        <f>AO94/Nøgletal!R404*-1</f>
        <v>-49.099999999999994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16.202999999999999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W94" s="78">
        <f>Nøgletal!R$282*Nøgletal!R289</f>
        <v>16.202999999999999</v>
      </c>
      <c r="BX94" s="119"/>
      <c r="BY94" s="127">
        <f t="shared" si="76"/>
        <v>32.896999999999991</v>
      </c>
      <c r="BZ94" s="125">
        <v>0</v>
      </c>
      <c r="CB94" s="151"/>
    </row>
    <row r="95" spans="2:80" x14ac:dyDescent="0.25"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-330.7</v>
      </c>
      <c r="AJ95" s="156">
        <f>AO95/Nøgletal!R405*-1</f>
        <v>-330.7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109.131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W95" s="78">
        <f>Nøgletal!R$282*Nøgletal!R290</f>
        <v>109.131</v>
      </c>
      <c r="BX95" s="119"/>
      <c r="BY95" s="127">
        <f t="shared" si="76"/>
        <v>221.56899999999999</v>
      </c>
      <c r="BZ95" s="125">
        <v>0</v>
      </c>
      <c r="CB95" s="151"/>
    </row>
    <row r="96" spans="2:80" x14ac:dyDescent="0.25"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-29.169999999999995</v>
      </c>
      <c r="AJ96" s="156">
        <f>AO96/Nøgletal!R407*-1</f>
        <v>-29.169999999999995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9.6260999999999992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W96" s="78">
        <f>Nøgletal!R$282*Nøgletal!R291</f>
        <v>9.6260999999999992</v>
      </c>
      <c r="BX96" s="119"/>
      <c r="BY96" s="127">
        <f t="shared" si="76"/>
        <v>19.543899999999994</v>
      </c>
      <c r="BZ96" s="125">
        <v>0</v>
      </c>
      <c r="CB96" s="151"/>
    </row>
    <row r="97" spans="2:80" x14ac:dyDescent="0.25"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-385.77999999999992</v>
      </c>
      <c r="AJ97" s="156">
        <f>AO97/Nøgletal!R408*-1</f>
        <v>-385.77999999999992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127.30739999999999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W97" s="78">
        <f>Nøgletal!R$282*Nøgletal!R292</f>
        <v>127.30739999999999</v>
      </c>
      <c r="BX97" s="119"/>
      <c r="BY97" s="127">
        <f t="shared" si="76"/>
        <v>258.47259999999994</v>
      </c>
      <c r="BZ97" s="125">
        <v>0</v>
      </c>
      <c r="CB97" s="151"/>
    </row>
    <row r="98" spans="2:80" x14ac:dyDescent="0.25"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-54.989999999999981</v>
      </c>
      <c r="AJ98" s="156">
        <f>AO98/Nøgletal!R409*-1</f>
        <v>-54.989999999999981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18.146699999999996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W98" s="78">
        <f>Nøgletal!R$282*Nøgletal!R293</f>
        <v>18.146699999999996</v>
      </c>
      <c r="BX98" s="119"/>
      <c r="BY98" s="127">
        <f t="shared" si="76"/>
        <v>36.843299999999985</v>
      </c>
      <c r="BZ98" s="125">
        <v>0</v>
      </c>
      <c r="CB98" s="151"/>
    </row>
    <row r="99" spans="2:80" x14ac:dyDescent="0.25"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-1.5294117647058822</v>
      </c>
      <c r="AJ99" s="156">
        <f>AO99/Nøgletal!R410*-1</f>
        <v>-1.5294117647058822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1.2999999999999998</v>
      </c>
      <c r="AP99" s="146">
        <f t="shared" si="73"/>
        <v>0.85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W99" s="78">
        <f>Nøgletal!R$282*Nøgletal!R284</f>
        <v>1.2999999999999998</v>
      </c>
      <c r="BX99" s="119"/>
      <c r="BY99" s="147">
        <v>0</v>
      </c>
      <c r="BZ99" s="125">
        <v>0</v>
      </c>
      <c r="CB99" s="151"/>
    </row>
    <row r="100" spans="2:80" x14ac:dyDescent="0.25"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-4.4499999999999993</v>
      </c>
      <c r="AJ100" s="156">
        <f>AO100/Nøgletal!R411*-1</f>
        <v>-4.4499999999999993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1.6909999999999998</v>
      </c>
      <c r="AP100" s="146">
        <f t="shared" si="73"/>
        <v>0.38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W100" s="78">
        <f>Nøgletal!R$282*Nøgletal!R285</f>
        <v>1.6909999999999998</v>
      </c>
      <c r="BX100" s="119"/>
      <c r="BY100" s="147">
        <v>0</v>
      </c>
      <c r="BZ100" s="125">
        <v>0</v>
      </c>
      <c r="CB100" s="151"/>
    </row>
    <row r="101" spans="2:80" x14ac:dyDescent="0.25"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-1558.3845176470591</v>
      </c>
      <c r="AJ101" s="156">
        <f>SUM(AJ102:AJ111)</f>
        <v>-1558.3845176470591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1390.7267000000002</v>
      </c>
      <c r="AP101" s="146">
        <f t="shared" si="73"/>
        <v>0.8924156292952663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1390.7267000000002</v>
      </c>
      <c r="BX101" s="108"/>
      <c r="BY101" s="129">
        <f>SUM(BY102:BY111)</f>
        <v>192.45781764705885</v>
      </c>
      <c r="BZ101" s="129">
        <f>SUM(BZ102:BZ111)</f>
        <v>0</v>
      </c>
      <c r="CB101" s="19"/>
    </row>
    <row r="102" spans="2:80" x14ac:dyDescent="0.25"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-49.6</v>
      </c>
      <c r="AJ102" s="156">
        <f>AO102/Nøgletal!R386*-1</f>
        <v>-49.6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74.400000000000006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Nøgletal!R172</f>
        <v>74.400000000000006</v>
      </c>
      <c r="BX102" s="119"/>
      <c r="BY102" s="127">
        <v>0</v>
      </c>
      <c r="BZ102" s="125">
        <v>0</v>
      </c>
      <c r="CB102" s="19"/>
    </row>
    <row r="103" spans="2:80" x14ac:dyDescent="0.25"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-533.2941176470589</v>
      </c>
      <c r="AJ103" s="156">
        <f>AO103/Nøgletal!R387*-1</f>
        <v>-533.2941176470589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453.3</v>
      </c>
      <c r="AP103" s="146">
        <f t="shared" si="73"/>
        <v>0.84999999999999987</v>
      </c>
      <c r="AQ103" s="49"/>
      <c r="AR103" s="19"/>
      <c r="AS103" s="19"/>
      <c r="AT103" s="19"/>
      <c r="AU103" s="19"/>
      <c r="AV103" s="19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Nøgletal!R173</f>
        <v>453.3</v>
      </c>
      <c r="BX103" s="119"/>
      <c r="BY103" s="127">
        <f t="shared" ref="BY103:BY111" si="77">(AJ103+BW103)*-1</f>
        <v>79.994117647058886</v>
      </c>
      <c r="BZ103" s="125">
        <v>0</v>
      </c>
      <c r="CB103" s="19"/>
    </row>
    <row r="104" spans="2:80" x14ac:dyDescent="0.25"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-27.38</v>
      </c>
      <c r="AJ104" s="156">
        <f>AO104/Nøgletal!S396*-1</f>
        <v>-27.38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24.641999999999999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Nøgletal!R176</f>
        <v>24.641999999999999</v>
      </c>
      <c r="BX104" s="119"/>
      <c r="BY104" s="127">
        <f t="shared" si="77"/>
        <v>2.7379999999999995</v>
      </c>
      <c r="BZ104" s="125">
        <v>0</v>
      </c>
      <c r="CB104" s="19"/>
    </row>
    <row r="105" spans="2:80" x14ac:dyDescent="0.25"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-753</v>
      </c>
      <c r="AJ105" s="156">
        <f>AO105/IF(Nøgletal!S397&gt;0,Nøgletal!S397,1)*-1</f>
        <v>-753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677.7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Nøgletal!R177</f>
        <v>677.7</v>
      </c>
      <c r="BX105" s="119"/>
      <c r="BY105" s="127">
        <f t="shared" si="77"/>
        <v>75.299999999999955</v>
      </c>
      <c r="BZ105" s="125">
        <v>0</v>
      </c>
      <c r="CB105" s="19"/>
    </row>
    <row r="106" spans="2:80" x14ac:dyDescent="0.25"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'2025'!AO106/Nøgletal!S398*-1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Nøgletal!R178</f>
        <v>0</v>
      </c>
      <c r="BX106" s="119"/>
      <c r="BY106" s="127">
        <f t="shared" si="77"/>
        <v>0</v>
      </c>
      <c r="BZ106" s="125">
        <v>0</v>
      </c>
      <c r="CB106" s="19"/>
    </row>
    <row r="107" spans="2:80" x14ac:dyDescent="0.25"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-4.45</v>
      </c>
      <c r="AJ107" s="156">
        <f>AO107/Nøgletal!S389*-1</f>
        <v>-4.45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1.6910000000000001</v>
      </c>
      <c r="AP107" s="146">
        <f t="shared" si="73"/>
        <v>0.38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Nøgletal!R34+Nøgletal!R62+Nøgletal!R90+Nøgletal!R118+Nøgletal!R146+Nøgletal!R208+Nøgletal!R237</f>
        <v>1.6910000000000001</v>
      </c>
      <c r="BX107" s="119"/>
      <c r="BY107" s="127">
        <f t="shared" si="77"/>
        <v>2.7590000000000003</v>
      </c>
      <c r="BZ107" s="125">
        <v>0</v>
      </c>
      <c r="CB107" s="19"/>
    </row>
    <row r="108" spans="2:80" x14ac:dyDescent="0.25"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-13.349999999999998</v>
      </c>
      <c r="AJ108" s="156">
        <f>AO108/Nøgletal!S389*-1</f>
        <v>-13.349999999999998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5.0729999999999995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Nøgletal!R175</f>
        <v>5.0729999999999995</v>
      </c>
      <c r="BX108" s="119"/>
      <c r="BY108" s="127">
        <f t="shared" si="77"/>
        <v>8.2769999999999975</v>
      </c>
      <c r="BZ108" s="125">
        <v>0</v>
      </c>
      <c r="CB108" s="19"/>
    </row>
    <row r="109" spans="2:80" x14ac:dyDescent="0.25"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-142.40040000000002</v>
      </c>
      <c r="AJ109" s="156">
        <f>AO109*-1</f>
        <v>-142.40040000000002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142.40040000000002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Nøgletal!R201</f>
        <v>142.40040000000002</v>
      </c>
      <c r="BX109" s="119"/>
      <c r="BY109" s="127">
        <f t="shared" si="77"/>
        <v>0</v>
      </c>
      <c r="BZ109" s="125">
        <v>0</v>
      </c>
      <c r="CB109" s="19"/>
    </row>
    <row r="110" spans="2:80" x14ac:dyDescent="0.25"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-34.909999999999997</v>
      </c>
      <c r="AJ110" s="156">
        <f>AO110/Nøgletal!R406*-1</f>
        <v>-34.909999999999997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11.520299999999999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W110" s="78">
        <f>Nøgletal!R236</f>
        <v>11.520299999999999</v>
      </c>
      <c r="BX110" s="119"/>
      <c r="BY110" s="127">
        <f t="shared" si="77"/>
        <v>23.389699999999998</v>
      </c>
      <c r="BZ110" s="125">
        <v>0</v>
      </c>
      <c r="CB110" s="151"/>
    </row>
    <row r="111" spans="2:80" x14ac:dyDescent="0.25"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Nøgletal!R202</f>
        <v>0</v>
      </c>
      <c r="BX111" s="119"/>
      <c r="BY111" s="127">
        <f t="shared" si="77"/>
        <v>0</v>
      </c>
      <c r="BZ111" s="125">
        <v>0</v>
      </c>
      <c r="CB111" s="19"/>
    </row>
    <row r="112" spans="2:80" x14ac:dyDescent="0.25"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-561.24991087344029</v>
      </c>
      <c r="AJ112" s="157">
        <f>SUM(AJ113:AJ116)</f>
        <v>-561.24991087344029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463.9</v>
      </c>
      <c r="AP112" s="146">
        <f t="shared" si="73"/>
        <v>0.82654801544299517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463.9</v>
      </c>
      <c r="BX112" s="108"/>
      <c r="BY112" s="129">
        <f>SUM(BY113:BY116)</f>
        <v>97.349910873440294</v>
      </c>
      <c r="BZ112" s="129">
        <f>SUM(BZ113:BZ116)</f>
        <v>0</v>
      </c>
    </row>
    <row r="113" spans="1:78" x14ac:dyDescent="0.25"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-146.80000000000001</v>
      </c>
      <c r="AJ113" s="157">
        <f>AO113/Nøgletal!R385*-1</f>
        <v>-146.80000000000001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73.400000000000006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Nøgletal!R31+Nøgletal!R59+Nøgletal!R87+Nøgletal!R115+Nøgletal!R143+Nøgletal!R171+Nøgletal!R205+Nøgletal!R233</f>
        <v>73.400000000000006</v>
      </c>
      <c r="BX113" s="119"/>
      <c r="BY113" s="127">
        <f>(AJ113+BW113)*-1</f>
        <v>73.400000000000006</v>
      </c>
      <c r="BZ113" s="125">
        <v>0</v>
      </c>
    </row>
    <row r="114" spans="1:78" x14ac:dyDescent="0.25"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-36.363636363636367</v>
      </c>
      <c r="AJ114" s="157">
        <f>AO114/Nøgletal!R382*-1</f>
        <v>-36.363636363636367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16</v>
      </c>
      <c r="AP114" s="146">
        <f t="shared" si="73"/>
        <v>0.43999999999999995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Nøgletal!R30</f>
        <v>16</v>
      </c>
      <c r="BX114" s="119"/>
      <c r="BY114" s="127">
        <f>(AJ114+BW114)*-1</f>
        <v>20.363636363636367</v>
      </c>
      <c r="BZ114" s="125">
        <v>0</v>
      </c>
    </row>
    <row r="115" spans="1:78" x14ac:dyDescent="0.25"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-81.733333333333334</v>
      </c>
      <c r="AJ115" s="157">
        <f>AO115/Nøgletal!R386*-1</f>
        <v>-81.733333333333334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122.6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Nøgletal!R32+Nøgletal!R60+Nøgletal!R88+Nøgletal!R116+Nøgletal!R144+Nøgletal!R206+Nøgletal!R234</f>
        <v>122.6</v>
      </c>
      <c r="BX115" s="119"/>
      <c r="BY115" s="127">
        <f>(AJ115+BW115)*-1</f>
        <v>-40.86666666666666</v>
      </c>
      <c r="BZ115" s="125">
        <v>0</v>
      </c>
    </row>
    <row r="116" spans="1:78" x14ac:dyDescent="0.25"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-296.35294117647055</v>
      </c>
      <c r="AJ116" s="157">
        <f>AO116/Nøgletal!R387*-1</f>
        <v>-296.35294117647055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251.89999999999998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Nøgletal!R33+Nøgletal!R61+Nøgletal!R89+Nøgletal!R117+Nøgletal!R145+Nøgletal!R207+Nøgletal!R235</f>
        <v>251.89999999999998</v>
      </c>
      <c r="BX116" s="119"/>
      <c r="BY116" s="127">
        <f>(AJ116+BW116)*-1</f>
        <v>44.452941176470574</v>
      </c>
      <c r="BZ116" s="125">
        <v>0</v>
      </c>
    </row>
    <row r="117" spans="1:78" x14ac:dyDescent="0.25"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-1906.7183932577775</v>
      </c>
      <c r="AJ117" s="157">
        <f>SUM(AJ118:AJ127)</f>
        <v>-1906.7183932577775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1821.7806154799998</v>
      </c>
      <c r="AP117" s="146">
        <f t="shared" si="73"/>
        <v>0.95545342297104774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1821.7806154799998</v>
      </c>
      <c r="BX117" s="108"/>
      <c r="BY117" s="129">
        <f>SUM(BY118:BY127)</f>
        <v>84.937777777777768</v>
      </c>
      <c r="BZ117" s="129">
        <f>SUM(BZ118:BZ127)</f>
        <v>0</v>
      </c>
    </row>
    <row r="118" spans="1:78" x14ac:dyDescent="0.25"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-4.7777777777777777</v>
      </c>
      <c r="AJ118" s="157">
        <f>AO118/Nøgletal!R383*-1</f>
        <v>-4.7777777777777777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4.3</v>
      </c>
      <c r="AP118" s="146">
        <f t="shared" si="73"/>
        <v>0.9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R49*Nøgletal!R38*Nøgletal!R37+Nøgletal!R65*Nøgletal!R66*Nøgletal!R77+Nøgletal!R93*Nøgletal!R94*Nøgletal!R105+Nøgletal!R121*Nøgletal!R122*Nøgletal!R133+Nøgletal!R149*Nøgletal!R150*Nøgletal!R161+Nøgletal!R181*Nøgletal!R182*Nøgletal!R193+Nøgletal!R211*Nøgletal!R212*Nøgletal!R223+Nøgletal!R240*Nøgletal!R241*Nøgletal!R252</f>
        <v>4.3</v>
      </c>
      <c r="BX118" s="119"/>
      <c r="BY118" s="127">
        <f t="shared" ref="BY118:BY127" si="78">(AJ118+BW118)*-1</f>
        <v>0.47777777777777786</v>
      </c>
      <c r="BZ118" s="125">
        <v>0</v>
      </c>
    </row>
    <row r="119" spans="1:78" x14ac:dyDescent="0.25"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-20.2</v>
      </c>
      <c r="AJ119" s="157">
        <f>AO119*Nøgletal!R384*-1</f>
        <v>-20.2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20.2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R37*Nøgletal!R38*Nøgletal!R48+Nøgletal!R65*Nøgletal!R66*Nøgletal!R76+Nøgletal!R93*Nøgletal!R94*Nøgletal!R104+Nøgletal!R121*Nøgletal!R122*Nøgletal!R132+Nøgletal!R149*Nøgletal!R150*Nøgletal!R160+Nøgletal!R181*Nøgletal!R182*Nøgletal!R192+Nøgletal!R211*Nøgletal!R212*Nøgletal!R222+Nøgletal!R240*Nøgletal!R241*Nøgletal!R251</f>
        <v>20.2</v>
      </c>
      <c r="BX119" s="119"/>
      <c r="BY119" s="127">
        <f t="shared" si="78"/>
        <v>0</v>
      </c>
      <c r="BZ119" s="125">
        <v>0</v>
      </c>
    </row>
    <row r="120" spans="1:78" x14ac:dyDescent="0.25"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0</v>
      </c>
      <c r="AJ120" s="157">
        <f>AO120*-1</f>
        <v>0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0</v>
      </c>
      <c r="AP120" s="146">
        <f t="shared" si="73"/>
        <v>0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R37*Nøgletal!R38*Nøgletal!R41+Nøgletal!R65*Nøgletal!R66*Nøgletal!R69+Nøgletal!R93*Nøgletal!R94*Nøgletal!R97+Nøgletal!R121*Nøgletal!R122*Nøgletal!R125+Nøgletal!R149*Nøgletal!R150*Nøgletal!R153+Nøgletal!R181*Nøgletal!R182*Nøgletal!R185+Nøgletal!R211*Nøgletal!R212*Nøgletal!R215+Nøgletal!R240*Nøgletal!R241*Nøgletal!R244</f>
        <v>0</v>
      </c>
      <c r="BX120" s="119"/>
      <c r="BY120" s="127">
        <f t="shared" si="78"/>
        <v>0</v>
      </c>
      <c r="BZ120" s="125">
        <v>0</v>
      </c>
    </row>
    <row r="121" spans="1:78" x14ac:dyDescent="0.25"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-50.000000000000007</v>
      </c>
      <c r="AJ121" s="157">
        <f>AO121/Nøgletal!S390*-1</f>
        <v>-50.000000000000007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40.000000000000007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R$37*Nøgletal!R$38*Nøgletal!R42+Nøgletal!R$65*Nøgletal!R$66*Nøgletal!R70+Nøgletal!R$93*Nøgletal!R$94*Nøgletal!R98+Nøgletal!R$121*Nøgletal!R$122*Nøgletal!R126+Nøgletal!R$149*Nøgletal!R$150*Nøgletal!R154+Nøgletal!R$181*Nøgletal!R$182*Nøgletal!R186+Nøgletal!R$211*Nøgletal!R$212*Nøgletal!R216+Nøgletal!R$240*Nøgletal!R$241*Nøgletal!R245</f>
        <v>40.000000000000007</v>
      </c>
      <c r="BX121" s="119"/>
      <c r="BY121" s="127">
        <f t="shared" si="78"/>
        <v>10</v>
      </c>
      <c r="BZ121" s="125">
        <v>0</v>
      </c>
    </row>
    <row r="122" spans="1:78" x14ac:dyDescent="0.25"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-0.4</v>
      </c>
      <c r="AJ122" s="157">
        <f>AO122/Nøgletal!S391*-1</f>
        <v>-0.4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0.34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R$37*Nøgletal!R$38*Nøgletal!R43+Nøgletal!R$65*Nøgletal!R$66*Nøgletal!R71+Nøgletal!R$93*Nøgletal!R$94*Nøgletal!R99+Nøgletal!R$121*Nøgletal!R$122*Nøgletal!R127+Nøgletal!R$149*Nøgletal!R$150*Nøgletal!R155+Nøgletal!R$181*Nøgletal!R$182*Nøgletal!R187+Nøgletal!R$211*Nøgletal!R$212*Nøgletal!R217+Nøgletal!R$240*Nøgletal!R$241*Nøgletal!R246</f>
        <v>0.34</v>
      </c>
      <c r="BX122" s="119"/>
      <c r="BY122" s="127">
        <f t="shared" si="78"/>
        <v>0.06</v>
      </c>
      <c r="BZ122" s="125">
        <v>0</v>
      </c>
    </row>
    <row r="123" spans="1:78" x14ac:dyDescent="0.25"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-82.000000000000014</v>
      </c>
      <c r="AJ123" s="157">
        <f>AO123/Nøgletal!S392*-1</f>
        <v>-82.000000000000014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61.500000000000007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R$37*Nøgletal!R$38*Nøgletal!R44+Nøgletal!R$65*Nøgletal!R$66*Nøgletal!R72+Nøgletal!R$93*Nøgletal!R$94*Nøgletal!R100+Nøgletal!R$121*Nøgletal!R$122*Nøgletal!R128+Nøgletal!R$149*Nøgletal!R$150*Nøgletal!R156+Nøgletal!R$181*Nøgletal!R$182*Nøgletal!R188+Nøgletal!R$211*Nøgletal!R$212*Nøgletal!R218+Nøgletal!R$240*Nøgletal!R$241*Nøgletal!R247</f>
        <v>61.500000000000007</v>
      </c>
      <c r="BX123" s="119"/>
      <c r="BY123" s="127">
        <f t="shared" si="78"/>
        <v>20.500000000000007</v>
      </c>
      <c r="BZ123" s="125">
        <v>0</v>
      </c>
    </row>
    <row r="124" spans="1:78" x14ac:dyDescent="0.25"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-134</v>
      </c>
      <c r="AJ124" s="157">
        <f>AO124/Nøgletal!S393*-1</f>
        <v>-134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87.100000000000009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R$37*Nøgletal!R$38*Nøgletal!R45+Nøgletal!R$65*Nøgletal!R$66*Nøgletal!R73+Nøgletal!R$93*Nøgletal!R$94*Nøgletal!R101+Nøgletal!R$121*Nøgletal!R$122*Nøgletal!R129+Nøgletal!R$149*Nøgletal!R$150*Nøgletal!R157+Nøgletal!R$181*Nøgletal!R$182*Nøgletal!R189+Nøgletal!R$211*Nøgletal!R$212*Nøgletal!R219+Nøgletal!R$240*Nøgletal!R$241*Nøgletal!R248</f>
        <v>87.100000000000009</v>
      </c>
      <c r="BX124" s="119"/>
      <c r="BY124" s="127">
        <f t="shared" si="78"/>
        <v>46.899999999999991</v>
      </c>
      <c r="BZ124" s="125">
        <v>0</v>
      </c>
    </row>
    <row r="125" spans="1:78" x14ac:dyDescent="0.25"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-20.000000000000004</v>
      </c>
      <c r="AJ125" s="157">
        <f>AO125/Nøgletal!S394*-1</f>
        <v>-20.000000000000004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13.000000000000002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R$37*Nøgletal!R$38*Nøgletal!R46+Nøgletal!R$65*Nøgletal!R$66*Nøgletal!R74+Nøgletal!R$93*Nøgletal!R$94*Nøgletal!R102+Nøgletal!R$121*Nøgletal!R$122*Nøgletal!R130+Nøgletal!R$149*Nøgletal!R$150*Nøgletal!R158+Nøgletal!R$181*Nøgletal!R$182*Nøgletal!R190+Nøgletal!R$211*Nøgletal!R$212*Nøgletal!R220+Nøgletal!R$240*Nøgletal!R$241*Nøgletal!R249</f>
        <v>13.000000000000002</v>
      </c>
      <c r="BX125" s="119"/>
      <c r="BY125" s="127">
        <f t="shared" si="78"/>
        <v>7.0000000000000018</v>
      </c>
      <c r="BZ125" s="125">
        <v>0</v>
      </c>
    </row>
    <row r="126" spans="1:78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-1592.2506154799999</v>
      </c>
      <c r="AJ126" s="157">
        <f>AO126*-1</f>
        <v>-1592.2506154799999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1592.2506154799999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Nøgletal!R37*Nøgletal!R39+Nøgletal!R65*Nøgletal!R67+Nøgletal!R93*Nøgletal!R95+Nøgletal!R121*Nøgletal!R123+Nøgletal!R149*Nøgletal!R151+Nøgletal!R181*Nøgletal!R183+Nøgletal!R211*Nøgletal!R213+Nøgletal!R240*Nøgletal!R242</f>
        <v>1592.2506154799999</v>
      </c>
      <c r="BX126" s="119"/>
      <c r="BY126" s="127">
        <f t="shared" si="78"/>
        <v>0</v>
      </c>
      <c r="BZ126" s="125">
        <v>0</v>
      </c>
    </row>
    <row r="127" spans="1:78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-3.09</v>
      </c>
      <c r="AJ127" s="157">
        <f>AO127/Nøgletal!S395*-1</f>
        <v>-3.09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3.09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R$37*Nøgletal!R$38*Nøgletal!R47+Nøgletal!R$65*Nøgletal!R$66*Nøgletal!R75+Nøgletal!R$93*Nøgletal!R$94*Nøgletal!R103+Nøgletal!R$121*Nøgletal!R$122*Nøgletal!R131+Nøgletal!R$149*Nøgletal!R$150*Nøgletal!R159+Nøgletal!R$181*Nøgletal!R$182*Nøgletal!R191+Nøgletal!R$211*Nøgletal!R$212*Nøgletal!R221+Nøgletal!R$240*Nøgletal!R$241*Nøgletal!R250</f>
        <v>3.09</v>
      </c>
      <c r="BX127" s="119"/>
      <c r="BY127" s="127">
        <f t="shared" si="78"/>
        <v>0</v>
      </c>
      <c r="BZ127" s="125">
        <v>0</v>
      </c>
    </row>
    <row r="128" spans="1:78" x14ac:dyDescent="0.25">
      <c r="C128" s="40">
        <f>C9+C68+' Plan Energi 2019'!C81</f>
        <v>0</v>
      </c>
      <c r="E128" s="40">
        <f>E9+E68+' Plan Energi 2019'!I81</f>
        <v>0</v>
      </c>
      <c r="F128" s="40">
        <f>F9+F68+' Plan Energi 2019'!W81</f>
        <v>0</v>
      </c>
      <c r="H128" s="40">
        <f>H9+H68+' Plan Energi 2019'!B81</f>
        <v>0</v>
      </c>
      <c r="I128" s="40">
        <f>I9+I68+' Plan Energi 2019'!D81</f>
        <v>0</v>
      </c>
      <c r="J128" s="40">
        <f>J9+J68+' Plan Energi 2019'!E81</f>
        <v>0</v>
      </c>
      <c r="K128" s="40">
        <f>K9+K68+' Plan Energi 2019'!F81</f>
        <v>0</v>
      </c>
      <c r="L128" s="40">
        <f>L9+L68+' Plan Energi 2019'!G81</f>
        <v>0</v>
      </c>
      <c r="M128" s="40">
        <f>M9+M68+' Plan Energi 2019'!H81</f>
        <v>0</v>
      </c>
      <c r="O128" s="40">
        <f>O9+O68+' Plan Energi 2019'!J81</f>
        <v>0</v>
      </c>
      <c r="P128" s="40">
        <f>P9+P68+' Plan Energi 2019'!K81</f>
        <v>0</v>
      </c>
      <c r="Q128" s="40">
        <f>Q9+Q68+' Plan Energi 2019'!L81</f>
        <v>0</v>
      </c>
      <c r="R128" s="40">
        <f>R9+R68+' Plan Energi 2019'!M81</f>
        <v>0</v>
      </c>
      <c r="S128" s="40">
        <f>S9+S68+' Plan Energi 2019'!N81</f>
        <v>-0.4</v>
      </c>
      <c r="U128" s="40">
        <f>U9+U68+' Plan Energi 2019'!O81</f>
        <v>0</v>
      </c>
      <c r="V128" s="40">
        <f>V9+V68+' Plan Energi 2019'!P81</f>
        <v>0</v>
      </c>
      <c r="W128" s="40">
        <f>W9+W68+' Plan Energi 2019'!Q81</f>
        <v>0</v>
      </c>
      <c r="X128" s="40">
        <f>X9+X68+' Plan Energi 2019'!R81</f>
        <v>0</v>
      </c>
      <c r="Y128" s="40">
        <f>Y9+Y68+' Plan Energi 2019'!S81</f>
        <v>0</v>
      </c>
      <c r="Z128" s="40">
        <f>Z9+Z68+' Plan Energi 2019'!T81</f>
        <v>0</v>
      </c>
      <c r="AA128" s="40">
        <f>AA9+AA68+' Plan Energi 2019'!U81</f>
        <v>0</v>
      </c>
      <c r="AB128" s="40">
        <f>AB9+AB68+' Plan Energi 2019'!V81</f>
        <v>0</v>
      </c>
      <c r="AC128" s="143">
        <f>BR10-' Plan Energi 2019'!A15</f>
        <v>-0.43554006968611247</v>
      </c>
      <c r="AD128" s="40">
        <f>AD68+SUM(' Plan Energi 2019'!AI39:AP68)+SUM(' Plan Energi 2019'!AI70:AP71)</f>
        <v>0</v>
      </c>
      <c r="AK128" s="122"/>
      <c r="AP128" s="102"/>
    </row>
    <row r="129" spans="3:42" x14ac:dyDescent="0.25">
      <c r="C129" s="40"/>
      <c r="D129" s="40"/>
      <c r="E129" s="40"/>
      <c r="F129" s="40"/>
      <c r="AB129" s="231" t="s">
        <v>667</v>
      </c>
      <c r="AC129" s="143">
        <f>AC69-' Plan Energi 2019'!A15</f>
        <v>-615.98219800377046</v>
      </c>
      <c r="AD129" s="143">
        <f>BS10+BS11+BS18+BS57+BS65-(SUM(' Plan Energi 2019'!AF32:AF38,' Plan Energi 2019'!AF40:AF42,' Plan Energi 2019'!AF44:AF51,' Plan Energi 2019'!AF53:AF54,' Plan Energi 2019'!AF56:AF61,' Plan Energi 2019'!AF63:AF68))</f>
        <v>0</v>
      </c>
      <c r="AP129" s="1"/>
    </row>
    <row r="130" spans="3:42" x14ac:dyDescent="0.25">
      <c r="AP130" s="1"/>
    </row>
    <row r="131" spans="3:42" x14ac:dyDescent="0.25">
      <c r="AP131" s="1"/>
    </row>
    <row r="132" spans="3:42" x14ac:dyDescent="0.25">
      <c r="AP132" s="1"/>
    </row>
    <row r="133" spans="3:42" x14ac:dyDescent="0.25">
      <c r="AP133" s="1"/>
    </row>
    <row r="134" spans="3:42" x14ac:dyDescent="0.25">
      <c r="AP134" s="1"/>
    </row>
    <row r="135" spans="3:42" x14ac:dyDescent="0.25">
      <c r="AP135" s="1"/>
    </row>
    <row r="136" spans="3:42" x14ac:dyDescent="0.25">
      <c r="AP136" s="1"/>
    </row>
    <row r="137" spans="3:42" x14ac:dyDescent="0.25">
      <c r="AP137" s="1"/>
    </row>
    <row r="138" spans="3:42" x14ac:dyDescent="0.25">
      <c r="AP138" s="1"/>
    </row>
    <row r="139" spans="3:42" x14ac:dyDescent="0.25">
      <c r="AP139" s="1"/>
    </row>
    <row r="140" spans="3:42" x14ac:dyDescent="0.25">
      <c r="AP140" s="1"/>
    </row>
    <row r="141" spans="3:42" x14ac:dyDescent="0.25">
      <c r="AP141" s="1"/>
    </row>
    <row r="142" spans="3:42" x14ac:dyDescent="0.25">
      <c r="AP142" s="1"/>
    </row>
    <row r="143" spans="3:42" x14ac:dyDescent="0.25">
      <c r="AP143" s="1"/>
    </row>
    <row r="144" spans="3:42" x14ac:dyDescent="0.25">
      <c r="AP144" s="1"/>
    </row>
    <row r="145" spans="42:64" x14ac:dyDescent="0.25">
      <c r="AP145" s="1"/>
    </row>
    <row r="146" spans="42:64" x14ac:dyDescent="0.25">
      <c r="AP146" s="1"/>
      <c r="BL146" s="154"/>
    </row>
    <row r="147" spans="42:64" x14ac:dyDescent="0.25">
      <c r="AP147" s="1"/>
    </row>
    <row r="148" spans="42:64" x14ac:dyDescent="0.25">
      <c r="AP148" s="1"/>
    </row>
    <row r="149" spans="42:64" x14ac:dyDescent="0.25">
      <c r="AP149" s="1"/>
    </row>
    <row r="150" spans="42:64" x14ac:dyDescent="0.25">
      <c r="AP150" s="1"/>
    </row>
    <row r="151" spans="42:64" x14ac:dyDescent="0.25">
      <c r="AP151" s="1"/>
    </row>
    <row r="152" spans="42:64" x14ac:dyDescent="0.25">
      <c r="AP152" s="1"/>
    </row>
    <row r="153" spans="42:64" x14ac:dyDescent="0.25">
      <c r="AP153" s="1"/>
    </row>
    <row r="154" spans="42:64" x14ac:dyDescent="0.25">
      <c r="AP154" s="1"/>
    </row>
    <row r="155" spans="42:64" x14ac:dyDescent="0.25">
      <c r="AP155" s="1"/>
    </row>
    <row r="156" spans="42:64" x14ac:dyDescent="0.25">
      <c r="AP156" s="1"/>
    </row>
    <row r="157" spans="42:64" x14ac:dyDescent="0.25">
      <c r="AP157" s="1"/>
    </row>
    <row r="158" spans="42:64" x14ac:dyDescent="0.25">
      <c r="AP158" s="1"/>
    </row>
    <row r="159" spans="42:64" x14ac:dyDescent="0.25">
      <c r="AP159" s="1"/>
    </row>
    <row r="160" spans="42:64" x14ac:dyDescent="0.25">
      <c r="AP160" s="1"/>
    </row>
    <row r="161" spans="42:42" x14ac:dyDescent="0.25">
      <c r="AP161" s="1"/>
    </row>
    <row r="162" spans="42:42" x14ac:dyDescent="0.25">
      <c r="AP162" s="1"/>
    </row>
    <row r="163" spans="42:42" x14ac:dyDescent="0.25">
      <c r="AP163" s="1"/>
    </row>
    <row r="164" spans="42:42" x14ac:dyDescent="0.25">
      <c r="AP164" s="1"/>
    </row>
    <row r="165" spans="42:42" x14ac:dyDescent="0.25">
      <c r="AP165" s="1"/>
    </row>
    <row r="166" spans="42:42" x14ac:dyDescent="0.25">
      <c r="AP166" s="1"/>
    </row>
    <row r="167" spans="42:42" x14ac:dyDescent="0.25">
      <c r="AP167" s="1"/>
    </row>
    <row r="168" spans="42:42" x14ac:dyDescent="0.25">
      <c r="AP168" s="1"/>
    </row>
    <row r="169" spans="42:42" x14ac:dyDescent="0.25">
      <c r="AP169" s="1"/>
    </row>
    <row r="170" spans="42:42" x14ac:dyDescent="0.25">
      <c r="AP170" s="1"/>
    </row>
    <row r="171" spans="42:42" x14ac:dyDescent="0.25">
      <c r="AP171" s="1"/>
    </row>
    <row r="172" spans="42:42" x14ac:dyDescent="0.25">
      <c r="AP172" s="1"/>
    </row>
    <row r="173" spans="42:42" x14ac:dyDescent="0.25">
      <c r="AP173" s="1"/>
    </row>
    <row r="174" spans="42:42" x14ac:dyDescent="0.25">
      <c r="AP174" s="1"/>
    </row>
    <row r="175" spans="42:42" x14ac:dyDescent="0.25">
      <c r="AP175" s="1"/>
    </row>
    <row r="176" spans="42:42" x14ac:dyDescent="0.25">
      <c r="AP176" s="1"/>
    </row>
    <row r="177" spans="42:42" x14ac:dyDescent="0.25">
      <c r="AP177" s="1"/>
    </row>
    <row r="178" spans="42:42" x14ac:dyDescent="0.25">
      <c r="AP178" s="1"/>
    </row>
    <row r="179" spans="42:42" x14ac:dyDescent="0.25">
      <c r="AP179" s="1"/>
    </row>
    <row r="180" spans="42:42" x14ac:dyDescent="0.25">
      <c r="AP180" s="1"/>
    </row>
    <row r="181" spans="42:42" x14ac:dyDescent="0.25">
      <c r="AP181" s="1"/>
    </row>
    <row r="182" spans="42:42" x14ac:dyDescent="0.25">
      <c r="AP182" s="1"/>
    </row>
    <row r="183" spans="42:42" x14ac:dyDescent="0.25">
      <c r="AP183" s="1"/>
    </row>
    <row r="184" spans="42:42" x14ac:dyDescent="0.25">
      <c r="AP184" s="1"/>
    </row>
    <row r="185" spans="42:42" x14ac:dyDescent="0.25">
      <c r="AP185" s="1"/>
    </row>
    <row r="186" spans="42:42" x14ac:dyDescent="0.25">
      <c r="AP186" s="1"/>
    </row>
    <row r="187" spans="42:42" x14ac:dyDescent="0.25">
      <c r="AP187" s="1"/>
    </row>
    <row r="188" spans="42:42" x14ac:dyDescent="0.25">
      <c r="AP188" s="1"/>
    </row>
    <row r="189" spans="42:42" x14ac:dyDescent="0.25">
      <c r="AP189" s="1"/>
    </row>
    <row r="190" spans="42:42" x14ac:dyDescent="0.25">
      <c r="AP190" s="1"/>
    </row>
    <row r="191" spans="42:42" x14ac:dyDescent="0.25">
      <c r="AP191" s="1"/>
    </row>
    <row r="192" spans="42:42" x14ac:dyDescent="0.25">
      <c r="AP192" s="1"/>
    </row>
    <row r="193" spans="42:42" x14ac:dyDescent="0.25">
      <c r="AP193" s="1"/>
    </row>
    <row r="194" spans="42:42" x14ac:dyDescent="0.25">
      <c r="AP194" s="1"/>
    </row>
    <row r="195" spans="42:42" x14ac:dyDescent="0.25">
      <c r="AP195" s="1"/>
    </row>
    <row r="196" spans="42:42" x14ac:dyDescent="0.25">
      <c r="AP196" s="1"/>
    </row>
    <row r="197" spans="42:42" x14ac:dyDescent="0.25">
      <c r="AP197" s="1"/>
    </row>
    <row r="198" spans="42:42" x14ac:dyDescent="0.25">
      <c r="AP198" s="1"/>
    </row>
    <row r="199" spans="42:42" x14ac:dyDescent="0.25">
      <c r="AP199" s="1"/>
    </row>
    <row r="200" spans="42:42" x14ac:dyDescent="0.25">
      <c r="AP200" s="1"/>
    </row>
    <row r="201" spans="42:42" x14ac:dyDescent="0.25">
      <c r="AP201" s="1"/>
    </row>
    <row r="202" spans="42:42" x14ac:dyDescent="0.25">
      <c r="AP202" s="1"/>
    </row>
    <row r="203" spans="42:42" x14ac:dyDescent="0.25">
      <c r="AP203" s="1"/>
    </row>
    <row r="204" spans="42:42" x14ac:dyDescent="0.25">
      <c r="AP204" s="1"/>
    </row>
    <row r="205" spans="42:42" x14ac:dyDescent="0.25">
      <c r="AP205" s="1"/>
    </row>
    <row r="206" spans="42:42" x14ac:dyDescent="0.25">
      <c r="AP206" s="1"/>
    </row>
    <row r="207" spans="42:42" x14ac:dyDescent="0.25">
      <c r="AP207" s="1"/>
    </row>
    <row r="208" spans="42:42" x14ac:dyDescent="0.25">
      <c r="AP208" s="1"/>
    </row>
    <row r="209" spans="42:42" x14ac:dyDescent="0.25">
      <c r="AP209" s="1"/>
    </row>
    <row r="210" spans="42:42" x14ac:dyDescent="0.25">
      <c r="AP210" s="1"/>
    </row>
    <row r="211" spans="42:42" x14ac:dyDescent="0.25">
      <c r="AP211" s="1"/>
    </row>
    <row r="212" spans="42:42" x14ac:dyDescent="0.25">
      <c r="AP212" s="1"/>
    </row>
    <row r="213" spans="42:42" x14ac:dyDescent="0.25">
      <c r="AP213" s="1"/>
    </row>
    <row r="214" spans="42:42" x14ac:dyDescent="0.25">
      <c r="AP214" s="1"/>
    </row>
    <row r="215" spans="42:42" x14ac:dyDescent="0.25">
      <c r="AP215" s="1"/>
    </row>
    <row r="216" spans="42:42" x14ac:dyDescent="0.25">
      <c r="AP216" s="1"/>
    </row>
    <row r="217" spans="42:42" x14ac:dyDescent="0.25">
      <c r="AP217" s="1"/>
    </row>
    <row r="218" spans="42:42" x14ac:dyDescent="0.25">
      <c r="AP218" s="1"/>
    </row>
    <row r="219" spans="42:42" x14ac:dyDescent="0.25">
      <c r="AP219" s="1"/>
    </row>
    <row r="220" spans="42:42" x14ac:dyDescent="0.25">
      <c r="AP220" s="1"/>
    </row>
    <row r="221" spans="42:42" x14ac:dyDescent="0.25">
      <c r="AP221" s="1"/>
    </row>
    <row r="222" spans="42:42" x14ac:dyDescent="0.25">
      <c r="AP222" s="1"/>
    </row>
    <row r="223" spans="42:42" x14ac:dyDescent="0.25">
      <c r="AP223" s="1"/>
    </row>
    <row r="224" spans="42:42" x14ac:dyDescent="0.25">
      <c r="AP224" s="1"/>
    </row>
    <row r="225" spans="42:42" x14ac:dyDescent="0.25">
      <c r="AP225" s="1"/>
    </row>
    <row r="226" spans="42:42" x14ac:dyDescent="0.25">
      <c r="AP226" s="1"/>
    </row>
    <row r="227" spans="42:42" x14ac:dyDescent="0.25">
      <c r="AP227" s="1"/>
    </row>
    <row r="228" spans="42:42" x14ac:dyDescent="0.25">
      <c r="AP228" s="1"/>
    </row>
    <row r="229" spans="42:42" x14ac:dyDescent="0.25">
      <c r="AP229" s="1"/>
    </row>
    <row r="230" spans="42:42" x14ac:dyDescent="0.25">
      <c r="AP230" s="1"/>
    </row>
    <row r="231" spans="42:42" x14ac:dyDescent="0.25">
      <c r="AP231" s="1"/>
    </row>
    <row r="232" spans="42:42" x14ac:dyDescent="0.25">
      <c r="AP232" s="1"/>
    </row>
    <row r="233" spans="42:42" x14ac:dyDescent="0.25">
      <c r="AP233" s="1"/>
    </row>
    <row r="234" spans="42:42" x14ac:dyDescent="0.25">
      <c r="AP234" s="1"/>
    </row>
    <row r="235" spans="42:42" x14ac:dyDescent="0.25">
      <c r="AP235" s="1"/>
    </row>
    <row r="236" spans="42:42" x14ac:dyDescent="0.25">
      <c r="AP236" s="1"/>
    </row>
    <row r="237" spans="42:42" x14ac:dyDescent="0.25">
      <c r="AP237" s="1"/>
    </row>
    <row r="238" spans="42:42" x14ac:dyDescent="0.25">
      <c r="AP238" s="1"/>
    </row>
    <row r="239" spans="42:42" x14ac:dyDescent="0.25">
      <c r="AP239" s="1"/>
    </row>
    <row r="240" spans="42:42" x14ac:dyDescent="0.25">
      <c r="AP240" s="1"/>
    </row>
    <row r="241" spans="42:42" x14ac:dyDescent="0.25">
      <c r="AP241" s="1"/>
    </row>
    <row r="242" spans="42:42" x14ac:dyDescent="0.25">
      <c r="AP242" s="1"/>
    </row>
    <row r="243" spans="42:42" x14ac:dyDescent="0.25">
      <c r="AP243" s="1"/>
    </row>
    <row r="244" spans="42:42" x14ac:dyDescent="0.25">
      <c r="AP244" s="1"/>
    </row>
    <row r="245" spans="42:42" x14ac:dyDescent="0.25">
      <c r="AP245" s="1"/>
    </row>
    <row r="246" spans="42:42" x14ac:dyDescent="0.25">
      <c r="AP246" s="1"/>
    </row>
    <row r="247" spans="42:42" x14ac:dyDescent="0.25">
      <c r="AP247" s="1"/>
    </row>
    <row r="248" spans="42:42" x14ac:dyDescent="0.25">
      <c r="AP248" s="1"/>
    </row>
    <row r="249" spans="42:42" x14ac:dyDescent="0.25">
      <c r="AP249" s="1"/>
    </row>
    <row r="250" spans="42:42" x14ac:dyDescent="0.25">
      <c r="AP250" s="1"/>
    </row>
    <row r="251" spans="42:42" x14ac:dyDescent="0.25">
      <c r="AP251" s="1"/>
    </row>
    <row r="252" spans="42:42" x14ac:dyDescent="0.25">
      <c r="AP252" s="1"/>
    </row>
    <row r="253" spans="42:42" x14ac:dyDescent="0.25">
      <c r="AP253" s="1"/>
    </row>
    <row r="254" spans="42:42" x14ac:dyDescent="0.25">
      <c r="AP254" s="1"/>
    </row>
    <row r="255" spans="42:42" x14ac:dyDescent="0.25">
      <c r="AP255" s="1"/>
    </row>
    <row r="256" spans="42:42" x14ac:dyDescent="0.25">
      <c r="AP256" s="1"/>
    </row>
    <row r="257" spans="42:42" x14ac:dyDescent="0.25">
      <c r="AP257" s="1"/>
    </row>
    <row r="258" spans="42:42" x14ac:dyDescent="0.25">
      <c r="AP258" s="1"/>
    </row>
    <row r="259" spans="42:42" x14ac:dyDescent="0.25">
      <c r="AP259" s="1"/>
    </row>
    <row r="260" spans="42:42" x14ac:dyDescent="0.25">
      <c r="AP260" s="1"/>
    </row>
    <row r="261" spans="42:42" x14ac:dyDescent="0.25">
      <c r="AP261" s="1"/>
    </row>
    <row r="262" spans="42:42" x14ac:dyDescent="0.25">
      <c r="AP262" s="1"/>
    </row>
    <row r="263" spans="42:42" x14ac:dyDescent="0.25">
      <c r="AP263" s="1"/>
    </row>
    <row r="264" spans="42:42" x14ac:dyDescent="0.25">
      <c r="AP264" s="1"/>
    </row>
    <row r="265" spans="42:42" x14ac:dyDescent="0.25">
      <c r="AP265" s="1"/>
    </row>
    <row r="266" spans="42:42" x14ac:dyDescent="0.25">
      <c r="AP266" s="1"/>
    </row>
    <row r="267" spans="42:42" x14ac:dyDescent="0.25">
      <c r="AP267" s="1"/>
    </row>
    <row r="268" spans="42:42" x14ac:dyDescent="0.25">
      <c r="AP268" s="1"/>
    </row>
    <row r="269" spans="42:42" x14ac:dyDescent="0.25">
      <c r="AP269" s="1"/>
    </row>
    <row r="270" spans="42:42" x14ac:dyDescent="0.25">
      <c r="AP270" s="1"/>
    </row>
    <row r="271" spans="42:42" x14ac:dyDescent="0.25">
      <c r="AP271" s="1"/>
    </row>
    <row r="272" spans="42:42" x14ac:dyDescent="0.25">
      <c r="AP272" s="1"/>
    </row>
    <row r="273" spans="42:42" x14ac:dyDescent="0.25">
      <c r="AP273" s="1"/>
    </row>
    <row r="274" spans="42:42" x14ac:dyDescent="0.25">
      <c r="AP274" s="1"/>
    </row>
    <row r="275" spans="42:42" x14ac:dyDescent="0.25">
      <c r="AP275" s="1"/>
    </row>
    <row r="276" spans="42:42" x14ac:dyDescent="0.25">
      <c r="AP276" s="1"/>
    </row>
    <row r="277" spans="42:42" x14ac:dyDescent="0.25">
      <c r="AP277" s="1"/>
    </row>
    <row r="278" spans="42:42" x14ac:dyDescent="0.25">
      <c r="AP278" s="1"/>
    </row>
    <row r="279" spans="42:42" x14ac:dyDescent="0.25">
      <c r="AP279" s="1"/>
    </row>
    <row r="280" spans="42:42" x14ac:dyDescent="0.25">
      <c r="AP280" s="1"/>
    </row>
    <row r="281" spans="42:42" x14ac:dyDescent="0.25">
      <c r="AP281" s="1"/>
    </row>
    <row r="282" spans="42:42" x14ac:dyDescent="0.25">
      <c r="AP282" s="1"/>
    </row>
    <row r="283" spans="42:42" x14ac:dyDescent="0.25">
      <c r="AP283" s="1"/>
    </row>
    <row r="284" spans="42:42" x14ac:dyDescent="0.25">
      <c r="AP284" s="1"/>
    </row>
    <row r="285" spans="42:42" x14ac:dyDescent="0.25">
      <c r="AP285" s="1"/>
    </row>
    <row r="286" spans="42:42" x14ac:dyDescent="0.25">
      <c r="AP286" s="1"/>
    </row>
    <row r="287" spans="42:42" x14ac:dyDescent="0.25">
      <c r="AP287" s="1"/>
    </row>
    <row r="288" spans="42:42" x14ac:dyDescent="0.25">
      <c r="AP288" s="1"/>
    </row>
    <row r="289" spans="42:42" x14ac:dyDescent="0.25">
      <c r="AP289" s="1"/>
    </row>
    <row r="290" spans="42:42" x14ac:dyDescent="0.25">
      <c r="AP290" s="1"/>
    </row>
    <row r="291" spans="42:42" x14ac:dyDescent="0.25">
      <c r="AP291" s="1"/>
    </row>
    <row r="292" spans="42:42" x14ac:dyDescent="0.25">
      <c r="AP292" s="1"/>
    </row>
    <row r="293" spans="42:42" x14ac:dyDescent="0.25">
      <c r="AP293" s="1"/>
    </row>
    <row r="294" spans="42:42" x14ac:dyDescent="0.25">
      <c r="AP294" s="1"/>
    </row>
    <row r="295" spans="42:42" x14ac:dyDescent="0.25">
      <c r="AP295" s="1"/>
    </row>
    <row r="296" spans="42:42" x14ac:dyDescent="0.25">
      <c r="AP296" s="1"/>
    </row>
    <row r="297" spans="42:42" x14ac:dyDescent="0.25">
      <c r="AP297" s="1"/>
    </row>
    <row r="298" spans="42:42" x14ac:dyDescent="0.25">
      <c r="AP298" s="1"/>
    </row>
    <row r="299" spans="42:42" x14ac:dyDescent="0.25">
      <c r="AP299" s="1"/>
    </row>
    <row r="300" spans="42:42" x14ac:dyDescent="0.25">
      <c r="AP300" s="1"/>
    </row>
    <row r="301" spans="42:42" x14ac:dyDescent="0.25">
      <c r="AP301" s="1"/>
    </row>
    <row r="302" spans="42:42" x14ac:dyDescent="0.25">
      <c r="AP302" s="1"/>
    </row>
    <row r="303" spans="42:42" x14ac:dyDescent="0.25">
      <c r="AP303" s="1"/>
    </row>
    <row r="304" spans="42:42" x14ac:dyDescent="0.25">
      <c r="AP304" s="1"/>
    </row>
    <row r="305" spans="42:42" x14ac:dyDescent="0.25">
      <c r="AP305" s="1"/>
    </row>
    <row r="306" spans="42:42" x14ac:dyDescent="0.25">
      <c r="AP306" s="1"/>
    </row>
    <row r="307" spans="42:42" x14ac:dyDescent="0.25">
      <c r="AP307" s="1"/>
    </row>
    <row r="308" spans="42:42" x14ac:dyDescent="0.25">
      <c r="AP308" s="1"/>
    </row>
    <row r="309" spans="42:42" x14ac:dyDescent="0.25">
      <c r="AP309" s="1"/>
    </row>
    <row r="310" spans="42:42" x14ac:dyDescent="0.25">
      <c r="AP310" s="1"/>
    </row>
    <row r="311" spans="42:42" x14ac:dyDescent="0.25">
      <c r="AP311" s="1"/>
    </row>
    <row r="312" spans="42:42" x14ac:dyDescent="0.25">
      <c r="AP312" s="1"/>
    </row>
    <row r="313" spans="42:42" x14ac:dyDescent="0.25">
      <c r="AP313" s="1"/>
    </row>
    <row r="314" spans="42:42" x14ac:dyDescent="0.25">
      <c r="AP314" s="1"/>
    </row>
    <row r="315" spans="42:42" x14ac:dyDescent="0.25">
      <c r="AP315" s="1"/>
    </row>
    <row r="316" spans="42:42" x14ac:dyDescent="0.25">
      <c r="AP316" s="1"/>
    </row>
    <row r="317" spans="42:42" x14ac:dyDescent="0.25">
      <c r="AP317" s="1"/>
    </row>
    <row r="318" spans="42:42" x14ac:dyDescent="0.25">
      <c r="AP318" s="1"/>
    </row>
    <row r="319" spans="42:42" x14ac:dyDescent="0.25">
      <c r="AP319" s="1"/>
    </row>
    <row r="320" spans="42:42" x14ac:dyDescent="0.25">
      <c r="AP320" s="1"/>
    </row>
    <row r="321" spans="42:42" x14ac:dyDescent="0.25">
      <c r="AP321" s="1"/>
    </row>
    <row r="322" spans="42:42" x14ac:dyDescent="0.25">
      <c r="AP322" s="1"/>
    </row>
    <row r="323" spans="42:42" x14ac:dyDescent="0.25">
      <c r="AP323" s="1"/>
    </row>
    <row r="324" spans="42:42" x14ac:dyDescent="0.25">
      <c r="AP324" s="1"/>
    </row>
    <row r="325" spans="42:42" x14ac:dyDescent="0.25">
      <c r="AP325" s="1"/>
    </row>
    <row r="326" spans="42:42" x14ac:dyDescent="0.25">
      <c r="AP326" s="1"/>
    </row>
    <row r="327" spans="42:42" x14ac:dyDescent="0.25">
      <c r="AP327" s="1"/>
    </row>
    <row r="328" spans="42:42" x14ac:dyDescent="0.25">
      <c r="AP328" s="1"/>
    </row>
    <row r="329" spans="42:42" x14ac:dyDescent="0.25">
      <c r="AP329" s="1"/>
    </row>
    <row r="330" spans="42:42" x14ac:dyDescent="0.25">
      <c r="AP330" s="1"/>
    </row>
    <row r="331" spans="42:42" x14ac:dyDescent="0.25">
      <c r="AP331" s="1"/>
    </row>
    <row r="332" spans="42:42" x14ac:dyDescent="0.25">
      <c r="AP332" s="1"/>
    </row>
    <row r="333" spans="42:42" x14ac:dyDescent="0.25">
      <c r="AP333" s="1"/>
    </row>
    <row r="334" spans="42:42" x14ac:dyDescent="0.25">
      <c r="AP334" s="1"/>
    </row>
    <row r="335" spans="42:42" x14ac:dyDescent="0.25">
      <c r="AP335" s="1"/>
    </row>
    <row r="336" spans="42:42" x14ac:dyDescent="0.25">
      <c r="AP336" s="1"/>
    </row>
    <row r="337" spans="42:42" x14ac:dyDescent="0.25">
      <c r="AP337" s="1"/>
    </row>
    <row r="338" spans="42:42" x14ac:dyDescent="0.25">
      <c r="AP338" s="1"/>
    </row>
    <row r="339" spans="42:42" x14ac:dyDescent="0.25">
      <c r="AP339" s="1"/>
    </row>
    <row r="340" spans="42:42" x14ac:dyDescent="0.25">
      <c r="AP340" s="1"/>
    </row>
    <row r="341" spans="42:42" x14ac:dyDescent="0.25">
      <c r="AP341" s="1"/>
    </row>
    <row r="342" spans="42:42" x14ac:dyDescent="0.25">
      <c r="AP342" s="1"/>
    </row>
    <row r="343" spans="42:42" x14ac:dyDescent="0.25">
      <c r="AP343" s="1"/>
    </row>
    <row r="344" spans="42:42" x14ac:dyDescent="0.25">
      <c r="AP344" s="1"/>
    </row>
    <row r="345" spans="42:42" x14ac:dyDescent="0.25">
      <c r="AP345" s="1"/>
    </row>
    <row r="346" spans="42:42" x14ac:dyDescent="0.25">
      <c r="AP346" s="1"/>
    </row>
    <row r="347" spans="42:42" x14ac:dyDescent="0.25">
      <c r="AP347" s="1"/>
    </row>
    <row r="348" spans="42:42" x14ac:dyDescent="0.25">
      <c r="AP348" s="1"/>
    </row>
    <row r="349" spans="42:42" x14ac:dyDescent="0.25">
      <c r="AP349" s="1"/>
    </row>
    <row r="350" spans="42:42" x14ac:dyDescent="0.25">
      <c r="AP350" s="1"/>
    </row>
    <row r="351" spans="42:42" x14ac:dyDescent="0.25">
      <c r="AP351" s="1"/>
    </row>
    <row r="352" spans="42:42" x14ac:dyDescent="0.25">
      <c r="AP352" s="1"/>
    </row>
    <row r="353" spans="42:42" x14ac:dyDescent="0.25">
      <c r="AP353" s="1"/>
    </row>
    <row r="354" spans="42:42" x14ac:dyDescent="0.25">
      <c r="AP354" s="1"/>
    </row>
    <row r="355" spans="42:42" x14ac:dyDescent="0.25">
      <c r="AP355" s="1"/>
    </row>
    <row r="356" spans="42:42" x14ac:dyDescent="0.25">
      <c r="AP356" s="1"/>
    </row>
    <row r="357" spans="42:42" x14ac:dyDescent="0.25">
      <c r="AP357" s="1"/>
    </row>
    <row r="358" spans="42:42" x14ac:dyDescent="0.25">
      <c r="AP358" s="1"/>
    </row>
    <row r="359" spans="42:42" x14ac:dyDescent="0.25">
      <c r="AP359" s="1"/>
    </row>
    <row r="360" spans="42:42" x14ac:dyDescent="0.25">
      <c r="AP360" s="1"/>
    </row>
    <row r="361" spans="42:42" x14ac:dyDescent="0.25">
      <c r="AP361" s="1"/>
    </row>
    <row r="362" spans="42:42" x14ac:dyDescent="0.25">
      <c r="AP362" s="1"/>
    </row>
    <row r="363" spans="42:42" x14ac:dyDescent="0.25">
      <c r="AP363" s="1"/>
    </row>
    <row r="364" spans="42:42" x14ac:dyDescent="0.25">
      <c r="AP364" s="1"/>
    </row>
    <row r="365" spans="42:42" x14ac:dyDescent="0.25">
      <c r="AP365" s="1"/>
    </row>
    <row r="366" spans="42:42" x14ac:dyDescent="0.25">
      <c r="AP366" s="1"/>
    </row>
    <row r="367" spans="42:42" x14ac:dyDescent="0.25">
      <c r="AP367" s="1"/>
    </row>
    <row r="368" spans="42:42" x14ac:dyDescent="0.25">
      <c r="AP368" s="1"/>
    </row>
    <row r="369" spans="42:42" x14ac:dyDescent="0.25">
      <c r="AP369" s="1"/>
    </row>
    <row r="370" spans="42:42" x14ac:dyDescent="0.25">
      <c r="AP370" s="1"/>
    </row>
    <row r="371" spans="42:42" x14ac:dyDescent="0.25">
      <c r="AP371" s="1"/>
    </row>
    <row r="372" spans="42:42" x14ac:dyDescent="0.25">
      <c r="AP372" s="1"/>
    </row>
    <row r="373" spans="42:42" x14ac:dyDescent="0.25">
      <c r="AP373" s="1"/>
    </row>
    <row r="374" spans="42:42" x14ac:dyDescent="0.25">
      <c r="AP374" s="1"/>
    </row>
    <row r="375" spans="42:42" x14ac:dyDescent="0.25">
      <c r="AP375" s="1"/>
    </row>
    <row r="376" spans="42:42" x14ac:dyDescent="0.25">
      <c r="AP376" s="1"/>
    </row>
    <row r="377" spans="42:42" x14ac:dyDescent="0.25">
      <c r="AP377" s="1"/>
    </row>
    <row r="378" spans="42:42" x14ac:dyDescent="0.25">
      <c r="AP378" s="1"/>
    </row>
    <row r="379" spans="42:42" x14ac:dyDescent="0.25">
      <c r="AP379" s="1"/>
    </row>
    <row r="380" spans="42:42" x14ac:dyDescent="0.25">
      <c r="AP380" s="1"/>
    </row>
    <row r="381" spans="42:42" x14ac:dyDescent="0.25">
      <c r="AP381" s="1"/>
    </row>
    <row r="382" spans="42:42" x14ac:dyDescent="0.25">
      <c r="AP382" s="1"/>
    </row>
    <row r="383" spans="42:42" x14ac:dyDescent="0.25">
      <c r="AP383" s="1"/>
    </row>
    <row r="384" spans="42:42" x14ac:dyDescent="0.25">
      <c r="AP384" s="1"/>
    </row>
    <row r="385" spans="42:42" x14ac:dyDescent="0.25">
      <c r="AP385" s="1"/>
    </row>
    <row r="386" spans="42:42" x14ac:dyDescent="0.25">
      <c r="AP386" s="1"/>
    </row>
    <row r="387" spans="42:42" x14ac:dyDescent="0.25">
      <c r="AP387" s="1"/>
    </row>
    <row r="388" spans="42:42" x14ac:dyDescent="0.25">
      <c r="AP388" s="1"/>
    </row>
    <row r="389" spans="42:42" x14ac:dyDescent="0.25">
      <c r="AP389" s="1"/>
    </row>
    <row r="390" spans="42:42" x14ac:dyDescent="0.25">
      <c r="AP390" s="1"/>
    </row>
    <row r="391" spans="42:42" x14ac:dyDescent="0.25">
      <c r="AP391" s="1"/>
    </row>
    <row r="392" spans="42:42" x14ac:dyDescent="0.25">
      <c r="AP392" s="1"/>
    </row>
    <row r="393" spans="42:42" x14ac:dyDescent="0.25">
      <c r="AP393" s="1"/>
    </row>
    <row r="394" spans="42:42" x14ac:dyDescent="0.25">
      <c r="AP394" s="1"/>
    </row>
    <row r="395" spans="42:42" x14ac:dyDescent="0.25">
      <c r="AP395" s="1"/>
    </row>
    <row r="396" spans="42:42" x14ac:dyDescent="0.25">
      <c r="AP396" s="1"/>
    </row>
    <row r="397" spans="42:42" x14ac:dyDescent="0.25">
      <c r="AP397" s="1"/>
    </row>
    <row r="398" spans="42:42" x14ac:dyDescent="0.25">
      <c r="AP398" s="1"/>
    </row>
    <row r="399" spans="42:42" x14ac:dyDescent="0.25">
      <c r="AP399" s="1"/>
    </row>
    <row r="400" spans="42:42" x14ac:dyDescent="0.25">
      <c r="AP400" s="1"/>
    </row>
    <row r="401" spans="42:42" x14ac:dyDescent="0.25">
      <c r="AP401" s="1"/>
    </row>
    <row r="402" spans="42:42" x14ac:dyDescent="0.25">
      <c r="AP402" s="1"/>
    </row>
    <row r="403" spans="42:42" x14ac:dyDescent="0.25">
      <c r="AP403" s="1"/>
    </row>
    <row r="404" spans="42:42" x14ac:dyDescent="0.25">
      <c r="AP404" s="1"/>
    </row>
    <row r="405" spans="42:42" x14ac:dyDescent="0.25">
      <c r="AP405" s="1"/>
    </row>
    <row r="406" spans="42:42" x14ac:dyDescent="0.25">
      <c r="AP406" s="1"/>
    </row>
    <row r="407" spans="42:42" x14ac:dyDescent="0.25">
      <c r="AP407" s="1"/>
    </row>
    <row r="408" spans="42:42" x14ac:dyDescent="0.25">
      <c r="AP408" s="1"/>
    </row>
    <row r="409" spans="42:42" x14ac:dyDescent="0.25">
      <c r="AP409" s="1"/>
    </row>
    <row r="410" spans="42:42" x14ac:dyDescent="0.25">
      <c r="AP410" s="1"/>
    </row>
    <row r="411" spans="42:42" x14ac:dyDescent="0.25">
      <c r="AP411" s="1"/>
    </row>
    <row r="412" spans="42:42" x14ac:dyDescent="0.25">
      <c r="AP412" s="1"/>
    </row>
    <row r="413" spans="42:42" x14ac:dyDescent="0.25">
      <c r="AP413" s="1"/>
    </row>
    <row r="414" spans="42:42" x14ac:dyDescent="0.25">
      <c r="AP414" s="1"/>
    </row>
    <row r="415" spans="42:42" x14ac:dyDescent="0.25">
      <c r="AP415" s="1"/>
    </row>
    <row r="416" spans="42:42" x14ac:dyDescent="0.25">
      <c r="AP416" s="1"/>
    </row>
    <row r="417" spans="42:42" x14ac:dyDescent="0.25">
      <c r="AP417" s="1"/>
    </row>
    <row r="418" spans="42:42" x14ac:dyDescent="0.25">
      <c r="AP418" s="1"/>
    </row>
    <row r="419" spans="42:42" x14ac:dyDescent="0.25">
      <c r="AP419" s="1"/>
    </row>
    <row r="420" spans="42:42" x14ac:dyDescent="0.25">
      <c r="AP420" s="1"/>
    </row>
    <row r="421" spans="42:42" x14ac:dyDescent="0.25">
      <c r="AP421" s="1"/>
    </row>
    <row r="422" spans="42:42" x14ac:dyDescent="0.25">
      <c r="AP422" s="1"/>
    </row>
    <row r="423" spans="42:42" x14ac:dyDescent="0.25">
      <c r="AP423" s="1"/>
    </row>
    <row r="424" spans="42:42" x14ac:dyDescent="0.25">
      <c r="AP424" s="1"/>
    </row>
    <row r="425" spans="42:42" x14ac:dyDescent="0.25">
      <c r="AP425" s="1"/>
    </row>
    <row r="426" spans="42:42" x14ac:dyDescent="0.25">
      <c r="AP426" s="1"/>
    </row>
    <row r="427" spans="42:42" x14ac:dyDescent="0.25">
      <c r="AP427" s="1"/>
    </row>
    <row r="428" spans="42:42" x14ac:dyDescent="0.25">
      <c r="AP428" s="1"/>
    </row>
    <row r="429" spans="42:42" x14ac:dyDescent="0.25">
      <c r="AP429" s="1"/>
    </row>
    <row r="430" spans="42:42" x14ac:dyDescent="0.25">
      <c r="AP430" s="1"/>
    </row>
    <row r="431" spans="42:42" x14ac:dyDescent="0.25">
      <c r="AP431" s="1"/>
    </row>
    <row r="432" spans="42:42" x14ac:dyDescent="0.25">
      <c r="AP432" s="1"/>
    </row>
    <row r="433" spans="42:42" x14ac:dyDescent="0.25">
      <c r="AP433" s="1"/>
    </row>
    <row r="434" spans="42:42" x14ac:dyDescent="0.25">
      <c r="AP434" s="1"/>
    </row>
    <row r="435" spans="42:42" x14ac:dyDescent="0.25">
      <c r="AP435" s="1"/>
    </row>
    <row r="436" spans="42:42" x14ac:dyDescent="0.25">
      <c r="AP436" s="1"/>
    </row>
    <row r="437" spans="42:42" x14ac:dyDescent="0.25">
      <c r="AP437" s="1"/>
    </row>
    <row r="438" spans="42:42" x14ac:dyDescent="0.25">
      <c r="AP438" s="1"/>
    </row>
    <row r="439" spans="42:42" x14ac:dyDescent="0.25">
      <c r="AP439" s="1"/>
    </row>
    <row r="440" spans="42:42" x14ac:dyDescent="0.25">
      <c r="AP440" s="1"/>
    </row>
    <row r="441" spans="42:42" x14ac:dyDescent="0.25">
      <c r="AP441" s="1"/>
    </row>
    <row r="442" spans="42:42" x14ac:dyDescent="0.25">
      <c r="AP442" s="1"/>
    </row>
    <row r="443" spans="42:42" x14ac:dyDescent="0.25">
      <c r="AP443" s="1"/>
    </row>
    <row r="444" spans="42:42" x14ac:dyDescent="0.25">
      <c r="AP444" s="1"/>
    </row>
    <row r="445" spans="42:42" x14ac:dyDescent="0.25">
      <c r="AP445" s="1"/>
    </row>
    <row r="446" spans="42:42" x14ac:dyDescent="0.25">
      <c r="AP446" s="1"/>
    </row>
    <row r="447" spans="42:42" x14ac:dyDescent="0.25">
      <c r="AP447" s="1"/>
    </row>
    <row r="448" spans="42:42" x14ac:dyDescent="0.25">
      <c r="AP448" s="1"/>
    </row>
    <row r="449" spans="42:42" x14ac:dyDescent="0.25">
      <c r="AP449" s="1"/>
    </row>
    <row r="450" spans="42:42" x14ac:dyDescent="0.25">
      <c r="AP450" s="1"/>
    </row>
    <row r="451" spans="42:42" x14ac:dyDescent="0.25">
      <c r="AP451" s="1"/>
    </row>
    <row r="452" spans="42:42" x14ac:dyDescent="0.25">
      <c r="AP452" s="1"/>
    </row>
    <row r="453" spans="42:42" x14ac:dyDescent="0.25">
      <c r="AP453" s="1"/>
    </row>
    <row r="454" spans="42:42" x14ac:dyDescent="0.25">
      <c r="AP454" s="1"/>
    </row>
    <row r="455" spans="42:42" x14ac:dyDescent="0.25">
      <c r="AP455" s="1"/>
    </row>
    <row r="456" spans="42:42" x14ac:dyDescent="0.25">
      <c r="AP456" s="1"/>
    </row>
    <row r="457" spans="42:42" x14ac:dyDescent="0.25">
      <c r="AP457" s="1"/>
    </row>
    <row r="458" spans="42:42" x14ac:dyDescent="0.25">
      <c r="AP458" s="1"/>
    </row>
    <row r="459" spans="42:42" x14ac:dyDescent="0.25">
      <c r="AP459" s="1"/>
    </row>
    <row r="460" spans="42:42" x14ac:dyDescent="0.25">
      <c r="AP460" s="1"/>
    </row>
    <row r="461" spans="42:42" x14ac:dyDescent="0.25">
      <c r="AP461" s="1"/>
    </row>
    <row r="462" spans="42:42" x14ac:dyDescent="0.25">
      <c r="AP462" s="1"/>
    </row>
    <row r="463" spans="42:42" x14ac:dyDescent="0.25">
      <c r="AP463" s="1"/>
    </row>
    <row r="464" spans="42:42" x14ac:dyDescent="0.25">
      <c r="AP464" s="1"/>
    </row>
    <row r="465" spans="42:42" x14ac:dyDescent="0.25">
      <c r="AP465" s="1"/>
    </row>
    <row r="466" spans="42:42" x14ac:dyDescent="0.25">
      <c r="AP466" s="1"/>
    </row>
    <row r="467" spans="42:42" x14ac:dyDescent="0.25">
      <c r="AP467" s="1"/>
    </row>
    <row r="468" spans="42:42" x14ac:dyDescent="0.25">
      <c r="AP468" s="1"/>
    </row>
    <row r="469" spans="42:42" x14ac:dyDescent="0.25">
      <c r="AP469" s="1"/>
    </row>
    <row r="470" spans="42:42" x14ac:dyDescent="0.25">
      <c r="AP470" s="1"/>
    </row>
    <row r="471" spans="42:42" x14ac:dyDescent="0.25">
      <c r="AP471" s="1"/>
    </row>
    <row r="472" spans="42:42" x14ac:dyDescent="0.25">
      <c r="AP472" s="1"/>
    </row>
    <row r="473" spans="42:42" x14ac:dyDescent="0.25">
      <c r="AP473" s="1"/>
    </row>
    <row r="474" spans="42:42" x14ac:dyDescent="0.25">
      <c r="AP474" s="1"/>
    </row>
    <row r="475" spans="42:42" x14ac:dyDescent="0.25">
      <c r="AP475" s="1"/>
    </row>
    <row r="476" spans="42:42" x14ac:dyDescent="0.25">
      <c r="AP476" s="1"/>
    </row>
    <row r="477" spans="42:42" x14ac:dyDescent="0.25">
      <c r="AP477" s="1"/>
    </row>
    <row r="478" spans="42:42" x14ac:dyDescent="0.25">
      <c r="AP478" s="1"/>
    </row>
    <row r="479" spans="42:42" x14ac:dyDescent="0.25">
      <c r="AP479" s="1"/>
    </row>
    <row r="480" spans="42:42" x14ac:dyDescent="0.25">
      <c r="AP480" s="1"/>
    </row>
    <row r="481" spans="42:42" x14ac:dyDescent="0.25">
      <c r="AP481" s="1"/>
    </row>
    <row r="482" spans="42:42" x14ac:dyDescent="0.25">
      <c r="AP482" s="1"/>
    </row>
    <row r="483" spans="42:42" x14ac:dyDescent="0.25">
      <c r="AP483" s="1"/>
    </row>
    <row r="484" spans="42:42" x14ac:dyDescent="0.25">
      <c r="AP484" s="1"/>
    </row>
    <row r="485" spans="42:42" x14ac:dyDescent="0.25">
      <c r="AP485" s="1"/>
    </row>
    <row r="486" spans="42:42" x14ac:dyDescent="0.25">
      <c r="AP486" s="1"/>
    </row>
    <row r="487" spans="42:42" x14ac:dyDescent="0.25">
      <c r="AP487" s="1"/>
    </row>
    <row r="488" spans="42:42" x14ac:dyDescent="0.25">
      <c r="AP488" s="1"/>
    </row>
    <row r="489" spans="42:42" x14ac:dyDescent="0.25">
      <c r="AP489" s="1"/>
    </row>
    <row r="490" spans="42:42" x14ac:dyDescent="0.25">
      <c r="AP490" s="1"/>
    </row>
    <row r="491" spans="42:42" x14ac:dyDescent="0.25">
      <c r="AP491" s="1"/>
    </row>
    <row r="492" spans="42:42" x14ac:dyDescent="0.25">
      <c r="AP492" s="1"/>
    </row>
    <row r="493" spans="42:42" x14ac:dyDescent="0.25">
      <c r="AP493" s="1"/>
    </row>
    <row r="494" spans="42:42" x14ac:dyDescent="0.25">
      <c r="AP494" s="1"/>
    </row>
    <row r="495" spans="42:42" x14ac:dyDescent="0.25">
      <c r="AP495" s="1"/>
    </row>
    <row r="496" spans="42:42" x14ac:dyDescent="0.25">
      <c r="AP496" s="1"/>
    </row>
    <row r="497" spans="42:42" x14ac:dyDescent="0.25">
      <c r="AP497" s="1"/>
    </row>
    <row r="498" spans="42:42" x14ac:dyDescent="0.25">
      <c r="AP498" s="1"/>
    </row>
    <row r="499" spans="42:42" x14ac:dyDescent="0.25">
      <c r="AP499" s="1"/>
    </row>
    <row r="500" spans="42:42" x14ac:dyDescent="0.25">
      <c r="AP500" s="1"/>
    </row>
    <row r="501" spans="42:42" x14ac:dyDescent="0.25">
      <c r="AP501" s="1"/>
    </row>
    <row r="502" spans="42:42" x14ac:dyDescent="0.25">
      <c r="AP502" s="1"/>
    </row>
    <row r="503" spans="42:42" x14ac:dyDescent="0.25">
      <c r="AP503" s="1"/>
    </row>
    <row r="504" spans="42:42" x14ac:dyDescent="0.25">
      <c r="AP504" s="1"/>
    </row>
    <row r="505" spans="42:42" x14ac:dyDescent="0.25">
      <c r="AP505" s="1"/>
    </row>
    <row r="506" spans="42:42" x14ac:dyDescent="0.25">
      <c r="AP506" s="1"/>
    </row>
    <row r="507" spans="42:42" x14ac:dyDescent="0.25">
      <c r="AP507" s="1"/>
    </row>
    <row r="508" spans="42:42" x14ac:dyDescent="0.25">
      <c r="AP508" s="1"/>
    </row>
    <row r="509" spans="42:42" x14ac:dyDescent="0.25">
      <c r="AP509" s="1"/>
    </row>
    <row r="510" spans="42:42" x14ac:dyDescent="0.25">
      <c r="AP510" s="1"/>
    </row>
    <row r="511" spans="42:42" x14ac:dyDescent="0.25">
      <c r="AP511" s="1"/>
    </row>
    <row r="512" spans="42:42" x14ac:dyDescent="0.25">
      <c r="AP512" s="1"/>
    </row>
    <row r="513" spans="42:42" x14ac:dyDescent="0.25">
      <c r="AP513" s="1"/>
    </row>
    <row r="514" spans="42:42" x14ac:dyDescent="0.25">
      <c r="AP514" s="1"/>
    </row>
    <row r="515" spans="42:42" x14ac:dyDescent="0.25">
      <c r="AP515" s="1"/>
    </row>
    <row r="516" spans="42:42" x14ac:dyDescent="0.25">
      <c r="AP516" s="1"/>
    </row>
    <row r="517" spans="42:42" x14ac:dyDescent="0.25">
      <c r="AP517" s="1"/>
    </row>
    <row r="518" spans="42:42" x14ac:dyDescent="0.25">
      <c r="AP518" s="1"/>
    </row>
    <row r="519" spans="42:42" x14ac:dyDescent="0.25">
      <c r="AP519" s="1"/>
    </row>
    <row r="520" spans="42:42" x14ac:dyDescent="0.25">
      <c r="AP520" s="1"/>
    </row>
    <row r="521" spans="42:42" x14ac:dyDescent="0.25">
      <c r="AP521" s="1"/>
    </row>
    <row r="522" spans="42:42" x14ac:dyDescent="0.25">
      <c r="AP522" s="1"/>
    </row>
    <row r="523" spans="42:42" x14ac:dyDescent="0.25">
      <c r="AP523" s="1"/>
    </row>
    <row r="524" spans="42:42" x14ac:dyDescent="0.25">
      <c r="AP524" s="1"/>
    </row>
    <row r="525" spans="42:42" x14ac:dyDescent="0.25">
      <c r="AP525" s="1"/>
    </row>
    <row r="526" spans="42:42" x14ac:dyDescent="0.25">
      <c r="AP526" s="1"/>
    </row>
    <row r="527" spans="42:42" x14ac:dyDescent="0.25">
      <c r="AP527" s="1"/>
    </row>
    <row r="528" spans="42:42" x14ac:dyDescent="0.25">
      <c r="AP528" s="1"/>
    </row>
    <row r="529" spans="42:42" x14ac:dyDescent="0.25">
      <c r="AP529" s="1"/>
    </row>
    <row r="530" spans="42:42" x14ac:dyDescent="0.25">
      <c r="AP530" s="1"/>
    </row>
    <row r="531" spans="42:42" x14ac:dyDescent="0.25">
      <c r="AP531" s="1"/>
    </row>
    <row r="532" spans="42:42" x14ac:dyDescent="0.25">
      <c r="AP532" s="1"/>
    </row>
    <row r="533" spans="42:42" x14ac:dyDescent="0.25">
      <c r="AP533" s="1"/>
    </row>
    <row r="534" spans="42:42" x14ac:dyDescent="0.25">
      <c r="AP534" s="1"/>
    </row>
    <row r="535" spans="42:42" x14ac:dyDescent="0.25">
      <c r="AP535" s="1"/>
    </row>
    <row r="536" spans="42:42" x14ac:dyDescent="0.25">
      <c r="AP536" s="1"/>
    </row>
    <row r="537" spans="42:42" x14ac:dyDescent="0.25">
      <c r="AP537" s="1"/>
    </row>
    <row r="538" spans="42:42" x14ac:dyDescent="0.25">
      <c r="AP538" s="1"/>
    </row>
    <row r="539" spans="42:42" x14ac:dyDescent="0.25">
      <c r="AP539" s="1"/>
    </row>
    <row r="540" spans="42:42" x14ac:dyDescent="0.25">
      <c r="AP540" s="1"/>
    </row>
    <row r="541" spans="42:42" x14ac:dyDescent="0.25">
      <c r="AP541" s="1"/>
    </row>
    <row r="542" spans="42:42" x14ac:dyDescent="0.25">
      <c r="AP542" s="1"/>
    </row>
    <row r="543" spans="42:42" x14ac:dyDescent="0.25">
      <c r="AP543" s="1"/>
    </row>
    <row r="544" spans="42:42" x14ac:dyDescent="0.25">
      <c r="AP544" s="1"/>
    </row>
    <row r="545" spans="42:42" x14ac:dyDescent="0.25">
      <c r="AP545" s="1"/>
    </row>
    <row r="546" spans="42:42" x14ac:dyDescent="0.25">
      <c r="AP546" s="1"/>
    </row>
    <row r="547" spans="42:42" x14ac:dyDescent="0.25">
      <c r="AP547" s="1"/>
    </row>
    <row r="548" spans="42:42" x14ac:dyDescent="0.25">
      <c r="AP548" s="1"/>
    </row>
    <row r="549" spans="42:42" x14ac:dyDescent="0.25">
      <c r="AP549" s="1"/>
    </row>
    <row r="550" spans="42:42" x14ac:dyDescent="0.25">
      <c r="AP550" s="1"/>
    </row>
    <row r="551" spans="42:42" x14ac:dyDescent="0.25">
      <c r="AP551" s="1"/>
    </row>
    <row r="552" spans="42:42" x14ac:dyDescent="0.25">
      <c r="AP552" s="1"/>
    </row>
    <row r="553" spans="42:42" x14ac:dyDescent="0.25">
      <c r="AP553" s="1"/>
    </row>
    <row r="554" spans="42:42" x14ac:dyDescent="0.25">
      <c r="AP554" s="1"/>
    </row>
    <row r="555" spans="42:42" x14ac:dyDescent="0.25">
      <c r="AP555" s="1"/>
    </row>
    <row r="556" spans="42:42" x14ac:dyDescent="0.25">
      <c r="AP556" s="1"/>
    </row>
    <row r="557" spans="42:42" x14ac:dyDescent="0.25">
      <c r="AP557" s="1"/>
    </row>
    <row r="558" spans="42:42" x14ac:dyDescent="0.25">
      <c r="AP558" s="1"/>
    </row>
    <row r="559" spans="42:42" x14ac:dyDescent="0.25">
      <c r="AP559" s="1"/>
    </row>
    <row r="560" spans="42:42" x14ac:dyDescent="0.25">
      <c r="AP560" s="1"/>
    </row>
    <row r="561" spans="42:42" x14ac:dyDescent="0.25">
      <c r="AP561" s="1"/>
    </row>
    <row r="562" spans="42:42" x14ac:dyDescent="0.25">
      <c r="AP562" s="1"/>
    </row>
    <row r="563" spans="42:42" x14ac:dyDescent="0.25">
      <c r="AP563" s="1"/>
    </row>
    <row r="564" spans="42:42" x14ac:dyDescent="0.25">
      <c r="AP564" s="1"/>
    </row>
    <row r="565" spans="42:42" x14ac:dyDescent="0.25">
      <c r="AP565" s="1"/>
    </row>
    <row r="566" spans="42:42" x14ac:dyDescent="0.25">
      <c r="AP566" s="1"/>
    </row>
    <row r="567" spans="42:42" x14ac:dyDescent="0.25">
      <c r="AP567" s="1"/>
    </row>
    <row r="568" spans="42:42" x14ac:dyDescent="0.25">
      <c r="AP568" s="1"/>
    </row>
    <row r="569" spans="42:42" x14ac:dyDescent="0.25">
      <c r="AP569" s="1"/>
    </row>
    <row r="570" spans="42:42" x14ac:dyDescent="0.25">
      <c r="AP570" s="1"/>
    </row>
    <row r="571" spans="42:42" x14ac:dyDescent="0.25">
      <c r="AP571" s="1"/>
    </row>
    <row r="572" spans="42:42" x14ac:dyDescent="0.25">
      <c r="AP572" s="1"/>
    </row>
    <row r="573" spans="42:42" x14ac:dyDescent="0.25">
      <c r="AP573" s="1"/>
    </row>
    <row r="574" spans="42:42" x14ac:dyDescent="0.25">
      <c r="AP574" s="1"/>
    </row>
    <row r="575" spans="42:42" x14ac:dyDescent="0.25">
      <c r="AP575" s="1"/>
    </row>
    <row r="576" spans="42:42" x14ac:dyDescent="0.25">
      <c r="AP576" s="1"/>
    </row>
    <row r="577" spans="42:42" x14ac:dyDescent="0.25">
      <c r="AP577" s="1"/>
    </row>
    <row r="578" spans="42:42" x14ac:dyDescent="0.25">
      <c r="AP578" s="1"/>
    </row>
    <row r="579" spans="42:42" x14ac:dyDescent="0.25">
      <c r="AP579" s="1"/>
    </row>
    <row r="580" spans="42:42" x14ac:dyDescent="0.25">
      <c r="AP580" s="1"/>
    </row>
    <row r="581" spans="42:42" x14ac:dyDescent="0.25">
      <c r="AP581" s="1"/>
    </row>
    <row r="582" spans="42:42" x14ac:dyDescent="0.25">
      <c r="AP582" s="1"/>
    </row>
    <row r="583" spans="42:42" x14ac:dyDescent="0.25">
      <c r="AP583" s="1"/>
    </row>
    <row r="584" spans="42:42" x14ac:dyDescent="0.25">
      <c r="AP584" s="1"/>
    </row>
    <row r="585" spans="42:42" x14ac:dyDescent="0.25">
      <c r="AP585" s="1"/>
    </row>
    <row r="586" spans="42:42" x14ac:dyDescent="0.25">
      <c r="AP586" s="1"/>
    </row>
    <row r="587" spans="42:42" x14ac:dyDescent="0.25">
      <c r="AP587" s="1"/>
    </row>
    <row r="588" spans="42:42" x14ac:dyDescent="0.25">
      <c r="AP588" s="1"/>
    </row>
    <row r="589" spans="42:42" x14ac:dyDescent="0.25">
      <c r="AP589" s="1"/>
    </row>
    <row r="590" spans="42:42" x14ac:dyDescent="0.25">
      <c r="AP590" s="1"/>
    </row>
    <row r="591" spans="42:42" x14ac:dyDescent="0.25">
      <c r="AP591" s="1"/>
    </row>
    <row r="592" spans="42:42" x14ac:dyDescent="0.25">
      <c r="AP592" s="1"/>
    </row>
    <row r="593" spans="42:42" x14ac:dyDescent="0.25">
      <c r="AP593" s="1"/>
    </row>
    <row r="594" spans="42:42" x14ac:dyDescent="0.25">
      <c r="AP594" s="1"/>
    </row>
    <row r="595" spans="42:42" x14ac:dyDescent="0.25">
      <c r="AP595" s="1"/>
    </row>
    <row r="596" spans="42:42" x14ac:dyDescent="0.25">
      <c r="AP596" s="1"/>
    </row>
    <row r="597" spans="42:42" x14ac:dyDescent="0.25">
      <c r="AP597" s="1"/>
    </row>
    <row r="598" spans="42:42" x14ac:dyDescent="0.25">
      <c r="AP598" s="1"/>
    </row>
    <row r="599" spans="42:42" x14ac:dyDescent="0.25">
      <c r="AP599" s="1"/>
    </row>
    <row r="600" spans="42:42" x14ac:dyDescent="0.25">
      <c r="AP600" s="1"/>
    </row>
    <row r="601" spans="42:42" x14ac:dyDescent="0.25">
      <c r="AP601" s="1"/>
    </row>
    <row r="602" spans="42:42" x14ac:dyDescent="0.25">
      <c r="AP602" s="1"/>
    </row>
    <row r="603" spans="42:42" x14ac:dyDescent="0.25">
      <c r="AP603" s="1"/>
    </row>
    <row r="604" spans="42:42" x14ac:dyDescent="0.25">
      <c r="AP604" s="1"/>
    </row>
    <row r="605" spans="42:42" x14ac:dyDescent="0.25">
      <c r="AP605" s="1"/>
    </row>
    <row r="606" spans="42:42" x14ac:dyDescent="0.25">
      <c r="AP606" s="1"/>
    </row>
    <row r="607" spans="42:42" x14ac:dyDescent="0.25">
      <c r="AP607" s="1"/>
    </row>
    <row r="608" spans="42:42" x14ac:dyDescent="0.25">
      <c r="AP608" s="1"/>
    </row>
    <row r="609" spans="42:42" x14ac:dyDescent="0.25">
      <c r="AP609" s="1"/>
    </row>
    <row r="610" spans="42:42" x14ac:dyDescent="0.25">
      <c r="AP610" s="1"/>
    </row>
    <row r="611" spans="42:42" x14ac:dyDescent="0.25">
      <c r="AP611" s="1"/>
    </row>
    <row r="612" spans="42:42" x14ac:dyDescent="0.25">
      <c r="AP612" s="1"/>
    </row>
    <row r="613" spans="42:42" x14ac:dyDescent="0.25">
      <c r="AP613" s="1"/>
    </row>
    <row r="614" spans="42:42" x14ac:dyDescent="0.25">
      <c r="AP614" s="1"/>
    </row>
    <row r="615" spans="42:42" x14ac:dyDescent="0.25">
      <c r="AP615" s="1"/>
    </row>
    <row r="616" spans="42:42" x14ac:dyDescent="0.25">
      <c r="AP616" s="1"/>
    </row>
    <row r="617" spans="42:42" x14ac:dyDescent="0.25">
      <c r="AP617" s="1"/>
    </row>
    <row r="618" spans="42:42" x14ac:dyDescent="0.25">
      <c r="AP618" s="1"/>
    </row>
    <row r="619" spans="42:42" x14ac:dyDescent="0.25">
      <c r="AP619" s="1"/>
    </row>
    <row r="620" spans="42:42" x14ac:dyDescent="0.25">
      <c r="AP620" s="1"/>
    </row>
    <row r="621" spans="42:42" x14ac:dyDescent="0.25">
      <c r="AP621" s="1"/>
    </row>
    <row r="622" spans="42:42" x14ac:dyDescent="0.25">
      <c r="AP622" s="1"/>
    </row>
    <row r="623" spans="42:42" x14ac:dyDescent="0.25">
      <c r="AP623" s="1"/>
    </row>
    <row r="624" spans="42:42" x14ac:dyDescent="0.25">
      <c r="AP624" s="1"/>
    </row>
    <row r="625" spans="42:42" x14ac:dyDescent="0.25">
      <c r="AP625" s="1"/>
    </row>
    <row r="626" spans="42:42" x14ac:dyDescent="0.25">
      <c r="AP626" s="1"/>
    </row>
    <row r="627" spans="42:42" x14ac:dyDescent="0.25">
      <c r="AP627" s="1"/>
    </row>
    <row r="628" spans="42:42" x14ac:dyDescent="0.25">
      <c r="AP628" s="1"/>
    </row>
    <row r="629" spans="42:42" x14ac:dyDescent="0.25">
      <c r="AP629" s="1"/>
    </row>
    <row r="630" spans="42:42" x14ac:dyDescent="0.25">
      <c r="AP630" s="1"/>
    </row>
    <row r="631" spans="42:42" x14ac:dyDescent="0.25">
      <c r="AP631" s="1"/>
    </row>
    <row r="632" spans="42:42" x14ac:dyDescent="0.25">
      <c r="AP632" s="1"/>
    </row>
    <row r="633" spans="42:42" x14ac:dyDescent="0.25">
      <c r="AP633" s="1"/>
    </row>
    <row r="634" spans="42:42" x14ac:dyDescent="0.25">
      <c r="AP634" s="1"/>
    </row>
    <row r="635" spans="42:42" x14ac:dyDescent="0.25">
      <c r="AP635" s="1"/>
    </row>
    <row r="636" spans="42:42" x14ac:dyDescent="0.25">
      <c r="AP636" s="1"/>
    </row>
    <row r="637" spans="42:42" x14ac:dyDescent="0.25">
      <c r="AP637" s="1"/>
    </row>
    <row r="638" spans="42:42" x14ac:dyDescent="0.25">
      <c r="AP638" s="1"/>
    </row>
    <row r="639" spans="42:42" x14ac:dyDescent="0.25">
      <c r="AP639" s="1"/>
    </row>
    <row r="640" spans="42:42" x14ac:dyDescent="0.25">
      <c r="AP640" s="1"/>
    </row>
    <row r="641" spans="42:42" x14ac:dyDescent="0.25">
      <c r="AP641" s="1"/>
    </row>
    <row r="642" spans="42:42" x14ac:dyDescent="0.25">
      <c r="AP642" s="1"/>
    </row>
    <row r="643" spans="42:42" x14ac:dyDescent="0.25">
      <c r="AP643" s="1"/>
    </row>
    <row r="644" spans="42:42" x14ac:dyDescent="0.25">
      <c r="AP644" s="1"/>
    </row>
    <row r="645" spans="42:42" x14ac:dyDescent="0.25">
      <c r="AP645" s="1"/>
    </row>
    <row r="646" spans="42:42" x14ac:dyDescent="0.25">
      <c r="AP646" s="1"/>
    </row>
    <row r="647" spans="42:42" x14ac:dyDescent="0.25">
      <c r="AP647" s="1"/>
    </row>
    <row r="648" spans="42:42" x14ac:dyDescent="0.25">
      <c r="AP648" s="1"/>
    </row>
    <row r="649" spans="42:42" x14ac:dyDescent="0.25">
      <c r="AP649" s="1"/>
    </row>
    <row r="650" spans="42:42" x14ac:dyDescent="0.25">
      <c r="AP650" s="1"/>
    </row>
    <row r="651" spans="42:42" x14ac:dyDescent="0.25">
      <c r="AP651" s="1"/>
    </row>
    <row r="652" spans="42:42" x14ac:dyDescent="0.25">
      <c r="AP652" s="1"/>
    </row>
    <row r="653" spans="42:42" x14ac:dyDescent="0.25">
      <c r="AP653" s="1"/>
    </row>
    <row r="654" spans="42:42" x14ac:dyDescent="0.25">
      <c r="AP654" s="1"/>
    </row>
    <row r="655" spans="42:42" x14ac:dyDescent="0.25">
      <c r="AP655" s="1"/>
    </row>
    <row r="656" spans="42:42" x14ac:dyDescent="0.25">
      <c r="AP656" s="1"/>
    </row>
    <row r="657" spans="42:42" x14ac:dyDescent="0.25">
      <c r="AP657" s="1"/>
    </row>
    <row r="658" spans="42:42" x14ac:dyDescent="0.25">
      <c r="AP658" s="1"/>
    </row>
    <row r="659" spans="42:42" x14ac:dyDescent="0.25">
      <c r="AP659" s="1"/>
    </row>
    <row r="660" spans="42:42" x14ac:dyDescent="0.25">
      <c r="AP660" s="1"/>
    </row>
    <row r="661" spans="42:42" x14ac:dyDescent="0.25">
      <c r="AP661" s="1"/>
    </row>
    <row r="662" spans="42:42" x14ac:dyDescent="0.25">
      <c r="AP662" s="1"/>
    </row>
    <row r="663" spans="42:42" x14ac:dyDescent="0.25">
      <c r="AP663" s="1"/>
    </row>
    <row r="664" spans="42:42" x14ac:dyDescent="0.25">
      <c r="AP664" s="1"/>
    </row>
    <row r="665" spans="42:42" x14ac:dyDescent="0.25">
      <c r="AP665" s="1"/>
    </row>
    <row r="666" spans="42:42" x14ac:dyDescent="0.25">
      <c r="AP666" s="1"/>
    </row>
    <row r="667" spans="42:42" x14ac:dyDescent="0.25">
      <c r="AP667" s="1"/>
    </row>
    <row r="668" spans="42:42" x14ac:dyDescent="0.25">
      <c r="AP668" s="1"/>
    </row>
    <row r="669" spans="42:42" x14ac:dyDescent="0.25">
      <c r="AP669" s="1"/>
    </row>
    <row r="670" spans="42:42" x14ac:dyDescent="0.25">
      <c r="AP670" s="1"/>
    </row>
    <row r="671" spans="42:42" x14ac:dyDescent="0.25">
      <c r="AP671" s="1"/>
    </row>
    <row r="672" spans="42:42" x14ac:dyDescent="0.25">
      <c r="AP672" s="1"/>
    </row>
    <row r="673" spans="42:42" x14ac:dyDescent="0.25">
      <c r="AP673" s="1"/>
    </row>
    <row r="674" spans="42:42" x14ac:dyDescent="0.25">
      <c r="AP674" s="1"/>
    </row>
    <row r="675" spans="42:42" x14ac:dyDescent="0.25">
      <c r="AP675" s="1"/>
    </row>
    <row r="676" spans="42:42" x14ac:dyDescent="0.25">
      <c r="AP676" s="1"/>
    </row>
    <row r="677" spans="42:42" x14ac:dyDescent="0.25">
      <c r="AP677" s="1"/>
    </row>
    <row r="678" spans="42:42" x14ac:dyDescent="0.25">
      <c r="AP678" s="1"/>
    </row>
    <row r="679" spans="42:42" x14ac:dyDescent="0.25">
      <c r="AP679" s="1"/>
    </row>
    <row r="680" spans="42:42" x14ac:dyDescent="0.25">
      <c r="AP680" s="1"/>
    </row>
    <row r="681" spans="42:42" x14ac:dyDescent="0.25">
      <c r="AP681" s="1"/>
    </row>
    <row r="682" spans="42:42" x14ac:dyDescent="0.25">
      <c r="AP682" s="1"/>
    </row>
    <row r="683" spans="42:42" x14ac:dyDescent="0.25">
      <c r="AP683" s="1"/>
    </row>
    <row r="684" spans="42:42" x14ac:dyDescent="0.25">
      <c r="AP684" s="1"/>
    </row>
    <row r="685" spans="42:42" x14ac:dyDescent="0.25">
      <c r="AP685" s="1"/>
    </row>
    <row r="686" spans="42:42" x14ac:dyDescent="0.25">
      <c r="AP686" s="1"/>
    </row>
    <row r="687" spans="42:42" x14ac:dyDescent="0.25">
      <c r="AP687" s="1"/>
    </row>
    <row r="688" spans="42:42" x14ac:dyDescent="0.25">
      <c r="AP688" s="1"/>
    </row>
    <row r="689" spans="42:42" x14ac:dyDescent="0.25">
      <c r="AP689" s="1"/>
    </row>
    <row r="690" spans="42:42" x14ac:dyDescent="0.25">
      <c r="AP690" s="1"/>
    </row>
    <row r="691" spans="42:42" x14ac:dyDescent="0.25">
      <c r="AP691" s="1"/>
    </row>
    <row r="692" spans="42:42" x14ac:dyDescent="0.25">
      <c r="AP692" s="1"/>
    </row>
    <row r="693" spans="42:42" x14ac:dyDescent="0.25">
      <c r="AP693" s="1"/>
    </row>
    <row r="694" spans="42:42" x14ac:dyDescent="0.25">
      <c r="AP694" s="1"/>
    </row>
    <row r="695" spans="42:42" x14ac:dyDescent="0.25">
      <c r="AP695" s="1"/>
    </row>
    <row r="696" spans="42:42" x14ac:dyDescent="0.25">
      <c r="AP696" s="1"/>
    </row>
    <row r="697" spans="42:42" x14ac:dyDescent="0.25">
      <c r="AP697" s="1"/>
    </row>
    <row r="698" spans="42:42" x14ac:dyDescent="0.25">
      <c r="AP698" s="1"/>
    </row>
    <row r="699" spans="42:42" x14ac:dyDescent="0.25">
      <c r="AP699" s="1"/>
    </row>
    <row r="700" spans="42:42" x14ac:dyDescent="0.25">
      <c r="AP700" s="1"/>
    </row>
    <row r="701" spans="42:42" x14ac:dyDescent="0.25">
      <c r="AP701" s="1"/>
    </row>
    <row r="702" spans="42:42" x14ac:dyDescent="0.25">
      <c r="AP702" s="1"/>
    </row>
    <row r="703" spans="42:42" x14ac:dyDescent="0.25">
      <c r="AP703" s="1"/>
    </row>
    <row r="704" spans="42:42" x14ac:dyDescent="0.25">
      <c r="AP704" s="1"/>
    </row>
    <row r="705" spans="42:42" x14ac:dyDescent="0.25">
      <c r="AP705" s="1"/>
    </row>
    <row r="706" spans="42:42" x14ac:dyDescent="0.25">
      <c r="AP706" s="1"/>
    </row>
    <row r="707" spans="42:42" x14ac:dyDescent="0.25">
      <c r="AP707" s="1"/>
    </row>
    <row r="708" spans="42:42" x14ac:dyDescent="0.25">
      <c r="AP708" s="1"/>
    </row>
    <row r="709" spans="42:42" x14ac:dyDescent="0.25">
      <c r="AP709" s="1"/>
    </row>
    <row r="710" spans="42:42" x14ac:dyDescent="0.25">
      <c r="AP710" s="1"/>
    </row>
    <row r="711" spans="42:42" x14ac:dyDescent="0.25">
      <c r="AP711" s="1"/>
    </row>
    <row r="712" spans="42:42" x14ac:dyDescent="0.25">
      <c r="AP712" s="1"/>
    </row>
    <row r="713" spans="42:42" x14ac:dyDescent="0.25">
      <c r="AP713" s="1"/>
    </row>
    <row r="714" spans="42:42" x14ac:dyDescent="0.25">
      <c r="AP714" s="1"/>
    </row>
    <row r="715" spans="42:42" x14ac:dyDescent="0.25">
      <c r="AP715" s="1"/>
    </row>
    <row r="716" spans="42:42" x14ac:dyDescent="0.25">
      <c r="AP716" s="1"/>
    </row>
    <row r="717" spans="42:42" x14ac:dyDescent="0.25">
      <c r="AP717" s="1"/>
    </row>
    <row r="718" spans="42:42" x14ac:dyDescent="0.25">
      <c r="AP718" s="1"/>
    </row>
    <row r="719" spans="42:42" x14ac:dyDescent="0.25">
      <c r="AP719" s="1"/>
    </row>
    <row r="720" spans="42:42" x14ac:dyDescent="0.25">
      <c r="AP720" s="1"/>
    </row>
    <row r="721" spans="42:42" x14ac:dyDescent="0.25">
      <c r="AP721" s="1"/>
    </row>
    <row r="722" spans="42:42" x14ac:dyDescent="0.25">
      <c r="AP722" s="1"/>
    </row>
    <row r="723" spans="42:42" x14ac:dyDescent="0.25">
      <c r="AP723" s="1"/>
    </row>
    <row r="724" spans="42:42" x14ac:dyDescent="0.25">
      <c r="AP724" s="1"/>
    </row>
    <row r="725" spans="42:42" x14ac:dyDescent="0.25">
      <c r="AP725" s="1"/>
    </row>
    <row r="726" spans="42:42" x14ac:dyDescent="0.25">
      <c r="AP726" s="1"/>
    </row>
    <row r="727" spans="42:42" x14ac:dyDescent="0.25">
      <c r="AP727" s="1"/>
    </row>
    <row r="728" spans="42:42" x14ac:dyDescent="0.25">
      <c r="AP728" s="1"/>
    </row>
    <row r="729" spans="42:42" x14ac:dyDescent="0.25">
      <c r="AP729" s="1"/>
    </row>
    <row r="730" spans="42:42" x14ac:dyDescent="0.25">
      <c r="AP730" s="1"/>
    </row>
    <row r="731" spans="42:42" x14ac:dyDescent="0.25">
      <c r="AP731" s="1"/>
    </row>
    <row r="732" spans="42:42" x14ac:dyDescent="0.25">
      <c r="AP732" s="1"/>
    </row>
    <row r="733" spans="42:42" x14ac:dyDescent="0.25">
      <c r="AP733" s="1"/>
    </row>
    <row r="734" spans="42:42" x14ac:dyDescent="0.25">
      <c r="AP734" s="1"/>
    </row>
    <row r="735" spans="42:42" x14ac:dyDescent="0.25">
      <c r="AP735" s="1"/>
    </row>
    <row r="736" spans="42:42" x14ac:dyDescent="0.25">
      <c r="AP736" s="1"/>
    </row>
    <row r="737" spans="42:42" x14ac:dyDescent="0.25">
      <c r="AP737" s="1"/>
    </row>
    <row r="738" spans="42:42" x14ac:dyDescent="0.25">
      <c r="AP738" s="1"/>
    </row>
    <row r="739" spans="42:42" x14ac:dyDescent="0.25">
      <c r="AP739" s="1"/>
    </row>
    <row r="740" spans="42:42" x14ac:dyDescent="0.25">
      <c r="AP740" s="1"/>
    </row>
    <row r="741" spans="42:42" x14ac:dyDescent="0.25">
      <c r="AP741" s="1"/>
    </row>
    <row r="742" spans="42:42" x14ac:dyDescent="0.25">
      <c r="AP742" s="1"/>
    </row>
    <row r="743" spans="42:42" x14ac:dyDescent="0.25">
      <c r="AP743" s="1"/>
    </row>
    <row r="744" spans="42:42" x14ac:dyDescent="0.25">
      <c r="AP744" s="1"/>
    </row>
    <row r="745" spans="42:42" x14ac:dyDescent="0.25">
      <c r="AP745" s="1"/>
    </row>
    <row r="746" spans="42:42" x14ac:dyDescent="0.25">
      <c r="AP746" s="1"/>
    </row>
    <row r="747" spans="42:42" x14ac:dyDescent="0.25">
      <c r="AP747" s="1"/>
    </row>
    <row r="748" spans="42:42" x14ac:dyDescent="0.25">
      <c r="AP748" s="1"/>
    </row>
    <row r="749" spans="42:42" x14ac:dyDescent="0.25">
      <c r="AP749" s="1"/>
    </row>
    <row r="750" spans="42:42" x14ac:dyDescent="0.25">
      <c r="AP750" s="1"/>
    </row>
    <row r="751" spans="42:42" x14ac:dyDescent="0.25">
      <c r="AP751" s="1"/>
    </row>
    <row r="752" spans="42:42" x14ac:dyDescent="0.25">
      <c r="AP752" s="1"/>
    </row>
    <row r="753" spans="42:42" x14ac:dyDescent="0.25">
      <c r="AP753" s="1"/>
    </row>
    <row r="754" spans="42:42" x14ac:dyDescent="0.25">
      <c r="AP754" s="1"/>
    </row>
    <row r="755" spans="42:42" x14ac:dyDescent="0.25">
      <c r="AP755" s="1"/>
    </row>
    <row r="756" spans="42:42" x14ac:dyDescent="0.25">
      <c r="AP756" s="1"/>
    </row>
    <row r="757" spans="42:42" x14ac:dyDescent="0.25">
      <c r="AP757" s="1"/>
    </row>
    <row r="758" spans="42:42" x14ac:dyDescent="0.25">
      <c r="AP758" s="1"/>
    </row>
    <row r="759" spans="42:42" x14ac:dyDescent="0.25">
      <c r="AP759" s="1"/>
    </row>
    <row r="760" spans="42:42" x14ac:dyDescent="0.25">
      <c r="AP760" s="1"/>
    </row>
    <row r="761" spans="42:42" x14ac:dyDescent="0.25">
      <c r="AP761" s="1"/>
    </row>
    <row r="762" spans="42:42" x14ac:dyDescent="0.25">
      <c r="AP762" s="1"/>
    </row>
    <row r="763" spans="42:42" x14ac:dyDescent="0.25">
      <c r="AP763" s="1"/>
    </row>
    <row r="764" spans="42:42" x14ac:dyDescent="0.25">
      <c r="AP764" s="1"/>
    </row>
    <row r="765" spans="42:42" x14ac:dyDescent="0.25">
      <c r="AP765" s="1"/>
    </row>
    <row r="766" spans="42:42" x14ac:dyDescent="0.25">
      <c r="AP766" s="1"/>
    </row>
    <row r="767" spans="42:42" x14ac:dyDescent="0.25">
      <c r="AP767" s="1"/>
    </row>
    <row r="768" spans="42:42" x14ac:dyDescent="0.25">
      <c r="AP768" s="1"/>
    </row>
    <row r="769" spans="42:42" x14ac:dyDescent="0.25">
      <c r="AP769" s="1"/>
    </row>
    <row r="770" spans="42:42" x14ac:dyDescent="0.25">
      <c r="AP770" s="1"/>
    </row>
    <row r="771" spans="42:42" x14ac:dyDescent="0.25">
      <c r="AP771" s="1"/>
    </row>
    <row r="772" spans="42:42" x14ac:dyDescent="0.25">
      <c r="AP772" s="1"/>
    </row>
    <row r="773" spans="42:42" x14ac:dyDescent="0.25">
      <c r="AP773" s="1"/>
    </row>
    <row r="774" spans="42:42" x14ac:dyDescent="0.25">
      <c r="AP774" s="1"/>
    </row>
    <row r="775" spans="42:42" x14ac:dyDescent="0.25">
      <c r="AP775" s="1"/>
    </row>
    <row r="776" spans="42:42" x14ac:dyDescent="0.25">
      <c r="AP776" s="1"/>
    </row>
    <row r="777" spans="42:42" x14ac:dyDescent="0.25">
      <c r="AP777" s="1"/>
    </row>
    <row r="778" spans="42:42" x14ac:dyDescent="0.25">
      <c r="AP778" s="1"/>
    </row>
    <row r="779" spans="42:42" x14ac:dyDescent="0.25">
      <c r="AP779" s="1"/>
    </row>
    <row r="780" spans="42:42" x14ac:dyDescent="0.25">
      <c r="AP780" s="1"/>
    </row>
    <row r="781" spans="42:42" x14ac:dyDescent="0.25">
      <c r="AP781" s="1"/>
    </row>
    <row r="782" spans="42:42" x14ac:dyDescent="0.25">
      <c r="AP782" s="1"/>
    </row>
    <row r="783" spans="42:42" x14ac:dyDescent="0.25">
      <c r="AP783" s="1"/>
    </row>
    <row r="784" spans="42:42" x14ac:dyDescent="0.25">
      <c r="AP784" s="1"/>
    </row>
    <row r="785" spans="42:42" x14ac:dyDescent="0.25">
      <c r="AP785" s="1"/>
    </row>
    <row r="786" spans="42:42" x14ac:dyDescent="0.25">
      <c r="AP786" s="1"/>
    </row>
    <row r="787" spans="42:42" x14ac:dyDescent="0.25">
      <c r="AP787" s="1"/>
    </row>
    <row r="788" spans="42:42" x14ac:dyDescent="0.25">
      <c r="AP788" s="1"/>
    </row>
    <row r="789" spans="42:42" x14ac:dyDescent="0.25">
      <c r="AP789" s="1"/>
    </row>
    <row r="790" spans="42:42" x14ac:dyDescent="0.25">
      <c r="AP790" s="1"/>
    </row>
    <row r="791" spans="42:42" x14ac:dyDescent="0.25">
      <c r="AP791" s="1"/>
    </row>
    <row r="792" spans="42:42" x14ac:dyDescent="0.25">
      <c r="AP792" s="1"/>
    </row>
    <row r="793" spans="42:42" x14ac:dyDescent="0.25">
      <c r="AP793" s="1"/>
    </row>
    <row r="794" spans="42:42" x14ac:dyDescent="0.25">
      <c r="AP794" s="1"/>
    </row>
    <row r="795" spans="42:42" x14ac:dyDescent="0.25">
      <c r="AP795" s="1"/>
    </row>
    <row r="796" spans="42:42" x14ac:dyDescent="0.25">
      <c r="AP796" s="1"/>
    </row>
    <row r="797" spans="42:42" x14ac:dyDescent="0.25">
      <c r="AP797" s="1"/>
    </row>
    <row r="798" spans="42:42" x14ac:dyDescent="0.25">
      <c r="AP798" s="1"/>
    </row>
    <row r="799" spans="42:42" x14ac:dyDescent="0.25">
      <c r="AP799" s="1"/>
    </row>
    <row r="800" spans="42:42" x14ac:dyDescent="0.25">
      <c r="AP800" s="1"/>
    </row>
    <row r="801" spans="42:42" x14ac:dyDescent="0.25">
      <c r="AP801" s="1"/>
    </row>
    <row r="802" spans="42:42" x14ac:dyDescent="0.25">
      <c r="AP802" s="1"/>
    </row>
    <row r="803" spans="42:42" x14ac:dyDescent="0.25">
      <c r="AP803" s="1"/>
    </row>
    <row r="804" spans="42:42" x14ac:dyDescent="0.25">
      <c r="AP804" s="1"/>
    </row>
    <row r="805" spans="42:42" x14ac:dyDescent="0.25">
      <c r="AP805" s="1"/>
    </row>
    <row r="806" spans="42:42" x14ac:dyDescent="0.25">
      <c r="AP806" s="1"/>
    </row>
    <row r="807" spans="42:42" x14ac:dyDescent="0.25">
      <c r="AP807" s="1"/>
    </row>
    <row r="808" spans="42:42" x14ac:dyDescent="0.25">
      <c r="AP808" s="1"/>
    </row>
    <row r="809" spans="42:42" x14ac:dyDescent="0.25">
      <c r="AP809" s="1"/>
    </row>
    <row r="810" spans="42:42" x14ac:dyDescent="0.25">
      <c r="AP810" s="1"/>
    </row>
    <row r="811" spans="42:42" x14ac:dyDescent="0.25">
      <c r="AP811" s="1"/>
    </row>
    <row r="812" spans="42:42" x14ac:dyDescent="0.25">
      <c r="AP812" s="1"/>
    </row>
    <row r="813" spans="42:42" x14ac:dyDescent="0.25">
      <c r="AP813" s="1"/>
    </row>
    <row r="814" spans="42:42" x14ac:dyDescent="0.25">
      <c r="AP814" s="1"/>
    </row>
    <row r="815" spans="42:42" x14ac:dyDescent="0.25">
      <c r="AP815" s="1"/>
    </row>
    <row r="816" spans="42:42" x14ac:dyDescent="0.25">
      <c r="AP816" s="1"/>
    </row>
    <row r="817" spans="42:42" x14ac:dyDescent="0.25">
      <c r="AP817" s="1"/>
    </row>
    <row r="818" spans="42:42" x14ac:dyDescent="0.25">
      <c r="AP818" s="1"/>
    </row>
    <row r="819" spans="42:42" x14ac:dyDescent="0.25">
      <c r="AP819" s="1"/>
    </row>
    <row r="820" spans="42:42" x14ac:dyDescent="0.25">
      <c r="AP820" s="1"/>
    </row>
    <row r="821" spans="42:42" x14ac:dyDescent="0.25">
      <c r="AP821" s="1"/>
    </row>
    <row r="822" spans="42:42" x14ac:dyDescent="0.25">
      <c r="AP822" s="1"/>
    </row>
    <row r="823" spans="42:42" x14ac:dyDescent="0.25">
      <c r="AP823" s="1"/>
    </row>
    <row r="824" spans="42:42" x14ac:dyDescent="0.25">
      <c r="AP824" s="1"/>
    </row>
    <row r="825" spans="42:42" x14ac:dyDescent="0.25">
      <c r="AP825" s="1"/>
    </row>
    <row r="826" spans="42:42" x14ac:dyDescent="0.25">
      <c r="AP826" s="1"/>
    </row>
    <row r="827" spans="42:42" x14ac:dyDescent="0.25">
      <c r="AP827" s="1"/>
    </row>
    <row r="828" spans="42:42" x14ac:dyDescent="0.25">
      <c r="AP828" s="1"/>
    </row>
    <row r="829" spans="42:42" x14ac:dyDescent="0.25">
      <c r="AP829" s="1"/>
    </row>
    <row r="830" spans="42:42" x14ac:dyDescent="0.25">
      <c r="AP830" s="1"/>
    </row>
    <row r="831" spans="42:42" x14ac:dyDescent="0.25">
      <c r="AP831" s="1"/>
    </row>
    <row r="832" spans="42:42" x14ac:dyDescent="0.25">
      <c r="AP832" s="1"/>
    </row>
    <row r="833" spans="42:42" x14ac:dyDescent="0.25">
      <c r="AP833" s="1"/>
    </row>
    <row r="834" spans="42:42" x14ac:dyDescent="0.25">
      <c r="AP834" s="1"/>
    </row>
    <row r="835" spans="42:42" x14ac:dyDescent="0.25">
      <c r="AP835" s="1"/>
    </row>
    <row r="836" spans="42:42" x14ac:dyDescent="0.25">
      <c r="AP836" s="1"/>
    </row>
    <row r="837" spans="42:42" x14ac:dyDescent="0.25">
      <c r="AP837" s="1"/>
    </row>
    <row r="838" spans="42:42" x14ac:dyDescent="0.25">
      <c r="AP838" s="1"/>
    </row>
    <row r="839" spans="42:42" x14ac:dyDescent="0.25">
      <c r="AP839" s="1"/>
    </row>
    <row r="840" spans="42:42" x14ac:dyDescent="0.25">
      <c r="AP840" s="1"/>
    </row>
    <row r="841" spans="42:42" x14ac:dyDescent="0.25">
      <c r="AP841" s="1"/>
    </row>
    <row r="842" spans="42:42" x14ac:dyDescent="0.25">
      <c r="AP842" s="1"/>
    </row>
    <row r="843" spans="42:42" x14ac:dyDescent="0.25">
      <c r="AP843" s="1"/>
    </row>
    <row r="844" spans="42:42" x14ac:dyDescent="0.25">
      <c r="AP844" s="1"/>
    </row>
    <row r="845" spans="42:42" x14ac:dyDescent="0.25">
      <c r="AP845" s="1"/>
    </row>
    <row r="846" spans="42:42" x14ac:dyDescent="0.25">
      <c r="AP846" s="1"/>
    </row>
    <row r="847" spans="42:42" x14ac:dyDescent="0.25">
      <c r="AP847" s="1"/>
    </row>
    <row r="848" spans="42:42" x14ac:dyDescent="0.25">
      <c r="AP848" s="1"/>
    </row>
    <row r="849" spans="42:42" x14ac:dyDescent="0.25">
      <c r="AP849" s="1"/>
    </row>
    <row r="850" spans="42:42" x14ac:dyDescent="0.25">
      <c r="AP850" s="1"/>
    </row>
    <row r="851" spans="42:42" x14ac:dyDescent="0.25">
      <c r="AP851" s="1"/>
    </row>
    <row r="852" spans="42:42" x14ac:dyDescent="0.25">
      <c r="AP852" s="1"/>
    </row>
    <row r="853" spans="42:42" x14ac:dyDescent="0.25">
      <c r="AP853" s="1"/>
    </row>
    <row r="854" spans="42:42" x14ac:dyDescent="0.25">
      <c r="AP854" s="1"/>
    </row>
    <row r="855" spans="42:42" x14ac:dyDescent="0.25">
      <c r="AP855" s="1"/>
    </row>
    <row r="856" spans="42:42" x14ac:dyDescent="0.25">
      <c r="AP856" s="1"/>
    </row>
    <row r="857" spans="42:42" x14ac:dyDescent="0.25">
      <c r="AP857" s="1"/>
    </row>
    <row r="858" spans="42:42" x14ac:dyDescent="0.25">
      <c r="AP858" s="1"/>
    </row>
    <row r="859" spans="42:42" x14ac:dyDescent="0.25">
      <c r="AP859" s="1"/>
    </row>
    <row r="860" spans="42:42" x14ac:dyDescent="0.25">
      <c r="AP860" s="1"/>
    </row>
    <row r="861" spans="42:42" x14ac:dyDescent="0.25">
      <c r="AP861" s="1"/>
    </row>
    <row r="862" spans="42:42" x14ac:dyDescent="0.25">
      <c r="AP862" s="1"/>
    </row>
    <row r="863" spans="42:42" x14ac:dyDescent="0.25">
      <c r="AP863" s="1"/>
    </row>
    <row r="864" spans="42:42" x14ac:dyDescent="0.25">
      <c r="AP864" s="1"/>
    </row>
    <row r="865" spans="42:42" x14ac:dyDescent="0.25">
      <c r="AP865" s="1"/>
    </row>
    <row r="866" spans="42:42" x14ac:dyDescent="0.25">
      <c r="AP866" s="1"/>
    </row>
    <row r="867" spans="42:42" x14ac:dyDescent="0.25">
      <c r="AP867" s="1"/>
    </row>
    <row r="868" spans="42:42" x14ac:dyDescent="0.25">
      <c r="AP868" s="1"/>
    </row>
    <row r="869" spans="42:42" x14ac:dyDescent="0.25">
      <c r="AP869" s="1"/>
    </row>
    <row r="870" spans="42:42" x14ac:dyDescent="0.25">
      <c r="AP870" s="1"/>
    </row>
    <row r="871" spans="42:42" x14ac:dyDescent="0.25">
      <c r="AP871" s="1"/>
    </row>
    <row r="872" spans="42:42" x14ac:dyDescent="0.25">
      <c r="AP872" s="1"/>
    </row>
    <row r="873" spans="42:42" x14ac:dyDescent="0.25">
      <c r="AP873" s="1"/>
    </row>
    <row r="874" spans="42:42" x14ac:dyDescent="0.25">
      <c r="AP874" s="1"/>
    </row>
    <row r="875" spans="42:42" x14ac:dyDescent="0.25">
      <c r="AP875" s="1"/>
    </row>
    <row r="876" spans="42:42" x14ac:dyDescent="0.25">
      <c r="AP876" s="1"/>
    </row>
    <row r="877" spans="42:42" x14ac:dyDescent="0.25">
      <c r="AP877" s="1"/>
    </row>
    <row r="878" spans="42:42" x14ac:dyDescent="0.25">
      <c r="AP878" s="1"/>
    </row>
    <row r="879" spans="42:42" x14ac:dyDescent="0.25">
      <c r="AP879" s="1"/>
    </row>
    <row r="880" spans="42:42" x14ac:dyDescent="0.25">
      <c r="AP880" s="1"/>
    </row>
    <row r="881" spans="42:42" x14ac:dyDescent="0.25">
      <c r="AP881" s="1"/>
    </row>
    <row r="882" spans="42:42" x14ac:dyDescent="0.25">
      <c r="AP882" s="1"/>
    </row>
    <row r="883" spans="42:42" x14ac:dyDescent="0.25">
      <c r="AP883" s="1"/>
    </row>
    <row r="884" spans="42:42" x14ac:dyDescent="0.25">
      <c r="AP884" s="1"/>
    </row>
    <row r="885" spans="42:42" x14ac:dyDescent="0.25">
      <c r="AP885" s="1"/>
    </row>
    <row r="886" spans="42:42" x14ac:dyDescent="0.25">
      <c r="AP886" s="1"/>
    </row>
    <row r="887" spans="42:42" x14ac:dyDescent="0.25">
      <c r="AP887" s="1"/>
    </row>
    <row r="888" spans="42:42" x14ac:dyDescent="0.25">
      <c r="AP888" s="1"/>
    </row>
    <row r="889" spans="42:42" x14ac:dyDescent="0.25">
      <c r="AP889" s="1"/>
    </row>
    <row r="890" spans="42:42" x14ac:dyDescent="0.25">
      <c r="AP890" s="1"/>
    </row>
    <row r="891" spans="42:42" x14ac:dyDescent="0.25">
      <c r="AP891" s="1"/>
    </row>
    <row r="892" spans="42:42" x14ac:dyDescent="0.25">
      <c r="AP892" s="1"/>
    </row>
    <row r="893" spans="42:42" x14ac:dyDescent="0.25">
      <c r="AP893" s="1"/>
    </row>
    <row r="894" spans="42:42" x14ac:dyDescent="0.25">
      <c r="AP894" s="1"/>
    </row>
    <row r="895" spans="42:42" x14ac:dyDescent="0.25">
      <c r="AP895" s="1"/>
    </row>
    <row r="896" spans="42:42" x14ac:dyDescent="0.25">
      <c r="AP896" s="1"/>
    </row>
    <row r="897" spans="42:42" x14ac:dyDescent="0.25">
      <c r="AP897" s="1"/>
    </row>
    <row r="898" spans="42:42" x14ac:dyDescent="0.25">
      <c r="AP898" s="1"/>
    </row>
    <row r="899" spans="42:42" x14ac:dyDescent="0.25">
      <c r="AP899" s="1"/>
    </row>
    <row r="900" spans="42:42" x14ac:dyDescent="0.25">
      <c r="AP900" s="1"/>
    </row>
    <row r="901" spans="42:42" x14ac:dyDescent="0.25">
      <c r="AP901" s="1"/>
    </row>
    <row r="902" spans="42:42" x14ac:dyDescent="0.25">
      <c r="AP902" s="1"/>
    </row>
    <row r="903" spans="42:42" x14ac:dyDescent="0.25">
      <c r="AP903" s="1"/>
    </row>
    <row r="904" spans="42:42" x14ac:dyDescent="0.25">
      <c r="AP904" s="1"/>
    </row>
    <row r="905" spans="42:42" x14ac:dyDescent="0.25">
      <c r="AP905" s="1"/>
    </row>
    <row r="906" spans="42:42" x14ac:dyDescent="0.25">
      <c r="AP906" s="1"/>
    </row>
    <row r="907" spans="42:42" x14ac:dyDescent="0.25">
      <c r="AP907" s="1"/>
    </row>
    <row r="908" spans="42:42" x14ac:dyDescent="0.25">
      <c r="AP908" s="1"/>
    </row>
    <row r="909" spans="42:42" x14ac:dyDescent="0.25">
      <c r="AP909" s="1"/>
    </row>
    <row r="910" spans="42:42" x14ac:dyDescent="0.25">
      <c r="AP910" s="1"/>
    </row>
    <row r="911" spans="42:42" x14ac:dyDescent="0.25">
      <c r="AP911" s="1"/>
    </row>
    <row r="912" spans="42:42" x14ac:dyDescent="0.25">
      <c r="AP912" s="1"/>
    </row>
    <row r="913" spans="42:42" x14ac:dyDescent="0.25">
      <c r="AP913" s="1"/>
    </row>
    <row r="914" spans="42:42" x14ac:dyDescent="0.25">
      <c r="AP914" s="1"/>
    </row>
    <row r="915" spans="42:42" x14ac:dyDescent="0.25">
      <c r="AP915" s="1"/>
    </row>
    <row r="916" spans="42:42" x14ac:dyDescent="0.25">
      <c r="AP916" s="1"/>
    </row>
    <row r="917" spans="42:42" x14ac:dyDescent="0.25">
      <c r="AP917" s="1"/>
    </row>
    <row r="918" spans="42:42" x14ac:dyDescent="0.25">
      <c r="AP918" s="1"/>
    </row>
    <row r="919" spans="42:42" x14ac:dyDescent="0.25">
      <c r="AP919" s="1"/>
    </row>
    <row r="920" spans="42:42" x14ac:dyDescent="0.25">
      <c r="AP920" s="1"/>
    </row>
    <row r="921" spans="42:42" x14ac:dyDescent="0.25">
      <c r="AP921" s="1"/>
    </row>
    <row r="922" spans="42:42" x14ac:dyDescent="0.25">
      <c r="AP922" s="1"/>
    </row>
    <row r="923" spans="42:42" x14ac:dyDescent="0.25">
      <c r="AP923" s="1"/>
    </row>
    <row r="924" spans="42:42" x14ac:dyDescent="0.25">
      <c r="AP924" s="1"/>
    </row>
    <row r="925" spans="42:42" x14ac:dyDescent="0.25">
      <c r="AP925" s="1"/>
    </row>
    <row r="926" spans="42:42" x14ac:dyDescent="0.25">
      <c r="AP926" s="1"/>
    </row>
    <row r="927" spans="42:42" x14ac:dyDescent="0.25">
      <c r="AP927" s="1"/>
    </row>
    <row r="928" spans="42:42" x14ac:dyDescent="0.25">
      <c r="AP928" s="1"/>
    </row>
    <row r="929" spans="42:42" x14ac:dyDescent="0.25">
      <c r="AP929" s="1"/>
    </row>
    <row r="930" spans="42:42" x14ac:dyDescent="0.25">
      <c r="AP930" s="1"/>
    </row>
    <row r="931" spans="42:42" x14ac:dyDescent="0.25">
      <c r="AP931" s="1"/>
    </row>
    <row r="932" spans="42:42" x14ac:dyDescent="0.25">
      <c r="AP932" s="1"/>
    </row>
    <row r="933" spans="42:42" x14ac:dyDescent="0.25">
      <c r="AP933" s="1"/>
    </row>
    <row r="934" spans="42:42" x14ac:dyDescent="0.25">
      <c r="AP934" s="1"/>
    </row>
    <row r="935" spans="42:42" x14ac:dyDescent="0.25">
      <c r="AP935" s="1"/>
    </row>
    <row r="936" spans="42:42" x14ac:dyDescent="0.25">
      <c r="AP936" s="1"/>
    </row>
    <row r="937" spans="42:42" x14ac:dyDescent="0.25">
      <c r="AP937" s="1"/>
    </row>
    <row r="938" spans="42:42" x14ac:dyDescent="0.25">
      <c r="AP938" s="1"/>
    </row>
    <row r="939" spans="42:42" x14ac:dyDescent="0.25">
      <c r="AP939" s="1"/>
    </row>
    <row r="940" spans="42:42" x14ac:dyDescent="0.25">
      <c r="AP940" s="1"/>
    </row>
    <row r="941" spans="42:42" x14ac:dyDescent="0.25">
      <c r="AP941" s="1"/>
    </row>
    <row r="942" spans="42:42" x14ac:dyDescent="0.25">
      <c r="AP942" s="1"/>
    </row>
    <row r="943" spans="42:42" x14ac:dyDescent="0.25">
      <c r="AP943" s="1"/>
    </row>
    <row r="944" spans="42:42" x14ac:dyDescent="0.25">
      <c r="AP944" s="1"/>
    </row>
    <row r="945" spans="42:42" x14ac:dyDescent="0.25">
      <c r="AP945" s="1"/>
    </row>
    <row r="946" spans="42:42" x14ac:dyDescent="0.25">
      <c r="AP946" s="1"/>
    </row>
    <row r="947" spans="42:42" x14ac:dyDescent="0.25">
      <c r="AP947" s="1"/>
    </row>
    <row r="948" spans="42:42" x14ac:dyDescent="0.25">
      <c r="AP948" s="1"/>
    </row>
    <row r="949" spans="42:42" x14ac:dyDescent="0.25">
      <c r="AP949" s="1"/>
    </row>
    <row r="950" spans="42:42" x14ac:dyDescent="0.25">
      <c r="AP950" s="1"/>
    </row>
    <row r="951" spans="42:42" x14ac:dyDescent="0.25">
      <c r="AP951" s="1"/>
    </row>
    <row r="952" spans="42:42" x14ac:dyDescent="0.25">
      <c r="AP952" s="1"/>
    </row>
    <row r="953" spans="42:42" x14ac:dyDescent="0.25">
      <c r="AP953" s="1"/>
    </row>
    <row r="954" spans="42:42" x14ac:dyDescent="0.25">
      <c r="AP954" s="1"/>
    </row>
    <row r="955" spans="42:42" x14ac:dyDescent="0.25">
      <c r="AP955" s="1"/>
    </row>
    <row r="956" spans="42:42" x14ac:dyDescent="0.25">
      <c r="AP956" s="1"/>
    </row>
    <row r="957" spans="42:42" x14ac:dyDescent="0.25">
      <c r="AP957" s="1"/>
    </row>
    <row r="958" spans="42:42" x14ac:dyDescent="0.25">
      <c r="AP958" s="1"/>
    </row>
    <row r="959" spans="42:42" x14ac:dyDescent="0.25">
      <c r="AP959" s="1"/>
    </row>
    <row r="960" spans="42:42" x14ac:dyDescent="0.25">
      <c r="AP960" s="1"/>
    </row>
    <row r="961" spans="42:42" x14ac:dyDescent="0.25">
      <c r="AP961" s="1"/>
    </row>
    <row r="962" spans="42:42" x14ac:dyDescent="0.25">
      <c r="AP962" s="1"/>
    </row>
    <row r="963" spans="42:42" x14ac:dyDescent="0.25">
      <c r="AP963" s="1"/>
    </row>
    <row r="964" spans="42:42" x14ac:dyDescent="0.25">
      <c r="AP964" s="1"/>
    </row>
    <row r="965" spans="42:42" x14ac:dyDescent="0.25">
      <c r="AP965" s="1"/>
    </row>
    <row r="966" spans="42:42" x14ac:dyDescent="0.25">
      <c r="AP966" s="1"/>
    </row>
    <row r="967" spans="42:42" x14ac:dyDescent="0.25">
      <c r="AP967" s="1"/>
    </row>
    <row r="968" spans="42:42" x14ac:dyDescent="0.25">
      <c r="AP968" s="1"/>
    </row>
    <row r="969" spans="42:42" x14ac:dyDescent="0.25">
      <c r="AP969" s="1"/>
    </row>
    <row r="970" spans="42:42" x14ac:dyDescent="0.25">
      <c r="AP970" s="1"/>
    </row>
    <row r="971" spans="42:42" x14ac:dyDescent="0.25">
      <c r="AP971" s="1"/>
    </row>
    <row r="972" spans="42:42" x14ac:dyDescent="0.25">
      <c r="AP972" s="1"/>
    </row>
    <row r="973" spans="42:42" x14ac:dyDescent="0.25">
      <c r="AP973" s="1"/>
    </row>
    <row r="974" spans="42:42" x14ac:dyDescent="0.25">
      <c r="AP974" s="1"/>
    </row>
    <row r="975" spans="42:42" x14ac:dyDescent="0.25">
      <c r="AP975" s="1"/>
    </row>
    <row r="976" spans="42:42" x14ac:dyDescent="0.25">
      <c r="AP976" s="1"/>
    </row>
    <row r="977" spans="42:42" x14ac:dyDescent="0.25">
      <c r="AP977" s="1"/>
    </row>
    <row r="978" spans="42:42" x14ac:dyDescent="0.25">
      <c r="AP978" s="1"/>
    </row>
    <row r="979" spans="42:42" x14ac:dyDescent="0.25">
      <c r="AP979" s="1"/>
    </row>
    <row r="980" spans="42:42" x14ac:dyDescent="0.25">
      <c r="AP980" s="1"/>
    </row>
    <row r="981" spans="42:42" x14ac:dyDescent="0.25">
      <c r="AP981" s="1"/>
    </row>
    <row r="982" spans="42:42" x14ac:dyDescent="0.25">
      <c r="AP982" s="1"/>
    </row>
    <row r="983" spans="42:42" x14ac:dyDescent="0.25">
      <c r="AP983" s="1"/>
    </row>
    <row r="984" spans="42:42" x14ac:dyDescent="0.25">
      <c r="AP984" s="1"/>
    </row>
    <row r="985" spans="42:42" x14ac:dyDescent="0.25">
      <c r="AP985" s="1"/>
    </row>
    <row r="986" spans="42:42" x14ac:dyDescent="0.25">
      <c r="AP986" s="1"/>
    </row>
    <row r="987" spans="42:42" x14ac:dyDescent="0.25">
      <c r="AP987" s="1"/>
    </row>
    <row r="988" spans="42:42" x14ac:dyDescent="0.25">
      <c r="AP988" s="1"/>
    </row>
    <row r="989" spans="42:42" x14ac:dyDescent="0.25">
      <c r="AP989" s="1"/>
    </row>
    <row r="990" spans="42:42" x14ac:dyDescent="0.25">
      <c r="AP990" s="1"/>
    </row>
    <row r="991" spans="42:42" x14ac:dyDescent="0.25">
      <c r="AP991" s="1"/>
    </row>
    <row r="992" spans="42:42" x14ac:dyDescent="0.25">
      <c r="AP992" s="1"/>
    </row>
    <row r="993" spans="42:42" x14ac:dyDescent="0.25">
      <c r="AP993" s="1"/>
    </row>
    <row r="994" spans="42:42" x14ac:dyDescent="0.25">
      <c r="AP994" s="1"/>
    </row>
    <row r="995" spans="42:42" x14ac:dyDescent="0.25">
      <c r="AP995" s="1"/>
    </row>
    <row r="996" spans="42:42" x14ac:dyDescent="0.25">
      <c r="AP996" s="1"/>
    </row>
    <row r="997" spans="42:42" x14ac:dyDescent="0.25">
      <c r="AP997" s="1"/>
    </row>
    <row r="998" spans="42:42" x14ac:dyDescent="0.25">
      <c r="AP998" s="1"/>
    </row>
    <row r="999" spans="42:42" x14ac:dyDescent="0.25">
      <c r="AP999" s="1"/>
    </row>
    <row r="1000" spans="42:42" x14ac:dyDescent="0.25">
      <c r="AP1000" s="1"/>
    </row>
    <row r="1001" spans="42:42" x14ac:dyDescent="0.25">
      <c r="AP1001" s="1"/>
    </row>
    <row r="1002" spans="42:42" x14ac:dyDescent="0.25">
      <c r="AP1002" s="1"/>
    </row>
    <row r="1003" spans="42:42" x14ac:dyDescent="0.25">
      <c r="AP1003" s="1"/>
    </row>
    <row r="1004" spans="42:42" x14ac:dyDescent="0.25">
      <c r="AP1004" s="1"/>
    </row>
    <row r="1005" spans="42:42" x14ac:dyDescent="0.25">
      <c r="AP1005" s="1"/>
    </row>
    <row r="1006" spans="42:42" x14ac:dyDescent="0.25">
      <c r="AP1006" s="1"/>
    </row>
    <row r="1007" spans="42:42" x14ac:dyDescent="0.25">
      <c r="AP1007" s="1"/>
    </row>
    <row r="1008" spans="42:42" x14ac:dyDescent="0.25">
      <c r="AP1008" s="1"/>
    </row>
    <row r="1009" spans="42:42" x14ac:dyDescent="0.25">
      <c r="AP1009" s="1"/>
    </row>
    <row r="1010" spans="42:42" x14ac:dyDescent="0.25">
      <c r="AP1010" s="1"/>
    </row>
    <row r="1011" spans="42:42" x14ac:dyDescent="0.25">
      <c r="AP1011" s="1"/>
    </row>
    <row r="1012" spans="42:42" x14ac:dyDescent="0.25">
      <c r="AP1012" s="1"/>
    </row>
    <row r="1013" spans="42:42" x14ac:dyDescent="0.25">
      <c r="AP1013" s="1"/>
    </row>
    <row r="1014" spans="42:42" x14ac:dyDescent="0.25">
      <c r="AP1014" s="1"/>
    </row>
    <row r="1015" spans="42:42" x14ac:dyDescent="0.25">
      <c r="AP1015" s="1"/>
    </row>
    <row r="1016" spans="42:42" x14ac:dyDescent="0.25">
      <c r="AP1016" s="1"/>
    </row>
    <row r="1017" spans="42:42" x14ac:dyDescent="0.25">
      <c r="AP1017" s="1"/>
    </row>
    <row r="1018" spans="42:42" x14ac:dyDescent="0.25">
      <c r="AP1018" s="1"/>
    </row>
    <row r="1019" spans="42:42" x14ac:dyDescent="0.25">
      <c r="AP1019" s="1"/>
    </row>
    <row r="1020" spans="42:42" x14ac:dyDescent="0.25">
      <c r="AP1020" s="1"/>
    </row>
    <row r="1021" spans="42:42" x14ac:dyDescent="0.25">
      <c r="AP1021" s="1"/>
    </row>
    <row r="1022" spans="42:42" x14ac:dyDescent="0.25">
      <c r="AP1022" s="1"/>
    </row>
    <row r="1023" spans="42:42" x14ac:dyDescent="0.25">
      <c r="AP1023" s="1"/>
    </row>
    <row r="1024" spans="42:42" x14ac:dyDescent="0.25">
      <c r="AP1024" s="1"/>
    </row>
    <row r="1025" spans="42:42" x14ac:dyDescent="0.25">
      <c r="AP1025" s="1"/>
    </row>
    <row r="1026" spans="42:42" x14ac:dyDescent="0.25">
      <c r="AP1026" s="1"/>
    </row>
    <row r="1027" spans="42:42" x14ac:dyDescent="0.25">
      <c r="AP1027" s="1"/>
    </row>
    <row r="1028" spans="42:42" x14ac:dyDescent="0.25">
      <c r="AP1028" s="1"/>
    </row>
    <row r="1029" spans="42:42" x14ac:dyDescent="0.25">
      <c r="AP1029" s="1"/>
    </row>
    <row r="1030" spans="42:42" x14ac:dyDescent="0.25">
      <c r="AP1030" s="1"/>
    </row>
    <row r="1031" spans="42:42" x14ac:dyDescent="0.25">
      <c r="AP1031" s="1"/>
    </row>
    <row r="1032" spans="42:42" x14ac:dyDescent="0.25">
      <c r="AP1032" s="1"/>
    </row>
    <row r="1033" spans="42:42" x14ac:dyDescent="0.25">
      <c r="AP1033" s="1"/>
    </row>
    <row r="1034" spans="42:42" x14ac:dyDescent="0.25">
      <c r="AP1034" s="1"/>
    </row>
    <row r="1035" spans="42:42" x14ac:dyDescent="0.25">
      <c r="AP1035" s="1"/>
    </row>
    <row r="1036" spans="42:42" x14ac:dyDescent="0.25">
      <c r="AP1036" s="1"/>
    </row>
    <row r="1037" spans="42:42" x14ac:dyDescent="0.25">
      <c r="AP1037" s="1"/>
    </row>
    <row r="1038" spans="42:42" x14ac:dyDescent="0.25">
      <c r="AP1038" s="1"/>
    </row>
    <row r="1039" spans="42:42" x14ac:dyDescent="0.25">
      <c r="AP1039" s="1"/>
    </row>
    <row r="1040" spans="42:42" x14ac:dyDescent="0.25">
      <c r="AP1040" s="1"/>
    </row>
    <row r="1041" spans="42:42" x14ac:dyDescent="0.25">
      <c r="AP1041" s="1"/>
    </row>
    <row r="1042" spans="42:42" x14ac:dyDescent="0.25">
      <c r="AP1042" s="1"/>
    </row>
    <row r="1043" spans="42:42" x14ac:dyDescent="0.25">
      <c r="AP1043" s="1"/>
    </row>
    <row r="1044" spans="42:42" x14ac:dyDescent="0.25">
      <c r="AP1044" s="1"/>
    </row>
    <row r="1045" spans="42:42" x14ac:dyDescent="0.25">
      <c r="AP1045" s="1"/>
    </row>
    <row r="1046" spans="42:42" x14ac:dyDescent="0.25">
      <c r="AP1046" s="1"/>
    </row>
    <row r="1047" spans="42:42" x14ac:dyDescent="0.25">
      <c r="AP1047" s="1"/>
    </row>
    <row r="1048" spans="42:42" x14ac:dyDescent="0.25">
      <c r="AP1048" s="1"/>
    </row>
    <row r="1049" spans="42:42" x14ac:dyDescent="0.25">
      <c r="AP1049" s="1"/>
    </row>
    <row r="1050" spans="42:42" x14ac:dyDescent="0.25">
      <c r="AP1050" s="1"/>
    </row>
    <row r="1051" spans="42:42" x14ac:dyDescent="0.25">
      <c r="AP1051" s="1"/>
    </row>
    <row r="1052" spans="42:42" x14ac:dyDescent="0.25">
      <c r="AP1052" s="1"/>
    </row>
    <row r="1053" spans="42:42" x14ac:dyDescent="0.25">
      <c r="AP1053" s="1"/>
    </row>
    <row r="1054" spans="42:42" x14ac:dyDescent="0.25">
      <c r="AP1054" s="1"/>
    </row>
    <row r="1055" spans="42:42" x14ac:dyDescent="0.25">
      <c r="AP1055" s="1"/>
    </row>
    <row r="1056" spans="42:42" x14ac:dyDescent="0.25">
      <c r="AP1056" s="1"/>
    </row>
    <row r="1057" spans="42:42" x14ac:dyDescent="0.25">
      <c r="AP1057" s="1"/>
    </row>
    <row r="1058" spans="42:42" x14ac:dyDescent="0.25">
      <c r="AP1058" s="1"/>
    </row>
    <row r="1059" spans="42:42" x14ac:dyDescent="0.25">
      <c r="AP1059" s="1"/>
    </row>
    <row r="1060" spans="42:42" x14ac:dyDescent="0.25">
      <c r="AP1060" s="1"/>
    </row>
    <row r="1061" spans="42:42" x14ac:dyDescent="0.25">
      <c r="AP1061" s="1"/>
    </row>
    <row r="1062" spans="42:42" x14ac:dyDescent="0.25">
      <c r="AP1062" s="1"/>
    </row>
    <row r="1063" spans="42:42" x14ac:dyDescent="0.25">
      <c r="AP1063" s="1"/>
    </row>
    <row r="1064" spans="42:42" x14ac:dyDescent="0.25">
      <c r="AP1064" s="1"/>
    </row>
    <row r="1065" spans="42:42" x14ac:dyDescent="0.25">
      <c r="AP1065" s="1"/>
    </row>
    <row r="1066" spans="42:42" x14ac:dyDescent="0.25">
      <c r="AP1066" s="1"/>
    </row>
    <row r="1067" spans="42:42" x14ac:dyDescent="0.25">
      <c r="AP1067" s="1"/>
    </row>
    <row r="1068" spans="42:42" x14ac:dyDescent="0.25">
      <c r="AP1068" s="1"/>
    </row>
    <row r="1069" spans="42:42" x14ac:dyDescent="0.25">
      <c r="AP1069" s="1"/>
    </row>
    <row r="1070" spans="42:42" x14ac:dyDescent="0.25">
      <c r="AP1070" s="1"/>
    </row>
    <row r="1071" spans="42:42" x14ac:dyDescent="0.25">
      <c r="AP1071" s="1"/>
    </row>
    <row r="1072" spans="42:42" x14ac:dyDescent="0.25">
      <c r="AP1072" s="1"/>
    </row>
    <row r="1073" spans="42:42" x14ac:dyDescent="0.25">
      <c r="AP1073" s="1"/>
    </row>
    <row r="1074" spans="42:42" x14ac:dyDescent="0.25">
      <c r="AP1074" s="1"/>
    </row>
    <row r="1075" spans="42:42" x14ac:dyDescent="0.25">
      <c r="AP1075" s="1"/>
    </row>
    <row r="1076" spans="42:42" x14ac:dyDescent="0.25">
      <c r="AP1076" s="1"/>
    </row>
    <row r="1077" spans="42:42" x14ac:dyDescent="0.25">
      <c r="AP1077" s="1"/>
    </row>
    <row r="1078" spans="42:42" x14ac:dyDescent="0.25">
      <c r="AP1078" s="1"/>
    </row>
    <row r="1079" spans="42:42" x14ac:dyDescent="0.25">
      <c r="AP1079" s="1"/>
    </row>
    <row r="1080" spans="42:42" x14ac:dyDescent="0.25">
      <c r="AP1080" s="1"/>
    </row>
    <row r="1081" spans="42:42" x14ac:dyDescent="0.25">
      <c r="AP1081" s="1"/>
    </row>
    <row r="1082" spans="42:42" x14ac:dyDescent="0.25">
      <c r="AP1082" s="1"/>
    </row>
    <row r="1083" spans="42:42" x14ac:dyDescent="0.25">
      <c r="AP1083" s="1"/>
    </row>
    <row r="1084" spans="42:42" x14ac:dyDescent="0.25">
      <c r="AP1084" s="1"/>
    </row>
    <row r="1085" spans="42:42" x14ac:dyDescent="0.25">
      <c r="AP1085" s="1"/>
    </row>
    <row r="1086" spans="42:42" x14ac:dyDescent="0.25">
      <c r="AP1086" s="1"/>
    </row>
    <row r="1087" spans="42:42" x14ac:dyDescent="0.25">
      <c r="AP1087" s="1"/>
    </row>
    <row r="1088" spans="42:42" x14ac:dyDescent="0.25">
      <c r="AP1088" s="1"/>
    </row>
    <row r="1089" spans="42:42" x14ac:dyDescent="0.25">
      <c r="AP1089" s="1"/>
    </row>
    <row r="1090" spans="42:42" x14ac:dyDescent="0.25">
      <c r="AP1090" s="1"/>
    </row>
    <row r="1091" spans="42:42" x14ac:dyDescent="0.25">
      <c r="AP1091" s="1"/>
    </row>
    <row r="1092" spans="42:42" x14ac:dyDescent="0.25">
      <c r="AP1092" s="1"/>
    </row>
    <row r="1093" spans="42:42" x14ac:dyDescent="0.25">
      <c r="AP1093" s="1"/>
    </row>
    <row r="1094" spans="42:42" x14ac:dyDescent="0.25">
      <c r="AP1094" s="1"/>
    </row>
    <row r="1095" spans="42:42" x14ac:dyDescent="0.25">
      <c r="AP1095" s="1"/>
    </row>
    <row r="1096" spans="42:42" x14ac:dyDescent="0.25">
      <c r="AP1096" s="1"/>
    </row>
    <row r="1097" spans="42:42" x14ac:dyDescent="0.25">
      <c r="AP1097" s="1"/>
    </row>
    <row r="1098" spans="42:42" x14ac:dyDescent="0.25">
      <c r="AP1098" s="1"/>
    </row>
    <row r="1099" spans="42:42" x14ac:dyDescent="0.25">
      <c r="AP1099" s="1"/>
    </row>
    <row r="1100" spans="42:42" x14ac:dyDescent="0.25">
      <c r="AP1100" s="1"/>
    </row>
    <row r="1101" spans="42:42" x14ac:dyDescent="0.25">
      <c r="AP1101" s="1"/>
    </row>
    <row r="1102" spans="42:42" x14ac:dyDescent="0.25">
      <c r="AP1102" s="1"/>
    </row>
    <row r="1103" spans="42:42" x14ac:dyDescent="0.25">
      <c r="AP1103" s="1"/>
    </row>
    <row r="1104" spans="42:42" x14ac:dyDescent="0.25">
      <c r="AP1104" s="1"/>
    </row>
    <row r="1105" spans="42:42" x14ac:dyDescent="0.25">
      <c r="AP1105" s="1"/>
    </row>
    <row r="1106" spans="42:42" x14ac:dyDescent="0.25">
      <c r="AP1106" s="1"/>
    </row>
    <row r="1107" spans="42:42" x14ac:dyDescent="0.25">
      <c r="AP1107" s="1"/>
    </row>
    <row r="1108" spans="42:42" x14ac:dyDescent="0.25">
      <c r="AP1108" s="1"/>
    </row>
    <row r="1109" spans="42:42" x14ac:dyDescent="0.25">
      <c r="AP1109" s="1"/>
    </row>
    <row r="1110" spans="42:42" x14ac:dyDescent="0.25">
      <c r="AP1110" s="1"/>
    </row>
    <row r="1111" spans="42:42" x14ac:dyDescent="0.25">
      <c r="AP1111" s="1"/>
    </row>
    <row r="1112" spans="42:42" x14ac:dyDescent="0.25">
      <c r="AP1112" s="1"/>
    </row>
    <row r="1113" spans="42:42" x14ac:dyDescent="0.25">
      <c r="AP1113" s="1"/>
    </row>
    <row r="1114" spans="42:42" x14ac:dyDescent="0.25">
      <c r="AP1114" s="1"/>
    </row>
    <row r="1115" spans="42:42" x14ac:dyDescent="0.25">
      <c r="AP1115" s="1"/>
    </row>
    <row r="1116" spans="42:42" x14ac:dyDescent="0.25">
      <c r="AP1116" s="1"/>
    </row>
    <row r="1117" spans="42:42" x14ac:dyDescent="0.25">
      <c r="AP1117" s="1"/>
    </row>
    <row r="1118" spans="42:42" x14ac:dyDescent="0.25">
      <c r="AP1118" s="1"/>
    </row>
    <row r="1119" spans="42:42" x14ac:dyDescent="0.25">
      <c r="AP1119" s="1"/>
    </row>
    <row r="1120" spans="42:42" x14ac:dyDescent="0.25">
      <c r="AP1120" s="1"/>
    </row>
    <row r="1121" spans="42:42" x14ac:dyDescent="0.25">
      <c r="AP1121" s="1"/>
    </row>
    <row r="1122" spans="42:42" x14ac:dyDescent="0.25">
      <c r="AP1122" s="1"/>
    </row>
    <row r="1123" spans="42:42" x14ac:dyDescent="0.25">
      <c r="AP1123" s="1"/>
    </row>
    <row r="1124" spans="42:42" x14ac:dyDescent="0.25">
      <c r="AP1124" s="1"/>
    </row>
    <row r="1125" spans="42:42" x14ac:dyDescent="0.25">
      <c r="AP1125" s="1"/>
    </row>
    <row r="1126" spans="42:42" x14ac:dyDescent="0.25">
      <c r="AP1126" s="1"/>
    </row>
    <row r="1127" spans="42:42" x14ac:dyDescent="0.25">
      <c r="AP1127" s="1"/>
    </row>
    <row r="1128" spans="42:42" x14ac:dyDescent="0.25">
      <c r="AP1128" s="1"/>
    </row>
    <row r="1129" spans="42:42" x14ac:dyDescent="0.25">
      <c r="AP1129" s="1"/>
    </row>
    <row r="1130" spans="42:42" x14ac:dyDescent="0.25">
      <c r="AP1130" s="1"/>
    </row>
    <row r="1131" spans="42:42" x14ac:dyDescent="0.25">
      <c r="AP1131" s="1"/>
    </row>
    <row r="1132" spans="42:42" x14ac:dyDescent="0.25">
      <c r="AP1132" s="1"/>
    </row>
    <row r="1133" spans="42:42" x14ac:dyDescent="0.25">
      <c r="AP1133" s="1"/>
    </row>
    <row r="1134" spans="42:42" x14ac:dyDescent="0.25">
      <c r="AP1134" s="1"/>
    </row>
    <row r="1135" spans="42:42" x14ac:dyDescent="0.25">
      <c r="AP1135" s="1"/>
    </row>
    <row r="1136" spans="42:42" x14ac:dyDescent="0.25">
      <c r="AP1136" s="1"/>
    </row>
    <row r="1137" spans="42:42" x14ac:dyDescent="0.25">
      <c r="AP1137" s="1"/>
    </row>
    <row r="1138" spans="42:42" x14ac:dyDescent="0.25">
      <c r="AP1138" s="1"/>
    </row>
    <row r="1139" spans="42:42" x14ac:dyDescent="0.25">
      <c r="AP1139" s="1"/>
    </row>
    <row r="1140" spans="42:42" x14ac:dyDescent="0.25">
      <c r="AP1140" s="1"/>
    </row>
    <row r="1141" spans="42:42" x14ac:dyDescent="0.25">
      <c r="AP1141" s="1"/>
    </row>
    <row r="1142" spans="42:42" x14ac:dyDescent="0.25">
      <c r="AP1142" s="1"/>
    </row>
    <row r="1143" spans="42:42" x14ac:dyDescent="0.25">
      <c r="AP1143" s="1"/>
    </row>
    <row r="1144" spans="42:42" x14ac:dyDescent="0.25">
      <c r="AP1144" s="1"/>
    </row>
    <row r="1145" spans="42:42" x14ac:dyDescent="0.25">
      <c r="AP1145" s="1"/>
    </row>
    <row r="1146" spans="42:42" x14ac:dyDescent="0.25">
      <c r="AP1146" s="1"/>
    </row>
    <row r="1147" spans="42:42" x14ac:dyDescent="0.25">
      <c r="AP1147" s="1"/>
    </row>
    <row r="1148" spans="42:42" x14ac:dyDescent="0.25">
      <c r="AP1148" s="1"/>
    </row>
    <row r="1149" spans="42:42" x14ac:dyDescent="0.25">
      <c r="AP1149" s="1"/>
    </row>
    <row r="1150" spans="42:42" x14ac:dyDescent="0.25">
      <c r="AP1150" s="1"/>
    </row>
    <row r="1151" spans="42:42" x14ac:dyDescent="0.25">
      <c r="AP1151" s="1"/>
    </row>
    <row r="1152" spans="42:42" x14ac:dyDescent="0.25">
      <c r="AP1152" s="1"/>
    </row>
    <row r="1153" spans="42:42" x14ac:dyDescent="0.25">
      <c r="AP1153" s="1"/>
    </row>
    <row r="1154" spans="42:42" x14ac:dyDescent="0.25">
      <c r="AP1154" s="1"/>
    </row>
    <row r="1155" spans="42:42" x14ac:dyDescent="0.25">
      <c r="AP1155" s="1"/>
    </row>
    <row r="1156" spans="42:42" x14ac:dyDescent="0.25">
      <c r="AP1156" s="1"/>
    </row>
    <row r="1157" spans="42:42" x14ac:dyDescent="0.25">
      <c r="AP1157" s="1"/>
    </row>
    <row r="1158" spans="42:42" x14ac:dyDescent="0.25">
      <c r="AP1158" s="1"/>
    </row>
    <row r="1159" spans="42:42" x14ac:dyDescent="0.25">
      <c r="AP1159" s="1"/>
    </row>
    <row r="1160" spans="42:42" x14ac:dyDescent="0.25">
      <c r="AP1160" s="1"/>
    </row>
    <row r="1161" spans="42:42" x14ac:dyDescent="0.25">
      <c r="AP1161" s="1"/>
    </row>
    <row r="1162" spans="42:42" x14ac:dyDescent="0.25">
      <c r="AP1162" s="1"/>
    </row>
    <row r="1163" spans="42:42" x14ac:dyDescent="0.25">
      <c r="AP1163" s="1"/>
    </row>
    <row r="1164" spans="42:42" x14ac:dyDescent="0.25">
      <c r="AP1164" s="1"/>
    </row>
    <row r="1165" spans="42:42" x14ac:dyDescent="0.25">
      <c r="AP1165" s="1"/>
    </row>
    <row r="1166" spans="42:42" x14ac:dyDescent="0.25">
      <c r="AP1166" s="1"/>
    </row>
    <row r="1167" spans="42:42" x14ac:dyDescent="0.25">
      <c r="AP1167" s="1"/>
    </row>
    <row r="1168" spans="42:42" x14ac:dyDescent="0.25">
      <c r="AP1168" s="1"/>
    </row>
    <row r="1169" spans="42:42" x14ac:dyDescent="0.25">
      <c r="AP1169" s="1"/>
    </row>
    <row r="1170" spans="42:42" x14ac:dyDescent="0.25">
      <c r="AP1170" s="1"/>
    </row>
    <row r="1171" spans="42:42" x14ac:dyDescent="0.25">
      <c r="AP1171" s="1"/>
    </row>
    <row r="1172" spans="42:42" x14ac:dyDescent="0.25">
      <c r="AP1172" s="1"/>
    </row>
    <row r="1173" spans="42:42" x14ac:dyDescent="0.25">
      <c r="AP1173" s="1"/>
    </row>
    <row r="1174" spans="42:42" x14ac:dyDescent="0.25">
      <c r="AP1174" s="1"/>
    </row>
    <row r="1175" spans="42:42" x14ac:dyDescent="0.25">
      <c r="AP1175" s="1"/>
    </row>
    <row r="1176" spans="42:42" x14ac:dyDescent="0.25">
      <c r="AP1176" s="1"/>
    </row>
    <row r="1177" spans="42:42" x14ac:dyDescent="0.25">
      <c r="AP1177" s="1"/>
    </row>
    <row r="1178" spans="42:42" x14ac:dyDescent="0.25">
      <c r="AP1178" s="1"/>
    </row>
    <row r="1179" spans="42:42" x14ac:dyDescent="0.25">
      <c r="AP1179" s="1"/>
    </row>
    <row r="1180" spans="42:42" x14ac:dyDescent="0.25">
      <c r="AP1180" s="1"/>
    </row>
    <row r="1181" spans="42:42" x14ac:dyDescent="0.25">
      <c r="AP1181" s="1"/>
    </row>
    <row r="1182" spans="42:42" x14ac:dyDescent="0.25">
      <c r="AP1182" s="1"/>
    </row>
    <row r="1183" spans="42:42" x14ac:dyDescent="0.25">
      <c r="AP1183" s="1"/>
    </row>
    <row r="1184" spans="42:42" x14ac:dyDescent="0.25">
      <c r="AP1184" s="1"/>
    </row>
    <row r="1185" spans="42:42" x14ac:dyDescent="0.25">
      <c r="AP1185" s="1"/>
    </row>
    <row r="1186" spans="42:42" x14ac:dyDescent="0.25">
      <c r="AP1186" s="1"/>
    </row>
    <row r="1187" spans="42:42" x14ac:dyDescent="0.25">
      <c r="AP1187" s="1"/>
    </row>
    <row r="1188" spans="42:42" x14ac:dyDescent="0.25">
      <c r="AP1188" s="1"/>
    </row>
    <row r="1189" spans="42:42" x14ac:dyDescent="0.25">
      <c r="AP1189" s="1"/>
    </row>
    <row r="1190" spans="42:42" x14ac:dyDescent="0.25">
      <c r="AP1190" s="1"/>
    </row>
    <row r="1191" spans="42:42" x14ac:dyDescent="0.25">
      <c r="AP1191" s="1"/>
    </row>
    <row r="1192" spans="42:42" x14ac:dyDescent="0.25">
      <c r="AP1192" s="1"/>
    </row>
    <row r="1193" spans="42:42" x14ac:dyDescent="0.25">
      <c r="AP1193" s="1"/>
    </row>
    <row r="1194" spans="42:42" x14ac:dyDescent="0.25">
      <c r="AP1194" s="1"/>
    </row>
    <row r="1195" spans="42:42" x14ac:dyDescent="0.25">
      <c r="AP1195" s="1"/>
    </row>
    <row r="1196" spans="42:42" x14ac:dyDescent="0.25">
      <c r="AP1196" s="1"/>
    </row>
    <row r="1197" spans="42:42" x14ac:dyDescent="0.25">
      <c r="AP1197" s="1"/>
    </row>
    <row r="1198" spans="42:42" x14ac:dyDescent="0.25">
      <c r="AP1198" s="1"/>
    </row>
    <row r="1199" spans="42:42" x14ac:dyDescent="0.25">
      <c r="AP1199" s="1"/>
    </row>
    <row r="1200" spans="42:42" x14ac:dyDescent="0.25">
      <c r="AP1200" s="1"/>
    </row>
    <row r="1201" spans="42:42" x14ac:dyDescent="0.25">
      <c r="AP1201" s="1"/>
    </row>
    <row r="1202" spans="42:42" x14ac:dyDescent="0.25">
      <c r="AP1202" s="1"/>
    </row>
    <row r="1203" spans="42:42" x14ac:dyDescent="0.25">
      <c r="AP1203" s="1"/>
    </row>
    <row r="1204" spans="42:42" x14ac:dyDescent="0.25">
      <c r="AP1204" s="1"/>
    </row>
    <row r="1205" spans="42:42" x14ac:dyDescent="0.25">
      <c r="AP1205" s="1"/>
    </row>
    <row r="1206" spans="42:42" x14ac:dyDescent="0.25">
      <c r="AP1206" s="1"/>
    </row>
    <row r="1207" spans="42:42" x14ac:dyDescent="0.25">
      <c r="AP1207" s="1"/>
    </row>
    <row r="1208" spans="42:42" x14ac:dyDescent="0.25">
      <c r="AP1208" s="1"/>
    </row>
    <row r="1209" spans="42:42" x14ac:dyDescent="0.25">
      <c r="AP1209" s="1"/>
    </row>
    <row r="1210" spans="42:42" x14ac:dyDescent="0.25">
      <c r="AP1210" s="1"/>
    </row>
    <row r="1211" spans="42:42" x14ac:dyDescent="0.25">
      <c r="AP1211" s="1"/>
    </row>
    <row r="1212" spans="42:42" x14ac:dyDescent="0.25">
      <c r="AP1212" s="1"/>
    </row>
    <row r="1213" spans="42:42" x14ac:dyDescent="0.25">
      <c r="AP1213" s="1"/>
    </row>
    <row r="1214" spans="42:42" x14ac:dyDescent="0.25">
      <c r="AP1214" s="1"/>
    </row>
    <row r="1215" spans="42:42" x14ac:dyDescent="0.25">
      <c r="AP1215" s="1"/>
    </row>
    <row r="1216" spans="42:42" x14ac:dyDescent="0.25">
      <c r="AP1216" s="1"/>
    </row>
    <row r="1217" spans="42:42" x14ac:dyDescent="0.25">
      <c r="AP1217" s="1"/>
    </row>
    <row r="1218" spans="42:42" x14ac:dyDescent="0.25">
      <c r="AP1218" s="1"/>
    </row>
    <row r="1219" spans="42:42" x14ac:dyDescent="0.25">
      <c r="AP1219" s="1"/>
    </row>
    <row r="1220" spans="42:42" x14ac:dyDescent="0.25">
      <c r="AP1220" s="1"/>
    </row>
    <row r="1221" spans="42:42" x14ac:dyDescent="0.25">
      <c r="AP1221" s="1"/>
    </row>
    <row r="1222" spans="42:42" x14ac:dyDescent="0.25">
      <c r="AP1222" s="1"/>
    </row>
    <row r="1223" spans="42:42" x14ac:dyDescent="0.25">
      <c r="AP1223" s="1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B130"/>
  <sheetViews>
    <sheetView topLeftCell="AZ49" workbookViewId="0">
      <selection activeCell="BW73" sqref="BW73"/>
    </sheetView>
  </sheetViews>
  <sheetFormatPr defaultRowHeight="15" x14ac:dyDescent="0.25"/>
  <cols>
    <col min="37" max="37" width="45.140625" customWidth="1"/>
  </cols>
  <sheetData>
    <row r="1" spans="1:80" ht="157.5" x14ac:dyDescent="0.25">
      <c r="A1" s="231"/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  <c r="CA1" s="231"/>
      <c r="CB1" s="231"/>
    </row>
    <row r="2" spans="1:80" ht="36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  <c r="CA2" s="231"/>
      <c r="CB2" s="231"/>
    </row>
    <row r="3" spans="1:80" ht="37.5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  <c r="CA3" s="231"/>
      <c r="CB3" s="231"/>
    </row>
    <row r="4" spans="1:80" ht="18.75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  <c r="CA4" s="231"/>
      <c r="CB4" s="231"/>
    </row>
    <row r="5" spans="1:80" x14ac:dyDescent="0.25">
      <c r="A5" s="231"/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4838.2087799999999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2553.3999999999996</v>
      </c>
      <c r="AU5" s="11">
        <f>(F7+F5)*-1</f>
        <v>216.4101299999999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1410.9654499999997</v>
      </c>
      <c r="BJ5" s="11">
        <f t="shared" ref="BJ5:BQ5" si="4">(U7+U5)*-1</f>
        <v>0</v>
      </c>
      <c r="BK5" s="11">
        <f t="shared" si="4"/>
        <v>83.14797999999999</v>
      </c>
      <c r="BL5" s="11">
        <f t="shared" si="4"/>
        <v>20.000000000000004</v>
      </c>
      <c r="BM5" s="11">
        <f t="shared" si="4"/>
        <v>933.99999999999977</v>
      </c>
      <c r="BN5" s="11">
        <f t="shared" si="4"/>
        <v>95.642200000000003</v>
      </c>
      <c r="BO5" s="11">
        <f t="shared" si="4"/>
        <v>0</v>
      </c>
      <c r="BP5" s="11">
        <f t="shared" si="4"/>
        <v>264.50126999999992</v>
      </c>
      <c r="BQ5" s="11">
        <f t="shared" si="4"/>
        <v>13.673999999999996</v>
      </c>
      <c r="BR5" s="11"/>
      <c r="BS5" s="11"/>
      <c r="BT5" s="11"/>
      <c r="BU5" s="11">
        <f>-1*SUM(AF5,AF7,AF9,AF66,AF68)</f>
        <v>372.63240000000002</v>
      </c>
      <c r="BV5" s="11">
        <f>-1*SUM(AG5,AG7,AG9,AG66,AG68)</f>
        <v>0</v>
      </c>
      <c r="BW5" s="11">
        <f>-1*SUM(AH5,AH7,AH9,AH66,AH68)</f>
        <v>284.80080000000004</v>
      </c>
      <c r="BX5" s="11"/>
      <c r="BY5" s="123">
        <v>0</v>
      </c>
      <c r="BZ5" s="123">
        <f>(C5*Emissionsfaktorer!$H$4+E5*Emissionsfaktorer!$H$3+F5*Emissionsfaktorer!$H$5+H5*Emissionsfaktorer!$H$7+I5*Emissionsfaktorer!$H$8+J5*Emissionsfaktorer!$H$9+K5*Emissionsfaktorer!$H$10+L5*Emissionsfaktorer!$H$11+M5*Emissionsfaktorer!$H$12)*-1</f>
        <v>0</v>
      </c>
      <c r="CA5" s="231"/>
      <c r="CB5" s="231"/>
    </row>
    <row r="6" spans="1:80" x14ac:dyDescent="0.25">
      <c r="A6" s="231"/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Nøgletal!$P$283/IF(Nøgletal!$Q$399=0,1,Nøgletal!$Q$399)*Nøgletal!$P419*-1</f>
        <v>0</v>
      </c>
      <c r="V6" s="84"/>
      <c r="W6" s="84"/>
      <c r="X6" s="84"/>
      <c r="Y6" s="84"/>
      <c r="Z6" s="84">
        <f>Nøgletal!$P$283/IF(Nøgletal!$Q$399=0,1,Nøgletal!$Q$399)*Nøgletal!$P420*-1</f>
        <v>0</v>
      </c>
      <c r="AA6" s="84">
        <f>Nøgletal!$P$283/IF(Nøgletal!$Q$399=0,1,Nøgletal!$Q$399)*Nøgletal!$P421*-1</f>
        <v>0</v>
      </c>
      <c r="AB6" s="84">
        <f>Nøgletal!$P$283/IF(Nøgletal!$Q$399=0,1,Nøgletal!$Q$399)*Nøgletal!$P422*-1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Nøgletal!P283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(C6*Emissionsfaktorer!$H$4+E6*Emissionsfaktorer!$H$3+F6*Emissionsfaktorer!$H$5+H6*Emissionsfaktorer!$H$7+I6*Emissionsfaktorer!$H$8+J6*Emissionsfaktorer!$H$9+K6*Emissionsfaktorer!$H$10+L6*Emissionsfaktorer!$H$11+M6*Emissionsfaktorer!$H$12)*-1</f>
        <v>0</v>
      </c>
      <c r="CA6" s="231"/>
      <c r="CB6" s="231"/>
    </row>
    <row r="7" spans="1:80" x14ac:dyDescent="0.25">
      <c r="A7" s="231"/>
      <c r="B7" s="31"/>
      <c r="C7" s="11">
        <f>AR7*-1</f>
        <v>0</v>
      </c>
      <c r="D7" s="11">
        <f>AS7*-1</f>
        <v>0</v>
      </c>
      <c r="E7" s="11">
        <f>AT7*-1</f>
        <v>-2553.3999999999996</v>
      </c>
      <c r="F7" s="11">
        <f>AU7*-1</f>
        <v>-216.4101299999999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-1410.9654499999997</v>
      </c>
      <c r="U7" s="11">
        <f>BJ7*-1</f>
        <v>0</v>
      </c>
      <c r="V7" s="11">
        <f t="shared" ref="V7:AB7" si="5">BK7*-1</f>
        <v>-83.14797999999999</v>
      </c>
      <c r="W7" s="11">
        <f t="shared" si="5"/>
        <v>-20.000000000000004</v>
      </c>
      <c r="X7" s="11">
        <f t="shared" si="5"/>
        <v>-933.99999999999977</v>
      </c>
      <c r="Y7" s="11">
        <f t="shared" si="5"/>
        <v>-95.642200000000003</v>
      </c>
      <c r="Z7" s="11">
        <f t="shared" si="5"/>
        <v>0</v>
      </c>
      <c r="AA7" s="11">
        <f t="shared" si="5"/>
        <v>-264.50126999999992</v>
      </c>
      <c r="AB7" s="11">
        <f t="shared" si="5"/>
        <v>-13.673999999999996</v>
      </c>
      <c r="AC7" s="11"/>
      <c r="AD7" s="11"/>
      <c r="AE7" s="11"/>
      <c r="AF7" s="11"/>
      <c r="AG7" s="11"/>
      <c r="AH7" s="11"/>
      <c r="AI7" s="11"/>
      <c r="AJ7" s="105">
        <f t="shared" si="0"/>
        <v>-4180.7755799999995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4180.7755799999995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2553.3999999999996</v>
      </c>
      <c r="AU7" s="11">
        <f>(F9+F68)*-1</f>
        <v>216.4101299999999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1410.9654499999997</v>
      </c>
      <c r="BJ7" s="11">
        <f t="shared" ref="BJ7:BQ7" si="9">(U9+U68)*-1</f>
        <v>0</v>
      </c>
      <c r="BK7" s="11">
        <f t="shared" si="9"/>
        <v>83.14797999999999</v>
      </c>
      <c r="BL7" s="11">
        <f t="shared" si="9"/>
        <v>20.000000000000004</v>
      </c>
      <c r="BM7" s="11">
        <f t="shared" si="9"/>
        <v>933.99999999999977</v>
      </c>
      <c r="BN7" s="11">
        <f t="shared" si="9"/>
        <v>95.642200000000003</v>
      </c>
      <c r="BO7" s="11">
        <f t="shared" si="9"/>
        <v>0</v>
      </c>
      <c r="BP7" s="11">
        <f t="shared" si="9"/>
        <v>264.50126999999992</v>
      </c>
      <c r="BQ7" s="11">
        <f t="shared" si="9"/>
        <v>13.673999999999996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  <c r="CA7" s="231"/>
      <c r="CB7" s="231"/>
    </row>
    <row r="8" spans="1:80" x14ac:dyDescent="0.25">
      <c r="A8" s="231"/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98.67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98.67</v>
      </c>
      <c r="BD8" s="11">
        <f>-1*SUM(O5,O7,O9)</f>
        <v>80</v>
      </c>
      <c r="BE8" s="11">
        <f>-1*SUM(P5,P7,P9)</f>
        <v>0</v>
      </c>
      <c r="BF8" s="11">
        <f>-1*SUM(Q5,Q7,Q9)</f>
        <v>18.670000000000002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(C8*Emissionsfaktorer!$H$4+E8*Emissionsfaktorer!$H$3+F8*Emissionsfaktorer!$H$5+H8*Emissionsfaktorer!$H$7+I8*Emissionsfaktorer!$H$8+J8*Emissionsfaktorer!$H$9+K8*Emissionsfaktorer!$H$10+L8*Emissionsfaktorer!$H$11+M8*Emissionsfaktorer!$H$12)*-1</f>
        <v>0</v>
      </c>
      <c r="CA8" s="2"/>
      <c r="CB8" s="2"/>
    </row>
    <row r="9" spans="1:80" x14ac:dyDescent="0.25">
      <c r="A9" s="231"/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-1799.9999999999995</v>
      </c>
      <c r="F9" s="11">
        <f t="shared" si="10"/>
        <v>-216.4101299999999</v>
      </c>
      <c r="G9" s="11">
        <f t="shared" si="10"/>
        <v>-1.7171999999999996</v>
      </c>
      <c r="H9" s="11">
        <f t="shared" si="10"/>
        <v>0</v>
      </c>
      <c r="I9" s="11">
        <f t="shared" si="10"/>
        <v>0</v>
      </c>
      <c r="J9" s="11">
        <f t="shared" si="10"/>
        <v>-1.7171999999999996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-98.67</v>
      </c>
      <c r="O9" s="11">
        <f t="shared" si="10"/>
        <v>-80</v>
      </c>
      <c r="P9" s="11">
        <f t="shared" si="10"/>
        <v>0</v>
      </c>
      <c r="Q9" s="11">
        <f t="shared" si="10"/>
        <v>-18.670000000000002</v>
      </c>
      <c r="R9" s="11">
        <f t="shared" si="10"/>
        <v>0</v>
      </c>
      <c r="S9" s="11">
        <f t="shared" si="10"/>
        <v>0</v>
      </c>
      <c r="T9" s="11">
        <f t="shared" si="10"/>
        <v>-1091.8174699999997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-799.99999999999977</v>
      </c>
      <c r="Y9" s="11">
        <f t="shared" ref="Y9:AI9" si="11">SUM(Y10:Y11,Y18,Y57,Y65)</f>
        <v>-13.642199999999994</v>
      </c>
      <c r="Z9" s="11">
        <f t="shared" si="11"/>
        <v>0</v>
      </c>
      <c r="AA9" s="11">
        <f t="shared" si="11"/>
        <v>-264.50126999999992</v>
      </c>
      <c r="AB9" s="11">
        <f t="shared" si="11"/>
        <v>-13.673999999999996</v>
      </c>
      <c r="AC9" s="11">
        <f t="shared" si="11"/>
        <v>-142.40040000000002</v>
      </c>
      <c r="AD9" s="11">
        <f t="shared" si="11"/>
        <v>0</v>
      </c>
      <c r="AE9" s="11">
        <f t="shared" si="11"/>
        <v>0</v>
      </c>
      <c r="AF9" s="11">
        <f t="shared" si="11"/>
        <v>-372.63240000000002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-3723.6475999999993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5446.9496227340842</v>
      </c>
      <c r="AP9" s="37">
        <f t="shared" si="6"/>
        <v>1.4627994396500048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2024.5320199999996</v>
      </c>
      <c r="AW9" s="11">
        <f>H66*-1</f>
        <v>22.249999999999996</v>
      </c>
      <c r="AX9" s="11">
        <f t="shared" ref="AX9:BB9" si="13">I66*-1</f>
        <v>0</v>
      </c>
      <c r="AY9" s="11">
        <f t="shared" si="13"/>
        <v>77.38000000000001</v>
      </c>
      <c r="AZ9" s="11">
        <f t="shared" si="13"/>
        <v>1014.5151099999998</v>
      </c>
      <c r="BA9" s="11">
        <f t="shared" si="13"/>
        <v>385.50999999999993</v>
      </c>
      <c r="BB9" s="11">
        <f t="shared" si="13"/>
        <v>524.87690999999973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1274.6637827340842</v>
      </c>
      <c r="BS9" s="11">
        <f>SUM(BS10:BS11,BS18,BS57,BS65)+AD9</f>
        <v>2005.3534199999997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142.40040000000002</v>
      </c>
      <c r="BX9" s="11">
        <f t="shared" si="12"/>
        <v>0</v>
      </c>
      <c r="BY9" s="123">
        <f t="shared" si="12"/>
        <v>774.37625519999983</v>
      </c>
      <c r="BZ9" s="123">
        <f t="shared" si="12"/>
        <v>188.79674898664859</v>
      </c>
      <c r="CA9" s="2"/>
      <c r="CB9" s="2"/>
    </row>
    <row r="10" spans="1:80" x14ac:dyDescent="0.25">
      <c r="A10" s="231"/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2641.7958779340838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2026.2492199999995</v>
      </c>
      <c r="AW10" s="85">
        <f>IF(-(AW$11+AW$18+AW$57+AW65)-(H$70+H$79+H$80+H$84)-H$9&gt;0,-(AW$11+AW$18+AW$57+AW65)-(H$70+H$79+H$80+H$84)-H$9,0)</f>
        <v>22.249999999999996</v>
      </c>
      <c r="AX10" s="85">
        <f t="shared" ref="AX10:BB10" si="17">IF(-(AX$11+AX$18+AX$57+AX65)-(I70+I79+I80+I84)-I$9&gt;0,-(AX$11+AX$18+AX$57+AX65)-(I70+I79+I80+I84)-I$9,0)</f>
        <v>0</v>
      </c>
      <c r="AY10" s="85">
        <f t="shared" si="17"/>
        <v>79.097200000000015</v>
      </c>
      <c r="AZ10" s="85">
        <f t="shared" si="17"/>
        <v>1014.5151099999998</v>
      </c>
      <c r="BA10" s="85">
        <f t="shared" si="17"/>
        <v>385.50999999999993</v>
      </c>
      <c r="BB10" s="85">
        <f t="shared" si="17"/>
        <v>524.87690999999973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IF(-($BR$11+$BR$18+$BR$57+BR65)-(AC70+AC79+AC80+AC84)/(1-Nøgletal!$P$294)-$AC$9&gt;0,-($BR$11+$BR$18+$BR$57+BR65)-(AC70+AC79+AC80+AC84)/(1-Nøgletal!$P$294)-$AC$9,0)</f>
        <v>615.54665793408435</v>
      </c>
      <c r="BS10" s="30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BR10*Emissionsfaktorer!H6+BT10*Emissionsfaktorer!H14</f>
        <v>68.276435298048639</v>
      </c>
      <c r="CA10" s="2"/>
      <c r="CB10" s="2"/>
    </row>
    <row r="11" spans="1:80" x14ac:dyDescent="0.25">
      <c r="A11" s="231"/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-98.67</v>
      </c>
      <c r="O11" s="20">
        <f t="shared" si="18"/>
        <v>-80</v>
      </c>
      <c r="P11" s="20">
        <f t="shared" si="18"/>
        <v>0</v>
      </c>
      <c r="Q11" s="20">
        <f t="shared" si="18"/>
        <v>-18.670000000000002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-98.67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98.67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98.67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</row>
    <row r="12" spans="1:80" x14ac:dyDescent="0.25">
      <c r="A12" s="231"/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-18.670000000000002</v>
      </c>
      <c r="O12" s="23"/>
      <c r="P12" s="23"/>
      <c r="Q12" s="23">
        <f>AJ12</f>
        <v>-18.670000000000002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-18.670000000000002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18.670000000000002</v>
      </c>
      <c r="AP12" s="37">
        <f t="shared" si="6"/>
        <v>1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Nøgletal!P279</f>
        <v>18.670000000000002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(C12*Emissionsfaktorer!$H$4+E12*Emissionsfaktorer!$H$3+F12*Emissionsfaktorer!$H$5+H12*Emissionsfaktorer!$H$7+I12*Emissionsfaktorer!$H$8+J12*Emissionsfaktorer!$H$9+K12*Emissionsfaktorer!$H$10+L12*Emissionsfaktorer!$H$11+M12*Emissionsfaktorer!$H$12)*-1</f>
        <v>0</v>
      </c>
      <c r="CA12" s="2"/>
      <c r="CB12" s="2"/>
    </row>
    <row r="13" spans="1:80" x14ac:dyDescent="0.25">
      <c r="A13" s="231"/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-80</v>
      </c>
      <c r="O13" s="23">
        <f t="shared" si="21"/>
        <v>-80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-80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80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80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</row>
    <row r="14" spans="1:80" x14ac:dyDescent="0.25">
      <c r="A14" s="231"/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-80</v>
      </c>
      <c r="O14" s="278">
        <f>AJ14</f>
        <v>-80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-80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80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Nøgletal!P277</f>
        <v>80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(C14*Emissionsfaktorer!$H$4+E14*Emissionsfaktorer!$H$3+F14*Emissionsfaktorer!$H$5+H14*Emissionsfaktorer!$H$7+I14*Emissionsfaktorer!$H$8+J14*Emissionsfaktorer!$H$9+K14*Emissionsfaktorer!$H$10+L14*Emissionsfaktorer!$H$11+M14*Emissionsfaktorer!$H$12)*-1</f>
        <v>0</v>
      </c>
      <c r="CA14" s="231"/>
      <c r="CB14" s="2"/>
    </row>
    <row r="15" spans="1:80" x14ac:dyDescent="0.25">
      <c r="A15" s="231"/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Nøgletal!P278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(C15*Emissionsfaktorer!$H$4+E15*Emissionsfaktorer!$H$3+F15*Emissionsfaktorer!$H$5+H15*Emissionsfaktorer!$H$7+I15*Emissionsfaktorer!$H$8+J15*Emissionsfaktorer!$H$9+K15*Emissionsfaktorer!$H$10+L15*Emissionsfaktorer!$H$11+M15*Emissionsfaktorer!$H$12)*-1</f>
        <v>0</v>
      </c>
      <c r="CA15" s="231"/>
      <c r="CB15" s="231"/>
    </row>
    <row r="16" spans="1:80" x14ac:dyDescent="0.25">
      <c r="A16" s="231"/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Nøgletal!P280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(C16*Emissionsfaktorer!$H$4+E16*Emissionsfaktorer!$H$3+F16*Emissionsfaktorer!$H$5+H16*Emissionsfaktorer!$H$7+I16*Emissionsfaktorer!$H$8+J16*Emissionsfaktorer!$H$9+K16*Emissionsfaktorer!$H$10+L16*Emissionsfaktorer!$H$11+M16*Emissionsfaktorer!$H$12)*-1</f>
        <v>0</v>
      </c>
      <c r="CA16" s="231"/>
      <c r="CB16" s="231"/>
    </row>
    <row r="17" spans="1:80" x14ac:dyDescent="0.25">
      <c r="A17" s="231"/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Nøgletal!P276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(C17*Emissionsfaktorer!$H$4+E17*Emissionsfaktorer!$H$3+F17*Emissionsfaktorer!$H$5+H17*Emissionsfaktorer!$H$7+I17*Emissionsfaktorer!$H$8+J17*Emissionsfaktorer!$H$9+K17*Emissionsfaktorer!$H$10+L17*Emissionsfaktorer!$H$11+M17*Emissionsfaktorer!$H$12)*-1</f>
        <v>0</v>
      </c>
      <c r="CA17" s="231"/>
      <c r="CB17" s="231"/>
    </row>
    <row r="18" spans="1:80" x14ac:dyDescent="0.25">
      <c r="A18" s="231"/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0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0</v>
      </c>
      <c r="AC18" s="20">
        <f t="shared" si="23"/>
        <v>-142.40040000000002</v>
      </c>
      <c r="AD18" s="20">
        <f t="shared" si="23"/>
        <v>0</v>
      </c>
      <c r="AE18" s="20">
        <f t="shared" si="23"/>
        <v>0</v>
      </c>
      <c r="AF18" s="20">
        <f t="shared" si="23"/>
        <v>-372.63240000000002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-515.03280000000007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515.03280000000007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0</v>
      </c>
      <c r="BS18" s="20">
        <f t="shared" si="24"/>
        <v>372.63240000000002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142.40040000000002</v>
      </c>
      <c r="BX18" s="20">
        <f t="shared" si="24"/>
        <v>0</v>
      </c>
      <c r="BY18" s="263">
        <f t="shared" si="24"/>
        <v>0</v>
      </c>
      <c r="BZ18" s="263">
        <f t="shared" si="24"/>
        <v>0</v>
      </c>
      <c r="CA18" s="231"/>
      <c r="CB18" s="231"/>
    </row>
    <row r="19" spans="1:80" x14ac:dyDescent="0.25">
      <c r="A19" s="231"/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Nøgletal!P268/(1-Nøgletal!P295)</f>
        <v>0</v>
      </c>
      <c r="BT19" s="23">
        <f>Nøgletal!Q268/(1-Nøgletal!Q295)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  <c r="CA19" s="231"/>
      <c r="CB19" s="231"/>
    </row>
    <row r="20" spans="1:80" x14ac:dyDescent="0.25">
      <c r="A20" s="231"/>
      <c r="B20" s="31"/>
      <c r="C20" s="278">
        <f>AJ20*Nøgletal!P429</f>
        <v>0</v>
      </c>
      <c r="D20" s="278"/>
      <c r="E20" s="278">
        <f>AJ20*Nøgletal!P431</f>
        <v>0</v>
      </c>
      <c r="F20" s="278"/>
      <c r="G20" s="278">
        <f t="shared" ref="G20:G83" si="29">SUM(H20:M20)</f>
        <v>0</v>
      </c>
      <c r="H20" s="278"/>
      <c r="I20" s="278">
        <f>AJ20*Nøgletal!P430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AJ20*Nøgletal!P432</f>
        <v>0</v>
      </c>
      <c r="V20" s="278">
        <f>AJ20*Nøgletal!P433</f>
        <v>0</v>
      </c>
      <c r="W20" s="278">
        <f>AJ20*Nøgletal!P434</f>
        <v>0</v>
      </c>
      <c r="X20" s="278">
        <f>AJ20*Nøgletal!P435</f>
        <v>0</v>
      </c>
      <c r="Y20" s="278">
        <f>AJ20*Nøgletal!P436</f>
        <v>0</v>
      </c>
      <c r="Z20" s="278"/>
      <c r="AA20" s="278"/>
      <c r="AB20" s="278">
        <f>AJ20*Nøgletal!P437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-AO20/IF(Nøgletal!P345+Nøgletal!Q345&gt;0,Nøgletal!P345+Nøgletal!Q345,1)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BS20/IF(Nøgletal!Q345&gt;0,Nøgletal!Q345,1)*Nøgletal!P345</f>
        <v>0</v>
      </c>
      <c r="BS20" s="278">
        <f>BS$19*Nøgletal!P303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H$4+E20*Emissionsfaktorer!$H$3+F20*Emissionsfaktorer!$H$5+H20*Emissionsfaktorer!$H$7+I20*Emissionsfaktorer!$H$8+J20*Emissionsfaktorer!$H$9+K20*Emissionsfaktorer!$H$10+L20*Emissionsfaktorer!$H$11+M20*Emissionsfaktorer!$H$12)*-1*(1-Nøgletal!$P$301)+T20*Emissionsfaktorer!$H$13*Nøgletal!$P$301</f>
        <v>0</v>
      </c>
      <c r="CA20" s="231"/>
      <c r="CB20" s="231"/>
    </row>
    <row r="21" spans="1:80" x14ac:dyDescent="0.25">
      <c r="A21" s="231"/>
      <c r="B21" s="31"/>
      <c r="C21" s="278"/>
      <c r="D21" s="278"/>
      <c r="E21" s="278">
        <f>AJ21*Nøgletal!P443</f>
        <v>0</v>
      </c>
      <c r="F21" s="278"/>
      <c r="G21" s="278">
        <f t="shared" si="29"/>
        <v>0</v>
      </c>
      <c r="H21" s="278"/>
      <c r="I21" s="278">
        <f>AJ21*Nøgletal!P439</f>
        <v>0</v>
      </c>
      <c r="J21" s="278">
        <f>AJ21*Nøgletal!P440</f>
        <v>0</v>
      </c>
      <c r="K21" s="278">
        <f>AJ21*Nøgletal!P441</f>
        <v>0</v>
      </c>
      <c r="L21" s="278"/>
      <c r="M21" s="278">
        <f>AJ21*Nøgletal!P442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AJ21*Nøgletal!P444</f>
        <v>0</v>
      </c>
      <c r="V21" s="278">
        <f>AJ21*Nøgletal!P445</f>
        <v>0</v>
      </c>
      <c r="W21" s="278">
        <f>AJ21*Nøgletal!P446</f>
        <v>0</v>
      </c>
      <c r="X21" s="278">
        <f>AJ21*Nøgletal!P447</f>
        <v>0</v>
      </c>
      <c r="Y21" s="278">
        <f>AJ21*Nøgletal!P448</f>
        <v>0</v>
      </c>
      <c r="Z21" s="278"/>
      <c r="AA21" s="278"/>
      <c r="AB21" s="278">
        <f>AJ21*Nøgletal!P449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-AO21/IF(Nøgletal!P346+Nøgletal!Q346&gt;0,Nøgletal!P346+Nøgletal!Q346,1)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BS21/IF(Nøgletal!Q346&gt;0,Nøgletal!Q346,1)*Nøgletal!P346</f>
        <v>0</v>
      </c>
      <c r="BS21" s="278">
        <f>BS$19*Nøgletal!P304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H$4+E21*Emissionsfaktorer!$H$3+F21*Emissionsfaktorer!$H$5+H21*Emissionsfaktorer!$H$7+I21*Emissionsfaktorer!$H$8+J21*Emissionsfaktorer!$H$9+K21*Emissionsfaktorer!$H$10+L21*Emissionsfaktorer!$H$11+M21*Emissionsfaktorer!$H$12)*-1*(1-Nøgletal!$P$301)+T21*Emissionsfaktorer!$H$13*Nøgletal!$P$301</f>
        <v>0</v>
      </c>
      <c r="CA21" s="231"/>
      <c r="CB21" s="231"/>
    </row>
    <row r="22" spans="1:80" x14ac:dyDescent="0.25">
      <c r="A22" s="231"/>
      <c r="B22" s="31"/>
      <c r="C22" s="278"/>
      <c r="D22" s="278"/>
      <c r="E22" s="278">
        <f>AJ22*Nøgletal!P451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AJ22*Nøgletal!P452</f>
        <v>0</v>
      </c>
      <c r="V22" s="278"/>
      <c r="W22" s="278"/>
      <c r="X22" s="278"/>
      <c r="Y22" s="278"/>
      <c r="Z22" s="278"/>
      <c r="AA22" s="278"/>
      <c r="AB22" s="278">
        <f>AJ22*Nøgletal!P453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-AO22/IF(Nøgletal!P347+Nøgletal!Q347&gt;0,Nøgletal!P347+Nøgletal!Q347,1)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BS22/IF(Nøgletal!Q347&gt;0,Nøgletal!Q347,1)*Nøgletal!P347</f>
        <v>0</v>
      </c>
      <c r="BS22" s="278">
        <f>BS$19*Nøgletal!P305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H$4+E22*Emissionsfaktorer!$H$3+F22*Emissionsfaktorer!$H$5+H22*Emissionsfaktorer!$H$7+I22*Emissionsfaktorer!$H$8+J22*Emissionsfaktorer!$H$9+K22*Emissionsfaktorer!$H$10+L22*Emissionsfaktorer!$H$11+M22*Emissionsfaktorer!$H$12)*-1*(1-Nøgletal!$P$301)+T22*Emissionsfaktorer!$H$13*Nøgletal!$P$301</f>
        <v>0</v>
      </c>
      <c r="CA22" s="231"/>
      <c r="CB22" s="231"/>
    </row>
    <row r="23" spans="1:80" x14ac:dyDescent="0.25">
      <c r="A23" s="231"/>
      <c r="B23" s="31"/>
      <c r="C23" s="278">
        <f>AJ23*Nøgletal!P455</f>
        <v>0</v>
      </c>
      <c r="D23" s="278"/>
      <c r="E23" s="278">
        <f>AJ23*Nøgletal!P457</f>
        <v>0</v>
      </c>
      <c r="F23" s="278"/>
      <c r="G23" s="278">
        <f t="shared" si="29"/>
        <v>0</v>
      </c>
      <c r="H23" s="278"/>
      <c r="I23" s="278">
        <f>AJ23*Nøgletal!P456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AJ23*Nøgletal!P458</f>
        <v>0</v>
      </c>
      <c r="V23" s="278">
        <f>AJ23*Nøgletal!P459</f>
        <v>0</v>
      </c>
      <c r="W23" s="278">
        <f>AJ23*Nøgletal!P460</f>
        <v>0</v>
      </c>
      <c r="X23" s="278">
        <f>AJ23*Nøgletal!P461</f>
        <v>0</v>
      </c>
      <c r="Y23" s="278">
        <f>AJ23*Nøgletal!P462</f>
        <v>0</v>
      </c>
      <c r="Z23" s="278"/>
      <c r="AA23" s="278"/>
      <c r="AB23" s="278">
        <f>AJ23*Nøgletal!P463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-AO23/IF(Nøgletal!P348+Nøgletal!Q348&gt;0,Nøgletal!P348+Nøgletal!Q348,1)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BS23/IF(Nøgletal!Q348&gt;0,Nøgletal!Q348,1)*Nøgletal!P348</f>
        <v>0</v>
      </c>
      <c r="BS23" s="278">
        <f>BS$19*Nøgletal!P306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H$4+E23*Emissionsfaktorer!$H$3+F23*Emissionsfaktorer!$H$5+H23*Emissionsfaktorer!$H$7+I23*Emissionsfaktorer!$H$8+J23*Emissionsfaktorer!$H$9+K23*Emissionsfaktorer!$H$10+L23*Emissionsfaktorer!$H$11+M23*Emissionsfaktorer!$H$12)*-1*(1-Nøgletal!$P$301)+T23*Emissionsfaktorer!$H$13*Nøgletal!$P$301</f>
        <v>0</v>
      </c>
      <c r="CA23" s="231"/>
      <c r="CB23" s="231"/>
    </row>
    <row r="24" spans="1:80" x14ac:dyDescent="0.25">
      <c r="A24" s="231"/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-AO24*(1-1/IF(Nøgletal!Q349&gt;0,Nøgletal!Q349,1))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-AO24/Nøgletal!Q465/(1-Nøgletal!P294)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BS$19*Nøgletal!P307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H$4+E24*Emissionsfaktorer!$H$3+F24*Emissionsfaktorer!$H$5+H24*Emissionsfaktorer!$H$7+I24*Emissionsfaktorer!$H$8+J24*Emissionsfaktorer!$H$9+K24*Emissionsfaktorer!$H$10+L24*Emissionsfaktorer!$H$11+M24*Emissionsfaktorer!$H$12)*-1*(1-Nøgletal!$P$301)+T24*Emissionsfaktorer!$H$13*Nøgletal!$P$301</f>
        <v>0</v>
      </c>
      <c r="CA24" s="231"/>
      <c r="CB24" s="231"/>
    </row>
    <row r="25" spans="1:80" x14ac:dyDescent="0.25">
      <c r="A25" s="231"/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-AO25/IF(Nøgletal!P350+Nøgletal!Q350&gt;0,Nøgletal!P350+Nøgletal!Q350,1)/(1-Nøgletal!P294)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BS$19*Nøgletal!P308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H$4+E25*Emissionsfaktorer!$H$3+F25*Emissionsfaktorer!$H$5+H25*Emissionsfaktorer!$H$7+I25*Emissionsfaktorer!$H$8+J25*Emissionsfaktorer!$H$9+K25*Emissionsfaktorer!$H$10+L25*Emissionsfaktorer!$H$11+M25*Emissionsfaktorer!$H$12)*-1*(1-Nøgletal!$P$301)+T25*Emissionsfaktorer!$H$13*Nøgletal!$P$301</f>
        <v>0</v>
      </c>
      <c r="CA25" s="231"/>
      <c r="CB25" s="231"/>
    </row>
    <row r="26" spans="1:80" x14ac:dyDescent="0.25">
      <c r="A26" s="231"/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-AO26/IF(Nøgletal!P352+Nøgletal!Q352&gt;0,Nøgletal!P352+Nøgletal!Q352,1)/(1-Nøgletal!P295)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H$4+E26*Emissionsfaktorer!$H$3+F26*Emissionsfaktorer!$H$5+H26*Emissionsfaktorer!$H$7+I26*Emissionsfaktorer!$H$8+J26*Emissionsfaktorer!$H$9+K26*Emissionsfaktorer!$H$10+L26*Emissionsfaktorer!$H$11+M26*Emissionsfaktorer!$H$12)*-1*(1-Nøgletal!$P$301)+T26*Emissionsfaktorer!$H$13*Nøgletal!$P$301</f>
        <v>0</v>
      </c>
      <c r="CA26" s="231"/>
      <c r="CB26" s="231"/>
    </row>
    <row r="27" spans="1:80" x14ac:dyDescent="0.25">
      <c r="A27" s="231"/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Nøgletal!P270/(1-Nøgletal!P297)</f>
        <v>0</v>
      </c>
      <c r="BT27" s="23">
        <f>Nøgletal!Q270/(1-Nøgletal!Q297)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  <c r="CA27" s="231"/>
      <c r="CB27" s="231"/>
    </row>
    <row r="28" spans="1:80" x14ac:dyDescent="0.25">
      <c r="A28" s="231"/>
      <c r="B28" s="31"/>
      <c r="C28" s="278">
        <f>AJ28*Nøgletal!P479</f>
        <v>0</v>
      </c>
      <c r="D28" s="278"/>
      <c r="E28" s="278">
        <f>AJ28*Nøgletal!P481</f>
        <v>0</v>
      </c>
      <c r="F28" s="278"/>
      <c r="G28" s="278">
        <f t="shared" si="29"/>
        <v>0</v>
      </c>
      <c r="H28" s="278"/>
      <c r="I28" s="278">
        <f>AJ28*Nøgletal!P480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AJ28*Nøgletal!P482</f>
        <v>0</v>
      </c>
      <c r="V28" s="278">
        <f>AJ28*Nøgletal!P483</f>
        <v>0</v>
      </c>
      <c r="W28" s="278">
        <f>AJ28*Nøgletal!P484</f>
        <v>0</v>
      </c>
      <c r="X28" s="278">
        <f>AJ28*Nøgletal!P485</f>
        <v>0</v>
      </c>
      <c r="Y28" s="278">
        <f>AJ28*Nøgletal!P486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-AO28/IF(Nøgletal!P357+Nøgletal!Q357&gt;0,Nøgletal!P357+Nøgletal!Q357,1)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BS28/IF(Nøgletal!Q357&gt;0,Nøgletal!Q357,1)*Nøgletal!P357</f>
        <v>0</v>
      </c>
      <c r="BS28" s="286">
        <f>BS$27*Nøgletal!P317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H$4+E28*Emissionsfaktorer!$H$3+F28*Emissionsfaktorer!$H$5+H28*Emissionsfaktorer!$H$7+I28*Emissionsfaktorer!$H$8+J28*Emissionsfaktorer!$H$9+K28*Emissionsfaktorer!$H$10+L28*Emissionsfaktorer!$H$11+M28*Emissionsfaktorer!$H$12)*-1*(1-Nøgletal!$P$315)+T28*Emissionsfaktorer!$H$13*Nøgletal!$P$315</f>
        <v>0</v>
      </c>
      <c r="CA28" s="231"/>
      <c r="CB28" s="231"/>
    </row>
    <row r="29" spans="1:80" x14ac:dyDescent="0.25">
      <c r="A29" s="231"/>
      <c r="B29" s="31"/>
      <c r="C29" s="278"/>
      <c r="D29" s="278"/>
      <c r="E29" s="278">
        <f>AJ29*Nøgletal!P492</f>
        <v>0</v>
      </c>
      <c r="F29" s="278"/>
      <c r="G29" s="278">
        <f t="shared" si="29"/>
        <v>0</v>
      </c>
      <c r="H29" s="278"/>
      <c r="I29" s="278">
        <f>AJ29*Nøgletal!P488</f>
        <v>0</v>
      </c>
      <c r="J29" s="278">
        <f>AJ29*Nøgletal!P489</f>
        <v>0</v>
      </c>
      <c r="K29" s="278">
        <f>AJ29*Nøgletal!P490</f>
        <v>0</v>
      </c>
      <c r="L29" s="278"/>
      <c r="M29" s="278">
        <f>AJ29*Nøgletal!P491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AJ29*Nøgletal!P493</f>
        <v>0</v>
      </c>
      <c r="V29" s="278">
        <f>AJ29*Nøgletal!P494</f>
        <v>0</v>
      </c>
      <c r="W29" s="278">
        <f>AJ29*Nøgletal!P495</f>
        <v>0</v>
      </c>
      <c r="X29" s="278">
        <f>AJ29*Nøgletal!P496</f>
        <v>0</v>
      </c>
      <c r="Y29" s="278">
        <f>Nøgletal!P497</f>
        <v>0</v>
      </c>
      <c r="Z29" s="278"/>
      <c r="AA29" s="278"/>
      <c r="AB29" s="278">
        <f>AJ29*Nøgletal!P498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-AO29/IF(Nøgletal!P358+Nøgletal!Q358&gt;0,Nøgletal!P358+Nøgletal!Q358,1)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BS29/IF(Nøgletal!Q358&gt;0,Nøgletal!Q358,1)*Nøgletal!P358</f>
        <v>0</v>
      </c>
      <c r="BS29" s="286">
        <f>BS$27*Nøgletal!P318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H$4+E29*Emissionsfaktorer!$H$3+F29*Emissionsfaktorer!$H$5+H29*Emissionsfaktorer!$H$7+I29*Emissionsfaktorer!$H$8+J29*Emissionsfaktorer!$H$9+K29*Emissionsfaktorer!$H$10+L29*Emissionsfaktorer!$H$11+M29*Emissionsfaktorer!$H$12)*-1*(1-Nøgletal!$P$315)+T29*Emissionsfaktorer!$H$13*Nøgletal!$P$315</f>
        <v>0</v>
      </c>
      <c r="CA29" s="231"/>
      <c r="CB29" s="231"/>
    </row>
    <row r="30" spans="1:80" x14ac:dyDescent="0.25">
      <c r="A30" s="231"/>
      <c r="B30" s="31"/>
      <c r="C30" s="278"/>
      <c r="D30" s="278"/>
      <c r="E30" s="278">
        <f>AJ30*Nøgletal!P500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AJ30*Nøgletal!P501</f>
        <v>0</v>
      </c>
      <c r="V30" s="278"/>
      <c r="W30" s="278"/>
      <c r="X30" s="278"/>
      <c r="Y30" s="278"/>
      <c r="Z30" s="278"/>
      <c r="AA30" s="278"/>
      <c r="AB30" s="278">
        <f>AJ30*Nøgletal!P502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-AO30/IF(Nøgletal!P359+Nøgletal!Q359&gt;0,Nøgletal!P359+Nøgletal!Q359,1)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BS30/IF(Nøgletal!Q359&gt;0,Nøgletal!Q359,1)*Nøgletal!P359</f>
        <v>0</v>
      </c>
      <c r="BS30" s="286">
        <f>BS$27*Nøgletal!P319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H$4+E30*Emissionsfaktorer!$H$3+F30*Emissionsfaktorer!$H$5+H30*Emissionsfaktorer!$H$7+I30*Emissionsfaktorer!$H$8+J30*Emissionsfaktorer!$H$9+K30*Emissionsfaktorer!$H$10+L30*Emissionsfaktorer!$H$11+M30*Emissionsfaktorer!$H$12)*-1*(1-Nøgletal!$P$315)+T30*Emissionsfaktorer!$H$13*Nøgletal!$P$315</f>
        <v>0</v>
      </c>
      <c r="CA30" s="231"/>
      <c r="CB30" s="231"/>
    </row>
    <row r="31" spans="1:80" x14ac:dyDescent="0.25">
      <c r="A31" s="231"/>
      <c r="B31" s="31"/>
      <c r="C31" s="278">
        <f>AJ31*Nøgletal!P504</f>
        <v>0</v>
      </c>
      <c r="D31" s="278"/>
      <c r="E31" s="278">
        <f>AJ31*Nøgletal!P506</f>
        <v>0</v>
      </c>
      <c r="F31" s="278"/>
      <c r="G31" s="278">
        <f t="shared" si="29"/>
        <v>0</v>
      </c>
      <c r="H31" s="278"/>
      <c r="I31" s="278">
        <f>AJ31*Nøgletal!P505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AJ31*Nøgletal!P507</f>
        <v>0</v>
      </c>
      <c r="V31" s="278">
        <f>AJ31*Nøgletal!P508</f>
        <v>0</v>
      </c>
      <c r="W31" s="278">
        <f>AJ31*Nøgletal!P509</f>
        <v>0</v>
      </c>
      <c r="X31" s="278">
        <f>AJ31*Nøgletal!P510</f>
        <v>0</v>
      </c>
      <c r="Y31" s="278">
        <f>AJ31*Nøgletal!P511</f>
        <v>0</v>
      </c>
      <c r="Z31" s="278"/>
      <c r="AA31" s="278"/>
      <c r="AB31" s="278">
        <f>AJ31*Nøgletal!P512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-AO31/IF(Nøgletal!P360+Nøgletal!Q360&gt;0,Nøgletal!P360+Nøgletal!Q360,1)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BS31/IF(Nøgletal!Q360&gt;0,Nøgletal!Q360,1)*Nøgletal!P360</f>
        <v>0</v>
      </c>
      <c r="BS31" s="286">
        <f>BS$27*Nøgletal!P320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H$4+E31*Emissionsfaktorer!$H$3+F31*Emissionsfaktorer!$H$5+H31*Emissionsfaktorer!$H$7+I31*Emissionsfaktorer!$H$8+J31*Emissionsfaktorer!$H$9+K31*Emissionsfaktorer!$H$10+L31*Emissionsfaktorer!$H$11+M31*Emissionsfaktorer!$H$12)*-1*(1-Nøgletal!$P$315)+T31*Emissionsfaktorer!$H$13*Nøgletal!$P$315</f>
        <v>0</v>
      </c>
      <c r="CA31" s="231"/>
      <c r="CB31" s="231"/>
    </row>
    <row r="32" spans="1:80" x14ac:dyDescent="0.25">
      <c r="A32" s="231"/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AO32*(1-1/IF(Nøgletal!Q361&gt;0,Nøgletal!Q361,1))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-AO32/Nøgletal!Q514/(1-Nøgletal!P294)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BS$27*Nøgletal!P321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H$4+E32*Emissionsfaktorer!$H$3+F32*Emissionsfaktorer!$H$5+H32*Emissionsfaktorer!$H$7+I32*Emissionsfaktorer!$H$8+J32*Emissionsfaktorer!$H$9+K32*Emissionsfaktorer!$H$10+L32*Emissionsfaktorer!$H$11+M32*Emissionsfaktorer!$H$12)*-1*(1-Nøgletal!$P$315)+T32*Emissionsfaktorer!$H$13*Nøgletal!$P$315</f>
        <v>0</v>
      </c>
      <c r="CA32" s="231"/>
      <c r="CB32" s="231"/>
    </row>
    <row r="33" spans="1:80" x14ac:dyDescent="0.25">
      <c r="A33" s="231"/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-AO33/IF(Nøgletal!P362+Nøgletal!Q362&gt;0,Nøgletal!P362+Nøgletal!Q362,1)/(1-Nøgletal!P294)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BS$27*Nøgletal!P322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H$4+E33*Emissionsfaktorer!$H$3+F33*Emissionsfaktorer!$H$5+H33*Emissionsfaktorer!$H$7+I33*Emissionsfaktorer!$H$8+J33*Emissionsfaktorer!$H$9+K33*Emissionsfaktorer!$H$10+L33*Emissionsfaktorer!$H$11+M33*Emissionsfaktorer!$H$12)*-1*(1-Nøgletal!$P$315)+T33*Emissionsfaktorer!$H$13*Nøgletal!$P$315</f>
        <v>0</v>
      </c>
      <c r="CA33" s="231"/>
      <c r="CB33" s="231"/>
    </row>
    <row r="34" spans="1:80" x14ac:dyDescent="0.25">
      <c r="A34" s="231"/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-AO34/IF(Nøgletal!P363+Nøgletal!Q363&gt;0,Nøgletal!P363+Nøgletal!Q363,1)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BS34/IF(Nøgletal!Q363&gt;0,Nøgletal!Q363,1)*Nøgletal!P363</f>
        <v>0</v>
      </c>
      <c r="BS34" s="286">
        <f>BS$27*Nøgletal!P323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H$4+E34*Emissionsfaktorer!$H$3+F34*Emissionsfaktorer!$H$5+H34*Emissionsfaktorer!$H$7+I34*Emissionsfaktorer!$H$8+J34*Emissionsfaktorer!$H$9+K34*Emissionsfaktorer!$H$10+L34*Emissionsfaktorer!$H$11+M34*Emissionsfaktorer!$H$12)*-1*(1-Nøgletal!$P$315)+T34*Emissionsfaktorer!$H$13*Nøgletal!$P$315</f>
        <v>0</v>
      </c>
      <c r="CA34" s="231"/>
      <c r="CB34" s="231"/>
    </row>
    <row r="35" spans="1:80" x14ac:dyDescent="0.25">
      <c r="A35" s="231"/>
      <c r="B35" s="31"/>
      <c r="C35" s="278">
        <f>AJ35*Nøgletal!P518</f>
        <v>0</v>
      </c>
      <c r="D35" s="278"/>
      <c r="E35" s="278">
        <f>AJ35*Nøgletal!P520</f>
        <v>0</v>
      </c>
      <c r="F35" s="278"/>
      <c r="G35" s="278">
        <f t="shared" si="29"/>
        <v>0</v>
      </c>
      <c r="H35" s="278"/>
      <c r="I35" s="278">
        <f>AJ35*Nøgletal!P519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AJ35*Nøgletal!P521</f>
        <v>0</v>
      </c>
      <c r="V35" s="278">
        <f>AJ35*Nøgletal!P522</f>
        <v>0</v>
      </c>
      <c r="W35" s="278">
        <f>AJ35*Nøgletal!P523</f>
        <v>0</v>
      </c>
      <c r="X35" s="278">
        <f>AJ35*Nøgletal!P524</f>
        <v>0</v>
      </c>
      <c r="Y35" s="278">
        <f>AJ35*Nøgletal!P525</f>
        <v>0</v>
      </c>
      <c r="Z35" s="278"/>
      <c r="AA35" s="278"/>
      <c r="AB35" s="278">
        <f>AJ35*Nøgletal!P526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-AO35/IF(Nøgletal!P364+Nøgletal!Q364&gt;0,Nøgletal!P364+Nøgletal!Q364,1)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BS35/IF(Nøgletal!Q364&gt;0,Nøgletal!Q364,1)*Nøgletal!P364</f>
        <v>0</v>
      </c>
      <c r="BS35" s="286">
        <f>BS$27*Nøgletal!P324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H$4+E35*Emissionsfaktorer!$H$3+F35*Emissionsfaktorer!$H$5+H35*Emissionsfaktorer!$H$7+I35*Emissionsfaktorer!$H$8+J35*Emissionsfaktorer!$H$9+K35*Emissionsfaktorer!$H$10+L35*Emissionsfaktorer!$H$11+M35*Emissionsfaktorer!$H$12)*-1*(1-Nøgletal!$P$315)+T35*Emissionsfaktorer!$H$13*Nøgletal!$P$315</f>
        <v>0</v>
      </c>
      <c r="CA35" s="231"/>
      <c r="CB35" s="231"/>
    </row>
    <row r="36" spans="1:80" x14ac:dyDescent="0.25">
      <c r="A36" s="231"/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H$4+E36*Emissionsfaktorer!$H$3+F36*Emissionsfaktorer!$H$5+H36*Emissionsfaktorer!$H$7+I36*Emissionsfaktorer!$H$8+J36*Emissionsfaktorer!$H$9+K36*Emissionsfaktorer!$H$10+L36*Emissionsfaktorer!$H$11+M36*Emissionsfaktorer!$H$12)*-1*(1-Nøgletal!$P$315)+T36*Emissionsfaktorer!$H$13*Nøgletal!$P$315</f>
        <v>0</v>
      </c>
      <c r="CA36" s="231"/>
      <c r="CB36" s="231"/>
    </row>
    <row r="37" spans="1:80" x14ac:dyDescent="0.25">
      <c r="A37" s="231"/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0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0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0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0</v>
      </c>
      <c r="AP37" s="37">
        <f t="shared" si="6"/>
        <v>0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0</v>
      </c>
      <c r="BS37" s="23">
        <f>Nøgletal!P271/(1-Nøgletal!P298)</f>
        <v>0</v>
      </c>
      <c r="BT37" s="23">
        <f>Nøgletal!Q271/(1-Nøgletal!Q298)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0</v>
      </c>
      <c r="BZ37" s="126">
        <f t="shared" si="37"/>
        <v>0</v>
      </c>
      <c r="CA37" s="231"/>
      <c r="CB37" s="231"/>
    </row>
    <row r="38" spans="1:80" x14ac:dyDescent="0.25">
      <c r="A38" s="231"/>
      <c r="B38" s="31"/>
      <c r="C38" s="278"/>
      <c r="D38" s="278"/>
      <c r="E38" s="278">
        <f>AJ38*Nøgletal!P532</f>
        <v>0</v>
      </c>
      <c r="F38" s="278"/>
      <c r="G38" s="278">
        <f t="shared" si="29"/>
        <v>0</v>
      </c>
      <c r="H38" s="278"/>
      <c r="I38" s="278">
        <f>AJ38*Nøgletal!P528</f>
        <v>0</v>
      </c>
      <c r="J38" s="278">
        <f>AJ38*Nøgletal!P529</f>
        <v>0</v>
      </c>
      <c r="K38" s="278">
        <f>AJ38*Nøgletal!P530</f>
        <v>0</v>
      </c>
      <c r="L38" s="278"/>
      <c r="M38" s="278">
        <f>AJ38*Nøgletal!P531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0</v>
      </c>
      <c r="U38" s="278">
        <f>AJ38*Nøgletal!P533</f>
        <v>0</v>
      </c>
      <c r="V38" s="278">
        <f>Nøgletal!P534</f>
        <v>0</v>
      </c>
      <c r="W38" s="278">
        <f>AJ38*Nøgletal!P535</f>
        <v>0</v>
      </c>
      <c r="X38" s="278">
        <f>Nøgletal!P536</f>
        <v>0</v>
      </c>
      <c r="Y38" s="278">
        <f>AJ38*Nøgletal!P537</f>
        <v>0</v>
      </c>
      <c r="Z38" s="278"/>
      <c r="AA38" s="278"/>
      <c r="AB38" s="278">
        <f>AJ38*Nøgletal!P538</f>
        <v>0</v>
      </c>
      <c r="AC38" s="280"/>
      <c r="AD38" s="280"/>
      <c r="AE38" s="280"/>
      <c r="AF38" s="280"/>
      <c r="AG38" s="280"/>
      <c r="AH38" s="280"/>
      <c r="AI38" s="280"/>
      <c r="AJ38" s="105">
        <f>-AO38/IF(Nøgletal!P366+Nøgletal!Q366&gt;0,Nøgletal!P366+Nøgletal!Q366,1)</f>
        <v>0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0</v>
      </c>
      <c r="AP38" s="37">
        <f t="shared" si="6"/>
        <v>0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Nøgletal!P275</f>
        <v>0</v>
      </c>
      <c r="BS38" s="292">
        <f>BS$37*Nøgletal!P327</f>
        <v>0</v>
      </c>
      <c r="BT38" s="280"/>
      <c r="BU38" s="280"/>
      <c r="BV38" s="280"/>
      <c r="BW38" s="280"/>
      <c r="BX38" s="280"/>
      <c r="BY38" s="124">
        <f>(AJ38+AO38)*-1</f>
        <v>0</v>
      </c>
      <c r="BZ38" s="123">
        <f>(C38*Emissionsfaktorer!$H$4+E38*Emissionsfaktorer!$H$3+F38*Emissionsfaktorer!$H$5+H38*Emissionsfaktorer!$H$7+I38*Emissionsfaktorer!$H$8+J38*Emissionsfaktorer!$H$9+K38*Emissionsfaktorer!$H$10+L38*Emissionsfaktorer!$H$11+M38*Emissionsfaktorer!$H$12)*-1*(1-Nøgletal!$P$325)+T38*Emissionsfaktorer!$H$13*Nøgletal!$P$325</f>
        <v>0</v>
      </c>
      <c r="CA38" s="231"/>
      <c r="CB38" s="231"/>
    </row>
    <row r="39" spans="1:80" x14ac:dyDescent="0.25">
      <c r="A39" s="231"/>
      <c r="B39" s="31"/>
      <c r="C39" s="278">
        <f>AJ39*Nøgletal!P540</f>
        <v>0</v>
      </c>
      <c r="D39" s="278"/>
      <c r="E39" s="278">
        <f>AJ39*Nøgletal!P542</f>
        <v>0</v>
      </c>
      <c r="F39" s="278"/>
      <c r="G39" s="278">
        <f t="shared" si="29"/>
        <v>0</v>
      </c>
      <c r="H39" s="278"/>
      <c r="I39" s="278">
        <f>AJ39*Nøgletal!P541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AJ39*Nøgletal!P543</f>
        <v>0</v>
      </c>
      <c r="V39" s="278">
        <f>AJ39*Nøgletal!P544</f>
        <v>0</v>
      </c>
      <c r="W39" s="278">
        <f>AJ39*Nøgletal!P545</f>
        <v>0</v>
      </c>
      <c r="X39" s="278">
        <f>AJ39*Nøgletal!P547</f>
        <v>0</v>
      </c>
      <c r="Y39" s="278">
        <f>AJ39*Nøgletal!P548</f>
        <v>0</v>
      </c>
      <c r="Z39" s="278"/>
      <c r="AA39" s="278"/>
      <c r="AB39" s="278">
        <f>Nøgletal!P549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-AO39/IF(Nøgletal!P367+Nøgletal!Q367&gt;0,Nøgletal!P367+Nøgletal!Q367,1)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BS39/IF(Nøgletal!Q367&gt;0,Nøgletal!Q367,1)*Nøgletal!P367</f>
        <v>0</v>
      </c>
      <c r="BS39" s="292">
        <f>BS$37*Nøgletal!P328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H$4+E39*Emissionsfaktorer!$H$3+F39*Emissionsfaktorer!$H$5+H39*Emissionsfaktorer!$H$7+I39*Emissionsfaktorer!$H$8+J39*Emissionsfaktorer!$H$9+K39*Emissionsfaktorer!$H$10+L39*Emissionsfaktorer!$H$11+M39*Emissionsfaktorer!$H$12)*-1*(1-Nøgletal!$P$325)+T39*Emissionsfaktorer!$H$13*Nøgletal!$P$325</f>
        <v>0</v>
      </c>
      <c r="CA39" s="231"/>
      <c r="CB39" s="231"/>
    </row>
    <row r="40" spans="1:80" x14ac:dyDescent="0.25">
      <c r="A40" s="231"/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H$4+E40*Emissionsfaktorer!$H$3+F40*Emissionsfaktorer!$H$5+H40*Emissionsfaktorer!$H$7+I40*Emissionsfaktorer!$H$8+J40*Emissionsfaktorer!$H$9+K40*Emissionsfaktorer!$H$10+L40*Emissionsfaktorer!$H$11+M40*Emissionsfaktorer!$H$12)*-1*(1-Nøgletal!$P$325)+T40*Emissionsfaktorer!$H$13*Nøgletal!$P$325</f>
        <v>0</v>
      </c>
      <c r="CA40" s="231"/>
      <c r="CB40" s="231"/>
    </row>
    <row r="41" spans="1:80" x14ac:dyDescent="0.25">
      <c r="A41" s="231"/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Nøgletal!P269/(1-Nøgletal!P296)</f>
        <v>0</v>
      </c>
      <c r="BT41" s="23">
        <f>Nøgletal!Q269/(1-Nøgletal!Q296)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  <c r="CA41" s="231"/>
      <c r="CB41" s="231"/>
    </row>
    <row r="42" spans="1:80" x14ac:dyDescent="0.25">
      <c r="A42" s="231"/>
      <c r="B42" s="31"/>
      <c r="C42" s="278"/>
      <c r="D42" s="278"/>
      <c r="E42" s="278"/>
      <c r="F42" s="278">
        <f>AJ42*Nøgletal!P469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AJ42*Nøgletal!P467</f>
        <v>0</v>
      </c>
      <c r="AA42" s="278">
        <f>AJ42*Nøgletal!P468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-AO42/IF(Nøgletal!P353+Nøgletal!Q353&gt;0,Nøgletal!P353+Nøgletal!Q353,1)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BS42/IF(Nøgletal!Q353&gt;0,Nøgletal!Q353,1)*Nøgletal!P353</f>
        <v>0</v>
      </c>
      <c r="BS42" s="289">
        <f>BS$41*Nøgletal!P312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H$4+E42*Emissionsfaktorer!$H$3+F42*Emissionsfaktorer!$H$5+H42*Emissionsfaktorer!$H$7+I42*Emissionsfaktorer!$H$8+J42*Emissionsfaktorer!$H$9+K42*Emissionsfaktorer!$H$10+L42*Emissionsfaktorer!$H$11+M42*Emissionsfaktorer!$H$12)*-1*(1-Nøgletal!$P$310)+T42*Emissionsfaktorer!$H$13*Nøgletal!$P$310</f>
        <v>0</v>
      </c>
      <c r="CA42" s="231"/>
      <c r="CB42" s="231"/>
    </row>
    <row r="43" spans="1:80" x14ac:dyDescent="0.25">
      <c r="A43" s="231"/>
      <c r="B43" s="31"/>
      <c r="C43" s="278"/>
      <c r="D43" s="278"/>
      <c r="E43" s="278"/>
      <c r="F43" s="278">
        <f>AJ43*Nøgletal!P473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AJ43*Nøgletal!P471</f>
        <v>0</v>
      </c>
      <c r="AA43" s="278">
        <f>AJ43*Nøgletal!P472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-AO43/IF(Nøgletal!P354+Nøgletal!Q354&gt;0,Nøgletal!P354+Nøgletal!Q354,1)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BS43/IF(Nøgletal!Q354&gt;0,Nøgletal!Q354,1)*Nøgletal!P354</f>
        <v>0</v>
      </c>
      <c r="BS43" s="289">
        <f>BS$41*Nøgletal!P313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H$4+E43*Emissionsfaktorer!$H$3+F43*Emissionsfaktorer!$H$5+H43*Emissionsfaktorer!$H$7+I43*Emissionsfaktorer!$H$8+J43*Emissionsfaktorer!$H$9+K43*Emissionsfaktorer!$H$10+L43*Emissionsfaktorer!$H$11+M43*Emissionsfaktorer!$H$12)*-1*(1-Nøgletal!$P$310)+T43*Emissionsfaktorer!$H$13*Nøgletal!$P$310</f>
        <v>0</v>
      </c>
      <c r="CA43" s="231"/>
      <c r="CB43" s="231"/>
    </row>
    <row r="44" spans="1:80" x14ac:dyDescent="0.25">
      <c r="A44" s="231"/>
      <c r="B44" s="31"/>
      <c r="C44" s="278"/>
      <c r="D44" s="278"/>
      <c r="E44" s="278"/>
      <c r="F44" s="278">
        <f>AJ44*Nøgletal!P477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AJ44*Nøgletal!P475</f>
        <v>0</v>
      </c>
      <c r="AA44" s="278">
        <f>AJ44*Nøgletal!P476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-AO44/IF(Nøgletal!P355+Nøgletal!Q355&gt;0,Nøgletal!P355+Nøgletal!Q355,1)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BS44/IF(Nøgletal!Q355&gt;0,Nøgletal!Q355,1)*Nøgletal!P355</f>
        <v>0</v>
      </c>
      <c r="BS44" s="289">
        <f>BS$41*Nøgletal!P314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H$4+E44*Emissionsfaktorer!$H$3+F44*Emissionsfaktorer!$H$5+H44*Emissionsfaktorer!$H$7+I44*Emissionsfaktorer!$H$8+J44*Emissionsfaktorer!$H$9+K44*Emissionsfaktorer!$H$10+L44*Emissionsfaktorer!$H$11+M44*Emissionsfaktorer!$H$12)*-1*(1-Nøgletal!$P$310)+T44*Emissionsfaktorer!$H$13*Nøgletal!$P$310</f>
        <v>0</v>
      </c>
      <c r="CA44" s="231"/>
      <c r="CB44" s="231"/>
    </row>
    <row r="45" spans="1:80" x14ac:dyDescent="0.25">
      <c r="A45" s="231"/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H$4+E45*Emissionsfaktorer!$H$3+F45*Emissionsfaktorer!$H$5+H45*Emissionsfaktorer!$H$7+I45*Emissionsfaktorer!$H$8+J45*Emissionsfaktorer!$H$9+K45*Emissionsfaktorer!$H$10+L45*Emissionsfaktorer!$H$11+M45*Emissionsfaktorer!$H$12)*-1*(1-Nøgletal!$P$310)+T45*Emissionsfaktorer!$H$13*Nøgletal!$P$310</f>
        <v>0</v>
      </c>
      <c r="CA45" s="231"/>
      <c r="CB45" s="231"/>
    </row>
    <row r="46" spans="1:80" x14ac:dyDescent="0.25">
      <c r="A46" s="231"/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-142.40040000000002</v>
      </c>
      <c r="AD46" s="23">
        <f t="shared" si="40"/>
        <v>0</v>
      </c>
      <c r="AE46" s="23">
        <f t="shared" si="40"/>
        <v>0</v>
      </c>
      <c r="AF46" s="23">
        <f t="shared" si="40"/>
        <v>-372.63240000000002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-515.03280000000007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515.03280000000007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372.63240000000002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142.40040000000002</v>
      </c>
      <c r="BX46" s="23"/>
      <c r="BY46" s="126">
        <f t="shared" si="41"/>
        <v>0</v>
      </c>
      <c r="BZ46" s="126">
        <f t="shared" si="41"/>
        <v>0</v>
      </c>
      <c r="CA46" s="231"/>
      <c r="CB46" s="231"/>
    </row>
    <row r="47" spans="1:80" x14ac:dyDescent="0.25">
      <c r="A47" s="231"/>
      <c r="B47" s="31"/>
      <c r="C47" s="278">
        <f>AJ47*Nøgletal!P586</f>
        <v>0</v>
      </c>
      <c r="D47" s="278"/>
      <c r="E47" s="278">
        <f>AJ47*Nøgletal!P588</f>
        <v>0</v>
      </c>
      <c r="F47" s="278"/>
      <c r="G47" s="278">
        <f t="shared" si="29"/>
        <v>0</v>
      </c>
      <c r="H47" s="278"/>
      <c r="I47" s="278">
        <f>AJ47*Nøgletal!P587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AJ47*Nøgletal!P589</f>
        <v>0</v>
      </c>
      <c r="V47" s="278">
        <f>AJ47*Nøgletal!P590</f>
        <v>0</v>
      </c>
      <c r="W47" s="278">
        <f>AJ47*Nøgletal!P591</f>
        <v>0</v>
      </c>
      <c r="X47" s="278">
        <f>AJ47*Nøgletal!P592</f>
        <v>0</v>
      </c>
      <c r="Y47" s="278">
        <f>AJ47*Nøgletal!P593</f>
        <v>0</v>
      </c>
      <c r="Z47" s="278"/>
      <c r="AA47" s="278"/>
      <c r="AB47" s="278">
        <f>AJ47*Nøgletal!P594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-AO47/IF(Nøgletal!P375+Nøgletal!Q375&gt;0,Nøgletal!P375+Nøgletal!Q375,1)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BS47/IF(Nøgletal!Q375&gt;0,Nøgletal!Q375,1)*Nøgletal!P375</f>
        <v>0</v>
      </c>
      <c r="BS47" s="292">
        <f>(Nøgletal!P$202+Nøgletal!P$273/(1-Nøgletal!P$300))*Nøgletal!P338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H$4+E47*Emissionsfaktorer!$H$3+F47*Emissionsfaktorer!$H$5+H47*Emissionsfaktorer!$H$7+I47*Emissionsfaktorer!$H$8+J47*Emissionsfaktorer!$H$9+K47*Emissionsfaktorer!$H$10+L47*Emissionsfaktorer!$H$11+M47*Emissionsfaktorer!$H$12)*-1*(1-Nøgletal!$P$336)+T47*Emissionsfaktorer!$H$13*Nøgletal!$P$336</f>
        <v>0</v>
      </c>
      <c r="CA47" s="231"/>
      <c r="CB47" s="231"/>
    </row>
    <row r="48" spans="1:80" x14ac:dyDescent="0.25">
      <c r="A48" s="231"/>
      <c r="B48" s="31"/>
      <c r="C48" s="278"/>
      <c r="D48" s="278"/>
      <c r="E48" s="278">
        <f>AJ48*Nøgletal!P600</f>
        <v>0</v>
      </c>
      <c r="F48" s="278"/>
      <c r="G48" s="278">
        <f t="shared" si="29"/>
        <v>0</v>
      </c>
      <c r="H48" s="278"/>
      <c r="I48" s="278">
        <f>AJ48*Nøgletal!P596</f>
        <v>0</v>
      </c>
      <c r="J48" s="278">
        <f>AJ48*Nøgletal!P597</f>
        <v>0</v>
      </c>
      <c r="K48" s="278">
        <f>AJ48*Nøgletal!P598</f>
        <v>0</v>
      </c>
      <c r="L48" s="278"/>
      <c r="M48" s="278">
        <f>AJ48*Nøgletal!P599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AJ48*Nøgletal!P601</f>
        <v>0</v>
      </c>
      <c r="V48" s="278">
        <f>Nøgletal!P602</f>
        <v>0</v>
      </c>
      <c r="W48" s="278">
        <f>Nøgletal!P603</f>
        <v>0</v>
      </c>
      <c r="X48" s="278">
        <f>AJ48*Nøgletal!P604</f>
        <v>0</v>
      </c>
      <c r="Y48" s="278">
        <f>AJ48*Nøgletal!P605</f>
        <v>0</v>
      </c>
      <c r="Z48" s="278"/>
      <c r="AA48" s="278"/>
      <c r="AB48" s="278">
        <f>AJ48*Nøgletal!P606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-AO48/IF(Nøgletal!P376+Nøgletal!Q376&gt;0,Nøgletal!P376+Nøgletal!Q376,1)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BS48/IF(Nøgletal!Q376&gt;0,Nøgletal!Q376,1)*Nøgletal!P376</f>
        <v>0</v>
      </c>
      <c r="BS48" s="292">
        <f>(Nøgletal!P$202+Nøgletal!P$273/(1-Nøgletal!P$300))*Nøgletal!P339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H$4+E48*Emissionsfaktorer!$H$3+F48*Emissionsfaktorer!$H$5+H48*Emissionsfaktorer!$H$7+I48*Emissionsfaktorer!$H$8+J48*Emissionsfaktorer!$H$9+K48*Emissionsfaktorer!$H$10+L48*Emissionsfaktorer!$H$11+M48*Emissionsfaktorer!$H$12)*-1*(1-Nøgletal!$P$336)+T48*Emissionsfaktorer!$H$13*Nøgletal!$P$336</f>
        <v>0</v>
      </c>
      <c r="CA48" s="231"/>
      <c r="CB48" s="231"/>
    </row>
    <row r="49" spans="1:80" x14ac:dyDescent="0.25">
      <c r="A49" s="231"/>
      <c r="B49" s="31"/>
      <c r="C49" s="278"/>
      <c r="D49" s="278"/>
      <c r="E49" s="278">
        <f>AJ49*Nøgletal!P608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AJ49*Nøgletal!P609</f>
        <v>0</v>
      </c>
      <c r="V49" s="278"/>
      <c r="W49" s="278"/>
      <c r="X49" s="278"/>
      <c r="Y49" s="278"/>
      <c r="Z49" s="278"/>
      <c r="AA49" s="278"/>
      <c r="AB49" s="278">
        <f>AJ49*Nøgletal!P610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-AO49/IF(Nøgletal!P377+Nøgletal!Q377&gt;0,Nøgletal!P377+Nøgletal!Q377,1)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BS49/IF(Nøgletal!Q377&gt;0,Nøgletal!Q377,1)*Nøgletal!P377</f>
        <v>0</v>
      </c>
      <c r="BS49" s="292">
        <f>(Nøgletal!P$202+Nøgletal!P$273/(1-Nøgletal!P$300))*Nøgletal!P340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H$4+E49*Emissionsfaktorer!$H$3+F49*Emissionsfaktorer!$H$5+H49*Emissionsfaktorer!$H$7+I49*Emissionsfaktorer!$H$8+J49*Emissionsfaktorer!$H$9+K49*Emissionsfaktorer!$H$10+L49*Emissionsfaktorer!$H$11+M49*Emissionsfaktorer!$H$12)*-1*(1-Nøgletal!$P$336)+T49*Emissionsfaktorer!$H$13*Nøgletal!$P$336</f>
        <v>0</v>
      </c>
      <c r="CA49" s="231"/>
      <c r="CB49" s="231"/>
    </row>
    <row r="50" spans="1:80" x14ac:dyDescent="0.25">
      <c r="A50" s="231"/>
      <c r="B50" s="31"/>
      <c r="C50" s="278">
        <f>AJ50*Nøgletal!P612</f>
        <v>0</v>
      </c>
      <c r="D50" s="278"/>
      <c r="E50" s="278">
        <f>AJ50*Nøgletal!P614</f>
        <v>0</v>
      </c>
      <c r="F50" s="278"/>
      <c r="G50" s="278">
        <f t="shared" si="29"/>
        <v>0</v>
      </c>
      <c r="H50" s="278"/>
      <c r="I50" s="278">
        <f>AJ50*Nøgletal!P613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AJ50*Nøgletal!P615</f>
        <v>0</v>
      </c>
      <c r="V50" s="278">
        <f>AJ50*Nøgletal!P626</f>
        <v>0</v>
      </c>
      <c r="W50" s="278">
        <f>AJ50*Nøgletal!P617</f>
        <v>0</v>
      </c>
      <c r="X50" s="278">
        <f>AJ50*Nøgletal!P628</f>
        <v>0</v>
      </c>
      <c r="Y50" s="278">
        <f>AJ50*Nøgletal!P619</f>
        <v>0</v>
      </c>
      <c r="Z50" s="278"/>
      <c r="AA50" s="278"/>
      <c r="AB50" s="278">
        <f>AJ50*Nøgletal!P620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-AO50/IF(Nøgletal!P378+Nøgletal!Q378&gt;0,Nøgletal!P378+Nøgletal!Q378,1)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BS50/IF(Nøgletal!Q378&gt;0,Nøgletal!Q378,1)*Nøgletal!P378</f>
        <v>0</v>
      </c>
      <c r="BS50" s="292">
        <f>(Nøgletal!P$202+Nøgletal!P$273/(1-Nøgletal!P$300))*Nøgletal!P341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H$4+E50*Emissionsfaktorer!$H$3+F50*Emissionsfaktorer!$H$5+H50*Emissionsfaktorer!$H$7+I50*Emissionsfaktorer!$H$8+J50*Emissionsfaktorer!$H$9+K50*Emissionsfaktorer!$H$10+L50*Emissionsfaktorer!$H$11+M50*Emissionsfaktorer!$H$12)*-1*(1-Nøgletal!$P$336)+T50*Emissionsfaktorer!$H$13*Nøgletal!$P$336</f>
        <v>0</v>
      </c>
      <c r="CA50" s="231"/>
      <c r="CB50" s="231"/>
    </row>
    <row r="51" spans="1:80" x14ac:dyDescent="0.25">
      <c r="A51" s="231"/>
      <c r="B51" s="31"/>
      <c r="C51" s="278">
        <f>AJ51*Nøgletal!P622</f>
        <v>0</v>
      </c>
      <c r="D51" s="278"/>
      <c r="E51" s="278">
        <f>AJ51*Nøgletal!P624</f>
        <v>0</v>
      </c>
      <c r="F51" s="278"/>
      <c r="G51" s="278">
        <f t="shared" si="29"/>
        <v>0</v>
      </c>
      <c r="H51" s="278"/>
      <c r="I51" s="278">
        <f>AJ51*Nøgletal!P623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AJ51*Nøgletal!P625</f>
        <v>0</v>
      </c>
      <c r="V51" s="278">
        <f>AJ51*Nøgletal!P626</f>
        <v>0</v>
      </c>
      <c r="W51" s="278">
        <f>AJ51*Nøgletal!P627</f>
        <v>0</v>
      </c>
      <c r="X51" s="278">
        <f>AJ51*Nøgletal!P628</f>
        <v>0</v>
      </c>
      <c r="Y51" s="278">
        <f>AJ51*Nøgletal!P629</f>
        <v>0</v>
      </c>
      <c r="Z51" s="278"/>
      <c r="AA51" s="278"/>
      <c r="AB51" s="278">
        <f>AJ51*Nøgletal!P630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-AO51/IF(Nøgletal!P379+Nøgletal!Q379&gt;0,Nøgletal!P379+Nøgletal!Q379,1)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BS51/IF(Nøgletal!Q379&gt;0,Nøgletal!Q379,1)*Nøgletal!P379</f>
        <v>0</v>
      </c>
      <c r="BS51" s="292">
        <f>(Nøgletal!P$202+Nøgletal!P$273/(1-Nøgletal!P$300))*Nøgletal!P342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H$4+E51*Emissionsfaktorer!$H$3+F51*Emissionsfaktorer!$H$5+H51*Emissionsfaktorer!$H$7+I51*Emissionsfaktorer!$H$8+J51*Emissionsfaktorer!$H$9+K51*Emissionsfaktorer!$H$10+L51*Emissionsfaktorer!$H$11+M51*Emissionsfaktorer!$H$12)*-1*(1-Nøgletal!$P$336)+T51*Emissionsfaktorer!$H$13*Nøgletal!$P$336</f>
        <v>0</v>
      </c>
      <c r="CA51" s="231"/>
      <c r="CB51" s="231"/>
    </row>
    <row r="52" spans="1:80" x14ac:dyDescent="0.25">
      <c r="A52" s="231"/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-372.63240000000002</v>
      </c>
      <c r="AG52" s="280"/>
      <c r="AH52" s="280"/>
      <c r="AI52" s="280"/>
      <c r="AJ52" s="105">
        <f>-AO52/IF(Nøgletal!P380+Nøgletal!Q380&gt;0,Nøgletal!P380+Nøgletal!Q380,1)</f>
        <v>-372.63240000000002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372.63240000000002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BS52/IF(Nøgletal!Q380&gt;0,Nøgletal!Q380,1)*Nøgletal!P380</f>
        <v>0</v>
      </c>
      <c r="BS52" s="292">
        <f>(Nøgletal!P$202+Nøgletal!P$273/(1-Nøgletal!P$300))*Nøgletal!P343</f>
        <v>372.63240000000002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H$4+E52*Emissionsfaktorer!$H$3+F52*Emissionsfaktorer!$H$5+H52*Emissionsfaktorer!$H$7+I52*Emissionsfaktorer!$H$8+J52*Emissionsfaktorer!$H$9+K52*Emissionsfaktorer!$H$10+L52*Emissionsfaktorer!$H$11+M52*Emissionsfaktorer!$H$12)*-1*(1-Nøgletal!$P$336)+T52*Emissionsfaktorer!$H$13*Nøgletal!$P$336</f>
        <v>0</v>
      </c>
      <c r="CA52" s="231"/>
      <c r="CB52" s="231"/>
    </row>
    <row r="53" spans="1:80" x14ac:dyDescent="0.25">
      <c r="A53" s="231"/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Nøgletal!P201*-1</f>
        <v>-142.40040000000002</v>
      </c>
      <c r="AD53" s="280"/>
      <c r="AE53" s="280"/>
      <c r="AF53" s="280"/>
      <c r="AG53" s="280"/>
      <c r="AH53" s="280"/>
      <c r="AI53" s="280"/>
      <c r="AJ53" s="105">
        <f>AC53</f>
        <v>-142.40040000000002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142.40040000000002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Nøgletal!P201</f>
        <v>142.40040000000002</v>
      </c>
      <c r="BX53" s="292"/>
      <c r="BY53" s="124">
        <f t="shared" si="42"/>
        <v>0</v>
      </c>
      <c r="BZ53" s="123">
        <f>(C53*Emissionsfaktorer!$H$4+E53*Emissionsfaktorer!$H$3+F53*Emissionsfaktorer!$H$5+H53*Emissionsfaktorer!$H$7+I53*Emissionsfaktorer!$H$8+J53*Emissionsfaktorer!$H$9+K53*Emissionsfaktorer!$H$10+L53*Emissionsfaktorer!$H$11+M53*Emissionsfaktorer!$H$12)*-1*(1-Nøgletal!$P$336)+T53*Emissionsfaktorer!$H$13*Nøgletal!$P$336</f>
        <v>0</v>
      </c>
      <c r="CA53" s="231"/>
      <c r="CB53" s="231"/>
    </row>
    <row r="54" spans="1:80" x14ac:dyDescent="0.25">
      <c r="A54" s="231"/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Nøgletal!P202</f>
        <v>0</v>
      </c>
      <c r="BX54" s="292"/>
      <c r="BY54" s="124">
        <f t="shared" si="42"/>
        <v>0</v>
      </c>
      <c r="BZ54" s="123">
        <f>(C54*Emissionsfaktorer!$H$4+E54*Emissionsfaktorer!$H$3+F54*Emissionsfaktorer!$H$5+H54*Emissionsfaktorer!$H$7+I54*Emissionsfaktorer!$H$8+J54*Emissionsfaktorer!$H$9+K54*Emissionsfaktorer!$H$10+L54*Emissionsfaktorer!$H$11+M54*Emissionsfaktorer!$H$12)*-1*(1-Nøgletal!$P$336)+T54*Emissionsfaktorer!$H$13*Nøgletal!$P$336</f>
        <v>0</v>
      </c>
      <c r="CA54" s="231"/>
      <c r="CB54" s="231"/>
    </row>
    <row r="55" spans="1:80" x14ac:dyDescent="0.25">
      <c r="A55" s="231"/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H$4+E55*Emissionsfaktorer!$H$3+F55*Emissionsfaktorer!$H$5+H55*Emissionsfaktorer!$H$7+I55*Emissionsfaktorer!$H$8+J55*Emissionsfaktorer!$H$9+K55*Emissionsfaktorer!$H$10+L55*Emissionsfaktorer!$H$11+M55*Emissionsfaktorer!$H$12)*-1*(1-Nøgletal!$P$336)+T55*Emissionsfaktorer!$H$13*Nøgletal!$P$336</f>
        <v>0</v>
      </c>
      <c r="CA55" s="40"/>
      <c r="CB55" s="231"/>
    </row>
    <row r="56" spans="1:80" x14ac:dyDescent="0.25">
      <c r="A56" s="231"/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1:80" x14ac:dyDescent="0.25">
      <c r="A57" s="231"/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-1799.9999999999995</v>
      </c>
      <c r="F57" s="20">
        <f t="shared" si="43"/>
        <v>-216.4101299999999</v>
      </c>
      <c r="G57" s="20">
        <f t="shared" si="43"/>
        <v>-1.7171999999999996</v>
      </c>
      <c r="H57" s="20">
        <f t="shared" si="43"/>
        <v>0</v>
      </c>
      <c r="I57" s="20">
        <f t="shared" si="43"/>
        <v>0</v>
      </c>
      <c r="J57" s="20">
        <f t="shared" si="43"/>
        <v>-1.7171999999999996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-1091.8174699999997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-799.99999999999977</v>
      </c>
      <c r="Y57" s="20">
        <f t="shared" si="43"/>
        <v>-13.642199999999994</v>
      </c>
      <c r="Z57" s="20">
        <f t="shared" si="43"/>
        <v>0</v>
      </c>
      <c r="AA57" s="20">
        <f t="shared" si="43"/>
        <v>-264.50126999999992</v>
      </c>
      <c r="AB57" s="20">
        <f t="shared" si="43"/>
        <v>-13.673999999999996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-3109.9447999999993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2335.5685447999995</v>
      </c>
      <c r="AP57" s="37">
        <f t="shared" ref="AP57:AP64" si="44">IF(AJ57=0,0,AO57/AJ57*-1)</f>
        <v>0.751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702.84752479999986</v>
      </c>
      <c r="BS57" s="20">
        <f>Nøgletal!P272/(1-Nøgletal!P299)</f>
        <v>1632.7210199999997</v>
      </c>
      <c r="BT57" s="20">
        <f>Nøgletal!Q272/(1-Nøgletal!Q299)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774.37625519999983</v>
      </c>
      <c r="BZ57" s="126">
        <f t="shared" si="47"/>
        <v>120.52031368859997</v>
      </c>
      <c r="CA57" s="231"/>
      <c r="CB57" s="40"/>
    </row>
    <row r="58" spans="1:80" x14ac:dyDescent="0.25">
      <c r="A58" s="231"/>
      <c r="B58" s="31"/>
      <c r="C58" s="23">
        <f>AJ58*Nøgletal!P551</f>
        <v>0</v>
      </c>
      <c r="D58" s="23"/>
      <c r="E58" s="23">
        <f>AJ58*Nøgletal!P553</f>
        <v>0</v>
      </c>
      <c r="F58" s="23"/>
      <c r="G58" s="23">
        <f t="shared" ref="G58:G64" si="48">SUM(H58:M58)</f>
        <v>0</v>
      </c>
      <c r="H58" s="23"/>
      <c r="I58" s="23">
        <f>AJ58*Nøgletal!P552</f>
        <v>0</v>
      </c>
      <c r="J58" s="23">
        <f>AJ58*Nøgletal!P557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AJ58*Nøgletal!P554</f>
        <v>0</v>
      </c>
      <c r="V58" s="23">
        <f>AJ58*Nøgletal!P555</f>
        <v>0</v>
      </c>
      <c r="W58" s="23">
        <f>AJ58*Nøgletal!P556</f>
        <v>0</v>
      </c>
      <c r="X58" s="23">
        <f>AJ58*Nøgletal!P558</f>
        <v>0</v>
      </c>
      <c r="Y58" s="23">
        <f>AJ58*Nøgletal!P559</f>
        <v>0</v>
      </c>
      <c r="Z58" s="23"/>
      <c r="AA58" s="23"/>
      <c r="AB58" s="23">
        <f>AJ58*Nøgletal!P560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-AO58/IF(Nøgletal!Q369+Nøgletal!P369&gt;0,Nøgletal!Q369+Nøgletal!P369,1)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BS58/IF(Nøgletal!Q369&gt;0,Nøgletal!Q369,1)*Nøgletal!P369</f>
        <v>0</v>
      </c>
      <c r="BS58" s="78">
        <f>BS$57*Nøgletal!P331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H$4+E58*Emissionsfaktorer!$H$3+F58*Emissionsfaktorer!$H$5+H58*Emissionsfaktorer!$H$7+I58*Emissionsfaktorer!$H$8+J58*Emissionsfaktorer!$H$9+K58*Emissionsfaktorer!$H$10+L58*Emissionsfaktorer!$H$11+M58*Emissionsfaktorer!$H$12)*-1*(1-Nøgletal!$P$329)+T58*Emissionsfaktorer!$H$13*Nøgletal!$P$329</f>
        <v>0</v>
      </c>
      <c r="CA58" s="231"/>
      <c r="CB58" s="231"/>
    </row>
    <row r="59" spans="1:80" x14ac:dyDescent="0.25">
      <c r="A59" s="231"/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-AO59*(1-1/IF(Nøgletal!Q370&gt;0,Nøgletal!Q370,1))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-AO59/IF(Nøgletal!Q514&gt;0,Nøgletal!Q514,1)/(1-Nøgletal!P294)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BS59/IF(Nøgletal!Q370&gt;0,Nøgletal!Q370,1)*Nøgletal!P370</f>
        <v>0</v>
      </c>
      <c r="BS59" s="78">
        <f>BS$57*Nøgletal!P332</f>
        <v>0</v>
      </c>
      <c r="BT59" s="32"/>
      <c r="BU59" s="32"/>
      <c r="BV59" s="32"/>
      <c r="BW59" s="32"/>
      <c r="BX59" s="32"/>
      <c r="BY59" s="124"/>
      <c r="BZ59" s="123">
        <f>(C59*Emissionsfaktorer!$H$4+E59*Emissionsfaktorer!$H$3+F59*Emissionsfaktorer!$H$5+H59*Emissionsfaktorer!$H$7+I59*Emissionsfaktorer!$H$8+J59*Emissionsfaktorer!$H$9+K59*Emissionsfaktorer!$H$10+L59*Emissionsfaktorer!$H$11+M59*Emissionsfaktorer!$H$12)*-1*(1-Nøgletal!$P$329)+T59*Emissionsfaktorer!$H$13*Nøgletal!$P$329</f>
        <v>0</v>
      </c>
      <c r="CA59" s="231"/>
      <c r="CB59" s="231"/>
    </row>
    <row r="60" spans="1:80" x14ac:dyDescent="0.25">
      <c r="A60" s="231"/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-AO60/IF(Nøgletal!Q371+Nøgletal!P371&gt;0,Nøgletal!Q371+Nøgletal!P371,1)/(1-Nøgletal!P294)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BS$57*Nøgletal!P333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H$4+E60*Emissionsfaktorer!$H$3+F60*Emissionsfaktorer!$H$5+H60*Emissionsfaktorer!$H$7+I60*Emissionsfaktorer!$H$8+J60*Emissionsfaktorer!$H$9+K60*Emissionsfaktorer!$H$10+L60*Emissionsfaktorer!$H$11+M60*Emissionsfaktorer!$H$12)*-1*(1-Nøgletal!$P$329)+T60*Emissionsfaktorer!$H$13*Nøgletal!$P$329</f>
        <v>0</v>
      </c>
      <c r="CA60" s="231"/>
      <c r="CB60" s="231"/>
    </row>
    <row r="61" spans="1:80" x14ac:dyDescent="0.25">
      <c r="A61" s="231"/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-AO61/IF(Nøgletal!Q372+Nøgletal!P372&gt;0,Nøgletal!Q372+Nøgletal!P372,1)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BS61/IF(Nøgletal!Q372&gt;0,Nøgletal!Q372,1)*Nøgletal!P372</f>
        <v>0</v>
      </c>
      <c r="BS61" s="78">
        <f>BS$57*Nøgletal!P334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H$4+E61*Emissionsfaktorer!$H$3+F61*Emissionsfaktorer!$H$5+H61*Emissionsfaktorer!$H$7+I61*Emissionsfaktorer!$H$8+J61*Emissionsfaktorer!$H$9+K61*Emissionsfaktorer!$H$10+L61*Emissionsfaktorer!$H$11+M61*Emissionsfaktorer!$H$12)*-1*(1-Nøgletal!$P$329)+T61*Emissionsfaktorer!$H$13*Nøgletal!$P$329</f>
        <v>0</v>
      </c>
      <c r="CA61" s="231"/>
      <c r="CB61" s="231"/>
    </row>
    <row r="62" spans="1:80" x14ac:dyDescent="0.25">
      <c r="A62" s="231"/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-AO62/IF(Nøgletal!Q373+Nøgletal!P373&gt;0,Nøgletal!Q373+Nøgletal!P373,1)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BS62/IF(Nøgletal!Q373&gt;0,Nøgletal!Q373,1)*Nøgletal!P373</f>
        <v>0</v>
      </c>
      <c r="BS62" s="78">
        <f>BS$57*Nøgletal!P335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H$4+E62*Emissionsfaktorer!$H$3+F62*Emissionsfaktorer!$H$5+H62*Emissionsfaktorer!$H$7+I62*Emissionsfaktorer!$H$8+J62*Emissionsfaktorer!$H$9+K62*Emissionsfaktorer!$H$10+L62*Emissionsfaktorer!$H$11+M62*Emissionsfaktorer!$H$12)*-1*(1-Nøgletal!$P$329)+T62*Emissionsfaktorer!$H$13*Nøgletal!$P$329</f>
        <v>0</v>
      </c>
      <c r="CA62" s="231"/>
      <c r="CB62" s="231"/>
    </row>
    <row r="63" spans="1:80" x14ac:dyDescent="0.25">
      <c r="A63" s="231"/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BS63/IF(Nøgletal!Q351&gt;0,Nøgletal!Q351,1)*Nøgletal!P351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H$4+E63*Emissionsfaktorer!$H$3+F63*Emissionsfaktorer!$H$5+H63*Emissionsfaktorer!$H$7+I63*Emissionsfaktorer!$H$8+J63*Emissionsfaktorer!$H$9+K63*Emissionsfaktorer!$H$10+L63*Emissionsfaktorer!$H$11+M63*Emissionsfaktorer!$H$12)*-1*(1-Nøgletal!$P$329)+T63*Emissionsfaktorer!$H$13*Nøgletal!$P$329</f>
        <v>0</v>
      </c>
      <c r="CA63" s="231"/>
      <c r="CB63" s="231"/>
    </row>
    <row r="64" spans="1:80" x14ac:dyDescent="0.25">
      <c r="A64" s="231"/>
      <c r="B64" s="31"/>
      <c r="C64" s="23">
        <f>AJ64*Nøgletal!P567</f>
        <v>0</v>
      </c>
      <c r="D64" s="23"/>
      <c r="E64" s="23">
        <f>AJ64*Nøgletal!P572</f>
        <v>-1799.9999999999995</v>
      </c>
      <c r="F64" s="23">
        <f>AJ64*Nøgletal!P584</f>
        <v>-216.4101299999999</v>
      </c>
      <c r="G64" s="23">
        <f t="shared" si="48"/>
        <v>-1.7171999999999996</v>
      </c>
      <c r="H64" s="23">
        <f>AJ64*Nøgletal!P566</f>
        <v>0</v>
      </c>
      <c r="I64" s="23">
        <f>AJ64*Nøgletal!P568</f>
        <v>0</v>
      </c>
      <c r="J64" s="23">
        <f>AJ64*Nøgletal!P569</f>
        <v>-1.7171999999999996</v>
      </c>
      <c r="K64" s="23">
        <f>AJ64*Nøgletal!P570</f>
        <v>0</v>
      </c>
      <c r="L64" s="23"/>
      <c r="M64" s="23">
        <f>AJ64*Nøgletal!P571</f>
        <v>0</v>
      </c>
      <c r="N64" s="23">
        <f t="shared" si="49"/>
        <v>0</v>
      </c>
      <c r="O64" s="23"/>
      <c r="P64" s="23"/>
      <c r="Q64" s="23">
        <f>AJ64*Nøgletal!P573</f>
        <v>0</v>
      </c>
      <c r="R64" s="23">
        <f>AJ64*Nøgletal!P574</f>
        <v>0</v>
      </c>
      <c r="S64" s="23">
        <f>AJ64*Nøgletal!P575</f>
        <v>0</v>
      </c>
      <c r="T64" s="23">
        <f t="shared" si="50"/>
        <v>-1091.8174699999997</v>
      </c>
      <c r="U64" s="23">
        <f>AJ64*Nøgletal!P576</f>
        <v>0</v>
      </c>
      <c r="V64" s="23">
        <f>AJ64*Nøgletal!P577</f>
        <v>0</v>
      </c>
      <c r="W64" s="23">
        <f>AJ64*Nøgletal!P578</f>
        <v>0</v>
      </c>
      <c r="X64" s="23">
        <f>AJ64*Nøgletal!P579</f>
        <v>-799.99999999999977</v>
      </c>
      <c r="Y64" s="23">
        <f>AJ64*Nøgletal!P580</f>
        <v>-13.642199999999994</v>
      </c>
      <c r="Z64" s="23">
        <f>AJ64*Nøgletal!P581</f>
        <v>0</v>
      </c>
      <c r="AA64" s="23">
        <f>AJ64*Nøgletal!P582</f>
        <v>-264.50126999999992</v>
      </c>
      <c r="AB64" s="23">
        <f>AJ64*Nøgletal!P583</f>
        <v>-13.673999999999996</v>
      </c>
      <c r="AC64" s="23"/>
      <c r="AD64" s="23"/>
      <c r="AE64" s="23"/>
      <c r="AF64" s="23"/>
      <c r="AG64" s="23"/>
      <c r="AH64" s="23"/>
      <c r="AI64" s="23"/>
      <c r="AJ64" s="105">
        <f>-AO64/IF(Nøgletal!Q351+Nøgletal!P351&gt;0,Nøgletal!Q351+Nøgletal!P351,1)</f>
        <v>-3109.9447999999993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2335.5685447999995</v>
      </c>
      <c r="AP64" s="37">
        <f t="shared" si="44"/>
        <v>0.751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BS64/IF(Nøgletal!Q351&gt;0,Nøgletal!Q351,1)*Nøgletal!P351</f>
        <v>702.84752479999986</v>
      </c>
      <c r="BS64" s="78">
        <f>BS$57*Nøgletal!P309</f>
        <v>1632.7210199999997</v>
      </c>
      <c r="BT64" s="23"/>
      <c r="BU64" s="32"/>
      <c r="BV64" s="32"/>
      <c r="BW64" s="93"/>
      <c r="BX64" s="93"/>
      <c r="BY64" s="124">
        <f t="shared" si="54"/>
        <v>774.37625519999983</v>
      </c>
      <c r="BZ64" s="123">
        <f>(C64*Emissionsfaktorer!$H$4+E64*Emissionsfaktorer!$H$3+F64*Emissionsfaktorer!$H$5+H64*Emissionsfaktorer!$H$7+I64*Emissionsfaktorer!$H$8+J64*Emissionsfaktorer!$H$9+K64*Emissionsfaktorer!$H$10+L64*Emissionsfaktorer!$H$11+M64*Emissionsfaktorer!$H$12)*-1*(1-Nøgletal!$P$329)+T64*Emissionsfaktorer!$H$13*Nøgletal!$P$329</f>
        <v>120.52031368859997</v>
      </c>
      <c r="CA64" s="231"/>
      <c r="CB64" s="231"/>
    </row>
    <row r="65" spans="1:80" x14ac:dyDescent="0.25">
      <c r="A65" s="231"/>
      <c r="B65" s="31"/>
      <c r="C65" s="295"/>
      <c r="D65" s="20">
        <f>AV65/IF(Nøgletal!P708&gt;0,Nøgletal!P708,1)*-1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$BT65/IF(Nøgletal!$P$720&gt;0,Nøgletal!$P$720,1)*-Nøgletal!$P711*Nøgletal!$P710</f>
        <v>0</v>
      </c>
      <c r="V65" s="20">
        <f>$BT65/IF(Nøgletal!$P$720&gt;0,Nøgletal!$P$720,1)*-Nøgletal!$P712*Nøgletal!$P710</f>
        <v>0</v>
      </c>
      <c r="W65" s="20">
        <f>$BT65/IF(Nøgletal!$P$720&gt;0,Nøgletal!$P$720,1)*-Nøgletal!$P713*Nøgletal!$P710</f>
        <v>0</v>
      </c>
      <c r="X65" s="20">
        <f>$BT65/IF(Nøgletal!$P$720&gt;0,Nøgletal!$P$720,1)*-Nøgletal!$P714*Nøgletal!$P710</f>
        <v>0</v>
      </c>
      <c r="Y65" s="20">
        <f>$BT65/IF(Nøgletal!$P$720&gt;0,Nøgletal!$P$720,1)*-Nøgletal!$P715*Nøgletal!$P710</f>
        <v>0</v>
      </c>
      <c r="Z65" s="20">
        <f>$BT65/IF(Nøgletal!$P$720&gt;0,Nøgletal!$P$720,1)*-Nøgletal!$P716*Nøgletal!$P710</f>
        <v>0</v>
      </c>
      <c r="AA65" s="20">
        <f>$BT65/IF(Nøgletal!$P$720&gt;0,Nøgletal!$P$720,1)*-Nøgletal!$P717*Nøgletal!$P710</f>
        <v>0</v>
      </c>
      <c r="AB65" s="20">
        <f>$BT65/IF(Nøgletal!$P$720&gt;0,Nøgletal!$P$720,1)*-Nøgletal!$P718*Nøgletal!$P710</f>
        <v>0</v>
      </c>
      <c r="AC65" s="20">
        <f>BT65/IF(Nøgletal!P720&gt;0,Nøgletal!P720,1)*-Nøgletal!P719</f>
        <v>0</v>
      </c>
      <c r="AD65" s="20"/>
      <c r="AE65" s="20"/>
      <c r="AF65" s="20"/>
      <c r="AG65" s="20"/>
      <c r="AH65" s="20"/>
      <c r="AI65" s="20"/>
      <c r="AJ65" s="105">
        <f>AV65/IF(Nøgletal!P708&gt;0,Nøgletal!P708,1)+BT65/IF(Nøgletal!P720&gt;0,Nøgletal!P720,1)*-1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Nøgletal!P701</f>
        <v>0</v>
      </c>
      <c r="AW65" s="20">
        <f>$AV65*Nøgletal!P702</f>
        <v>0</v>
      </c>
      <c r="AX65" s="20">
        <f>$AV65*Nøgletal!P703</f>
        <v>0</v>
      </c>
      <c r="AY65" s="20">
        <f>$AV65*Nøgletal!P704</f>
        <v>0</v>
      </c>
      <c r="AZ65" s="20">
        <f>$AV65*Nøgletal!P705</f>
        <v>0</v>
      </c>
      <c r="BA65" s="20">
        <f>$AV65*Nøgletal!P706</f>
        <v>0</v>
      </c>
      <c r="BB65" s="20">
        <f>$AV65*Nøgletal!P707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Nøgletal!P709</f>
        <v>0</v>
      </c>
      <c r="BU65" s="21"/>
      <c r="BV65" s="21"/>
      <c r="BW65" s="86"/>
      <c r="BX65" s="86"/>
      <c r="BY65" s="124">
        <f t="shared" si="54"/>
        <v>0</v>
      </c>
      <c r="BZ65" s="300"/>
      <c r="CA65" s="231"/>
      <c r="CB65" s="231" t="e">
        <f>#REF!*#REF!/1.25/#REF!*-1</f>
        <v>#REF!</v>
      </c>
    </row>
    <row r="66" spans="1:80" x14ac:dyDescent="0.25">
      <c r="A66" s="231"/>
      <c r="B66" s="31"/>
      <c r="C66" s="80"/>
      <c r="D66" s="80"/>
      <c r="E66" s="80"/>
      <c r="F66" s="80"/>
      <c r="G66" s="81">
        <f t="shared" si="29"/>
        <v>-2024.5320199999996</v>
      </c>
      <c r="H66" s="80">
        <f t="shared" ref="H66:M66" si="55">H68</f>
        <v>-22.249999999999996</v>
      </c>
      <c r="I66" s="80">
        <f t="shared" si="55"/>
        <v>0</v>
      </c>
      <c r="J66" s="80">
        <f t="shared" si="55"/>
        <v>-77.38000000000001</v>
      </c>
      <c r="K66" s="80">
        <f t="shared" si="55"/>
        <v>-1014.5151099999998</v>
      </c>
      <c r="L66" s="80">
        <f t="shared" si="55"/>
        <v>-385.50999999999993</v>
      </c>
      <c r="M66" s="80">
        <f t="shared" si="55"/>
        <v>-524.87690999999973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-1274.6637827340842</v>
      </c>
      <c r="AD66" s="82">
        <f>-BS9</f>
        <v>-2005.3534199999997</v>
      </c>
      <c r="AE66" s="80"/>
      <c r="AF66" s="80"/>
      <c r="AG66" s="80"/>
      <c r="AH66" s="267">
        <f>-BW9</f>
        <v>-142.40040000000002</v>
      </c>
      <c r="AI66" s="80"/>
      <c r="AJ66" s="105">
        <f t="shared" ref="AJ66:AJ83" si="56">SUM(C66:G66,N66,T66,AC66:AG66)</f>
        <v>-5304.5492227340837</v>
      </c>
      <c r="AK66" s="13" t="s">
        <v>233</v>
      </c>
      <c r="AL66" s="13" t="s">
        <v>234</v>
      </c>
      <c r="AM66" s="99"/>
      <c r="AN66" s="37"/>
      <c r="AO66" s="38">
        <f t="shared" si="1"/>
        <v>4929.8342535429838</v>
      </c>
      <c r="AP66" s="37">
        <f t="shared" si="6"/>
        <v>0.92935969609158164</v>
      </c>
      <c r="AQ66" s="31"/>
      <c r="AR66" s="80"/>
      <c r="AS66" s="80"/>
      <c r="AT66" s="80"/>
      <c r="AU66" s="80"/>
      <c r="AV66" s="95">
        <f t="shared" si="7"/>
        <v>2024.5320199999996</v>
      </c>
      <c r="AW66" s="80">
        <f t="shared" ref="AW66:BB66" si="57">H66*-1</f>
        <v>22.249999999999996</v>
      </c>
      <c r="AX66" s="80">
        <f t="shared" si="57"/>
        <v>0</v>
      </c>
      <c r="AY66" s="80">
        <f t="shared" si="57"/>
        <v>77.38000000000001</v>
      </c>
      <c r="AZ66" s="80">
        <f t="shared" si="57"/>
        <v>1014.5151099999998</v>
      </c>
      <c r="BA66" s="80">
        <f t="shared" si="57"/>
        <v>385.50999999999993</v>
      </c>
      <c r="BB66" s="80">
        <f t="shared" si="57"/>
        <v>524.87690999999973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1170.6512180629829</v>
      </c>
      <c r="BS66" s="80">
        <f>AD68*-1</f>
        <v>1592.2506154800003</v>
      </c>
      <c r="BT66" s="80"/>
      <c r="BU66" s="80"/>
      <c r="BV66" s="80"/>
      <c r="BW66" s="267">
        <f>-AH66</f>
        <v>142.40040000000002</v>
      </c>
      <c r="BX66" s="80"/>
      <c r="BY66" s="124">
        <f t="shared" si="54"/>
        <v>374.71496919109995</v>
      </c>
      <c r="BZ66" s="123"/>
      <c r="CA66" s="231"/>
      <c r="CB66" s="231"/>
    </row>
    <row r="67" spans="1:80" x14ac:dyDescent="0.25">
      <c r="A67" s="231"/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3.09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3.09</v>
      </c>
      <c r="BD67" s="11">
        <f>-1*O68</f>
        <v>0</v>
      </c>
      <c r="BE67" s="11">
        <f>-1*P68</f>
        <v>0</v>
      </c>
      <c r="BF67" s="11">
        <f>-1*Q68</f>
        <v>3.09</v>
      </c>
      <c r="BG67" s="11">
        <f>-1*R68</f>
        <v>0</v>
      </c>
      <c r="BH67" s="11">
        <f>-1*S68</f>
        <v>0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(C67*Emissionsfaktorer!$H$4+E67*Emissionsfaktorer!$H$3+F67*Emissionsfaktorer!$H$5+H67*Emissionsfaktorer!$H$7+I67*Emissionsfaktorer!$H$8+J67*Emissionsfaktorer!$H$9+K67*Emissionsfaktorer!$H$10+L67*Emissionsfaktorer!$H$11+M67*Emissionsfaktorer!$H$12)*-1</f>
        <v>0</v>
      </c>
      <c r="CA67" s="2"/>
      <c r="CB67" s="231"/>
    </row>
    <row r="68" spans="1:80" x14ac:dyDescent="0.25">
      <c r="A68" s="231"/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-753.4</v>
      </c>
      <c r="F68" s="267">
        <f t="shared" si="58"/>
        <v>0</v>
      </c>
      <c r="G68" s="267">
        <f t="shared" si="58"/>
        <v>-2024.5320199999996</v>
      </c>
      <c r="H68" s="267">
        <f t="shared" si="58"/>
        <v>-22.249999999999996</v>
      </c>
      <c r="I68" s="267">
        <f t="shared" si="58"/>
        <v>0</v>
      </c>
      <c r="J68" s="267">
        <f t="shared" si="58"/>
        <v>-77.38000000000001</v>
      </c>
      <c r="K68" s="267">
        <f t="shared" si="58"/>
        <v>-1014.5151099999998</v>
      </c>
      <c r="L68" s="267">
        <f t="shared" si="58"/>
        <v>-385.50999999999993</v>
      </c>
      <c r="M68" s="267">
        <f t="shared" si="58"/>
        <v>-524.87690999999973</v>
      </c>
      <c r="N68" s="267">
        <f t="shared" si="58"/>
        <v>-3.09</v>
      </c>
      <c r="O68" s="267">
        <f t="shared" si="58"/>
        <v>0</v>
      </c>
      <c r="P68" s="267">
        <f t="shared" si="58"/>
        <v>0</v>
      </c>
      <c r="Q68" s="267">
        <f t="shared" si="58"/>
        <v>-3.09</v>
      </c>
      <c r="R68" s="267">
        <f t="shared" si="58"/>
        <v>0</v>
      </c>
      <c r="S68" s="267">
        <f t="shared" si="58"/>
        <v>0</v>
      </c>
      <c r="T68" s="267">
        <f t="shared" si="58"/>
        <v>-319.14797999999996</v>
      </c>
      <c r="U68" s="267">
        <f t="shared" si="58"/>
        <v>0</v>
      </c>
      <c r="V68" s="267">
        <f t="shared" si="58"/>
        <v>-83.14797999999999</v>
      </c>
      <c r="W68" s="267">
        <f t="shared" si="58"/>
        <v>-20.000000000000004</v>
      </c>
      <c r="X68" s="267">
        <f t="shared" si="58"/>
        <v>-134</v>
      </c>
      <c r="Y68" s="267">
        <f t="shared" si="58"/>
        <v>-82.000000000000014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-1170.6512180629829</v>
      </c>
      <c r="AD68" s="267">
        <f t="shared" si="58"/>
        <v>-1592.2506154800003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-142.40040000000002</v>
      </c>
      <c r="AI68" s="267">
        <f>SUM(AI69:AI70,AI79:AI80,AI84)</f>
        <v>0</v>
      </c>
      <c r="AJ68" s="105">
        <f t="shared" si="56"/>
        <v>-5863.0718335429838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4213.5930154799998</v>
      </c>
      <c r="AP68" s="37">
        <f t="shared" si="6"/>
        <v>0.71866644910843203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4213.5930154799998</v>
      </c>
      <c r="BX68" s="267">
        <f t="shared" si="59"/>
        <v>0</v>
      </c>
      <c r="BY68" s="268">
        <f t="shared" si="59"/>
        <v>1649.4788180629821</v>
      </c>
      <c r="BZ68" s="268">
        <f t="shared" si="59"/>
        <v>191.22074756999996</v>
      </c>
      <c r="CA68" s="231"/>
      <c r="CB68" s="231"/>
    </row>
    <row r="69" spans="1:80" x14ac:dyDescent="0.25">
      <c r="A69" s="231"/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IF(-($BR$11+$BR$18+$BR$57)-($AC$70+AC79+AC80+AC84)/(1-Nøgletal!$P$294)-$AC$9&lt;0,-($BR$11+$BR$18+$BR$57)-($AC$70+AC79+AC80+AC84)/(1-Nøgletal!$P$294)-$AC$9,0)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AC69*Emissionsfaktorer!H6+AE69*Emissionsfaktorer!H14</f>
        <v>0</v>
      </c>
      <c r="CA69" s="231"/>
      <c r="CB69" s="231"/>
    </row>
    <row r="70" spans="1:80" x14ac:dyDescent="0.25">
      <c r="A70" s="231"/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-1894.4420199999995</v>
      </c>
      <c r="H70" s="79">
        <f t="shared" ref="H70:M70" si="62">SUM(H71:H78)</f>
        <v>-4.4499999999999993</v>
      </c>
      <c r="I70" s="79">
        <f t="shared" si="62"/>
        <v>0</v>
      </c>
      <c r="J70" s="79">
        <f t="shared" si="62"/>
        <v>0</v>
      </c>
      <c r="K70" s="79">
        <f t="shared" si="62"/>
        <v>-979.60510999999985</v>
      </c>
      <c r="L70" s="79">
        <f t="shared" si="62"/>
        <v>-385.50999999999993</v>
      </c>
      <c r="M70" s="79">
        <f t="shared" si="62"/>
        <v>-524.87690999999973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-83.14797999999999</v>
      </c>
      <c r="U70" s="79">
        <f t="shared" ref="U70:AI70" si="63">SUM(U71:U78)</f>
        <v>0</v>
      </c>
      <c r="V70" s="79">
        <f t="shared" si="63"/>
        <v>-83.14797999999999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-1.529411764705882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-1979.1194117647053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537.18569999999988</v>
      </c>
      <c r="AP70" s="37">
        <f t="shared" si="6"/>
        <v>0.27142662378366139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537.18569999999988</v>
      </c>
      <c r="BX70" s="21">
        <f t="shared" si="64"/>
        <v>0</v>
      </c>
      <c r="BY70" s="127">
        <f t="shared" si="64"/>
        <v>1441.9337117647051</v>
      </c>
      <c r="BZ70" s="127">
        <f t="shared" si="64"/>
        <v>138.84430756999996</v>
      </c>
      <c r="CA70" s="231"/>
      <c r="CB70" s="231"/>
    </row>
    <row r="71" spans="1:80" x14ac:dyDescent="0.25">
      <c r="A71" s="231"/>
      <c r="B71" s="31"/>
      <c r="C71" s="78"/>
      <c r="D71" s="78"/>
      <c r="E71" s="78">
        <f>BW71*Nøgletal!P635*-1/Nøgletal!P401</f>
        <v>0</v>
      </c>
      <c r="F71" s="78"/>
      <c r="G71" s="23">
        <f t="shared" si="29"/>
        <v>-907.50858999999969</v>
      </c>
      <c r="H71" s="78"/>
      <c r="I71" s="78"/>
      <c r="J71" s="78"/>
      <c r="K71" s="78">
        <f>AO71*Nøgletal!P287/(Nøgletal!P286+Nøgletal!P287+Nøgletal!P284)*Nøgletal!P642/Nøgletal!P402*-1</f>
        <v>-382.90167999999994</v>
      </c>
      <c r="L71" s="78"/>
      <c r="M71" s="78">
        <f>AO71*Nøgletal!P286/(Nøgletal!P286+Nøgletal!P287+Nøgletal!P284)*Nøgletal!P634/Nøgletal!P401*-1</f>
        <v>-524.60690999999974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-45.161409999999989</v>
      </c>
      <c r="U71" s="78">
        <f>IF(Nøgletal!P636=0,0,$AO$71*Nøgletal!P636/Nøgletal!$P$401*-1)</f>
        <v>0</v>
      </c>
      <c r="V71" s="78">
        <f>AO71*(Nøgletal!P286/(Nøgletal!P286+Nøgletal!P287+Nøgletal!P284)*Nøgletal!P637/Nøgletal!P401+Nøgletal!P287/(Nøgletal!P286+Nøgletal!P287+Nøgletal!P284)*Nøgletal!P646/Nøgletal!P402)*-1</f>
        <v>-45.161409999999989</v>
      </c>
      <c r="W71" s="78"/>
      <c r="X71" s="78"/>
      <c r="Y71" s="78"/>
      <c r="Z71" s="78"/>
      <c r="AA71" s="78"/>
      <c r="AB71" s="78">
        <f>IF(Nøgletal!P638=0,0,AO71*Nøgletal!P638/Nøgletal!P401*-1)</f>
        <v>0</v>
      </c>
      <c r="AC71" s="32">
        <f>AO71*Nøgletal!P284/(Nøgletal!P284+Nøgletal!P286+Nøgletal!P287)/(Nøgletal!P410*-1)</f>
        <v>-1.529411764705882</v>
      </c>
      <c r="AD71" s="32"/>
      <c r="AE71" s="32">
        <f>AO71*Nøgletal!P286/(Nøgletal!P286+Nøgletal!P287+Nøgletal!P284)*Nøgletal!P639/Nøgletal!P401*-1+AO71*Nøgletal!P287/(Nøgletal!P286+Nøgletal!P287+Nøgletal!P284)*Nøgletal!P647/Nøgletal!P402*-1</f>
        <v>0</v>
      </c>
      <c r="AF71" s="32"/>
      <c r="AG71" s="32"/>
      <c r="AH71" s="32"/>
      <c r="AI71" s="32"/>
      <c r="AJ71" s="105">
        <f t="shared" si="56"/>
        <v>-954.19941176470547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212.39799999999991</v>
      </c>
      <c r="AP71" s="37">
        <f t="shared" si="6"/>
        <v>0.22259288507335068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Nøgletal!P$282*(Nøgletal!P286+Nøgletal!P287+Nøgletal!P284)</f>
        <v>212.39799999999991</v>
      </c>
      <c r="BX71" s="78"/>
      <c r="BY71" s="127">
        <f t="shared" ref="BY71:BY79" si="67">(AJ71+BW71)*-1</f>
        <v>741.80141176470556</v>
      </c>
      <c r="BZ71" s="123">
        <f>(C71*Emissionsfaktorer!$H$4+E71*Emissionsfaktorer!$H$3+F71*Emissionsfaktorer!$H$5+H71*Emissionsfaktorer!$H$7+I71*Emissionsfaktorer!$H$8+J71*Emissionsfaktorer!$H$9+K71*Emissionsfaktorer!$H$10+L71*Emissionsfaktorer!$H$11+M71*Emissionsfaktorer!$H$12)*-1</f>
        <v>66.63102874999997</v>
      </c>
      <c r="CA71" s="231"/>
      <c r="CB71" s="231"/>
    </row>
    <row r="72" spans="1:80" x14ac:dyDescent="0.25">
      <c r="A72" s="231"/>
      <c r="B72" s="31"/>
      <c r="C72" s="78"/>
      <c r="D72" s="78"/>
      <c r="E72" s="149"/>
      <c r="F72" s="78"/>
      <c r="G72" s="23">
        <f>SUM(H72:M72)</f>
        <v>-4.4499999999999993</v>
      </c>
      <c r="H72" s="78">
        <f>AO72/Nøgletal!P411*-1</f>
        <v>-4.4499999999999993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-4.4499999999999993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1.6909999999999998</v>
      </c>
      <c r="AP72" s="37">
        <f>IF(AJ72=0,0,AO72/AJ72*-1)</f>
        <v>0.38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Nøgletal!P$282*Nøgletal!P285</f>
        <v>1.6909999999999998</v>
      </c>
      <c r="BX72" s="78"/>
      <c r="BY72" s="127">
        <f t="shared" si="67"/>
        <v>2.7589999999999995</v>
      </c>
      <c r="BZ72" s="123">
        <f>(C72*Emissionsfaktorer!$H$4+E72*Emissionsfaktorer!$H$3+F72*Emissionsfaktorer!$H$5+H72*Emissionsfaktorer!$H$7+I72*Emissionsfaktorer!$H$8+J72*Emissionsfaktorer!$H$9+K72*Emissionsfaktorer!$H$10+L72*Emissionsfaktorer!$H$11+M72*Emissionsfaktorer!$H$12)*-1</f>
        <v>0.28079499999999996</v>
      </c>
      <c r="CA72" s="231"/>
      <c r="CB72" s="231"/>
    </row>
    <row r="73" spans="1:80" x14ac:dyDescent="0.25">
      <c r="A73" s="231"/>
      <c r="B73" s="31"/>
      <c r="C73" s="78"/>
      <c r="D73" s="78"/>
      <c r="E73" s="78">
        <f>AO73*Nøgletal!P654/IF(Nøgletal!$P$403&gt;0,Nøgletal!P403,1)*-1</f>
        <v>0</v>
      </c>
      <c r="F73" s="78"/>
      <c r="G73" s="23">
        <f t="shared" si="29"/>
        <v>-158.94962999999996</v>
      </c>
      <c r="H73" s="78"/>
      <c r="I73" s="78"/>
      <c r="J73" s="78"/>
      <c r="K73" s="78">
        <f>$AO$73*Nøgletal!P650/IF(Nøgletal!P403&gt;0,Nøgletal!P403,1)*-1</f>
        <v>-158.94962999999996</v>
      </c>
      <c r="L73" s="78"/>
      <c r="M73" s="78">
        <f>AO73*Nøgletal!P651/IF(Nøgletal!P403&gt;0,Nøgletal!P403,1)*-1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-11.780369999999998</v>
      </c>
      <c r="U73" s="78">
        <f>AO73*Nøgletal!P653/IF(Nøgletal!P403&gt;0,Nøgletal!P403,1)*-1</f>
        <v>0</v>
      </c>
      <c r="V73" s="78">
        <f>AO73*Nøgletal!P655/IF(Nøgletal!P403&gt;0,Nøgletal!P403,1)*-1</f>
        <v>-11.780369999999998</v>
      </c>
      <c r="W73" s="78"/>
      <c r="X73" s="78"/>
      <c r="Y73" s="78"/>
      <c r="Z73" s="78"/>
      <c r="AA73" s="78"/>
      <c r="AB73" s="78">
        <f>AO73*Nøgletal!P652/IF(Nøgletal!P403&gt;0,Nøgletal!P403,1)*-1</f>
        <v>0</v>
      </c>
      <c r="AC73" s="32">
        <f>AO73*Nøgletal!P657/IF(Nøgletal!P410&gt;0,Nøgletal!P410,1)*-1</f>
        <v>0</v>
      </c>
      <c r="AD73" s="32"/>
      <c r="AE73" s="32">
        <f>AO73*Nøgletal!P656/IF(Nøgletal!P403&gt;0,Nøgletal!P403,1)*-1</f>
        <v>0</v>
      </c>
      <c r="AF73" s="32"/>
      <c r="AG73" s="32"/>
      <c r="AH73" s="32"/>
      <c r="AI73" s="32"/>
      <c r="AJ73" s="105">
        <f t="shared" si="56"/>
        <v>-170.72999999999996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42.68249999999999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Nøgletal!P$282*Nøgletal!P288</f>
        <v>42.68249999999999</v>
      </c>
      <c r="BX73" s="78"/>
      <c r="BY73" s="127">
        <f t="shared" si="67"/>
        <v>128.04749999999996</v>
      </c>
      <c r="BZ73" s="123">
        <f>(C73*Emissionsfaktorer!$H$4+E73*Emissionsfaktorer!$H$3+F73*Emissionsfaktorer!$H$5+H73*Emissionsfaktorer!$H$7+I73*Emissionsfaktorer!$H$8+J73*Emissionsfaktorer!$H$9+K73*Emissionsfaktorer!$H$10+L73*Emissionsfaktorer!$H$11+M73*Emissionsfaktorer!$H$12)*-1</f>
        <v>11.762272619999996</v>
      </c>
      <c r="CA73" s="231"/>
      <c r="CB73" s="231"/>
    </row>
    <row r="74" spans="1:80" x14ac:dyDescent="0.25">
      <c r="A74" s="231"/>
      <c r="B74" s="31"/>
      <c r="C74" s="78"/>
      <c r="D74" s="78"/>
      <c r="E74" s="78">
        <f>AO74*Nøgletal!P662/Nøgletal!P404*-1</f>
        <v>0</v>
      </c>
      <c r="F74" s="78"/>
      <c r="G74" s="23">
        <f t="shared" si="29"/>
        <v>-45.712099999999992</v>
      </c>
      <c r="H74" s="78"/>
      <c r="I74" s="78"/>
      <c r="J74" s="78"/>
      <c r="K74" s="78">
        <f>AO74*Nøgletal!P659/Nøgletal!P404*-1</f>
        <v>-45.712099999999992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-3.3878999999999997</v>
      </c>
      <c r="U74" s="78">
        <f>AO75*Nøgletal!P661/Nøgletal!P404*-1</f>
        <v>0</v>
      </c>
      <c r="V74" s="78">
        <f>AO74*Nøgletal!P663/Nøgletal!P404*-1</f>
        <v>-3.3878999999999997</v>
      </c>
      <c r="W74" s="78"/>
      <c r="X74" s="78"/>
      <c r="Y74" s="78"/>
      <c r="Z74" s="78"/>
      <c r="AA74" s="78"/>
      <c r="AB74" s="78">
        <f>AO74*Nøgletal!P660/Nøgletal!P404*-1</f>
        <v>0</v>
      </c>
      <c r="AC74" s="269">
        <f>AO74*Nøgletal!P665/Nøgletal!P410*-1</f>
        <v>0</v>
      </c>
      <c r="AD74" s="32"/>
      <c r="AE74" s="32">
        <f>AO74*Nøgletal!P664/Nøgletal!P404*-1</f>
        <v>0</v>
      </c>
      <c r="AF74" s="32"/>
      <c r="AG74" s="32"/>
      <c r="AH74" s="32"/>
      <c r="AI74" s="32"/>
      <c r="AJ74" s="105">
        <f t="shared" si="56"/>
        <v>-49.099999999999994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16.202999999999999</v>
      </c>
      <c r="AP74" s="37">
        <f t="shared" ref="AP74:AP89" si="68">IF(AJ74=0,0,AO74/AJ74*-1)</f>
        <v>0.33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Nøgletal!P$282*Nøgletal!P289</f>
        <v>16.202999999999999</v>
      </c>
      <c r="BX74" s="78"/>
      <c r="BY74" s="127">
        <f t="shared" si="67"/>
        <v>32.896999999999991</v>
      </c>
      <c r="BZ74" s="123">
        <f>(C74*Emissionsfaktorer!$H$4+E74*Emissionsfaktorer!$H$3+F74*Emissionsfaktorer!$H$5+H74*Emissionsfaktorer!$H$7+I74*Emissionsfaktorer!$H$8+J74*Emissionsfaktorer!$H$9+K74*Emissionsfaktorer!$H$10+L74*Emissionsfaktorer!$H$11+M74*Emissionsfaktorer!$H$12)*-1</f>
        <v>3.3826953999999994</v>
      </c>
      <c r="CA74" s="231"/>
      <c r="CB74" s="231"/>
    </row>
    <row r="75" spans="1:80" x14ac:dyDescent="0.25">
      <c r="A75" s="231"/>
      <c r="B75" s="31"/>
      <c r="C75" s="78"/>
      <c r="D75" s="78"/>
      <c r="E75" s="78">
        <f>AO75*Nøgletal!P670/Nøgletal!P405*-1</f>
        <v>0</v>
      </c>
      <c r="F75" s="78"/>
      <c r="G75" s="23">
        <f t="shared" si="29"/>
        <v>-307.88169999999997</v>
      </c>
      <c r="H75" s="78"/>
      <c r="I75" s="78"/>
      <c r="J75" s="78"/>
      <c r="K75" s="78">
        <f>AO75*Nøgletal!P667/Nøgletal!P405*-1</f>
        <v>-307.88169999999997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-22.818299999999997</v>
      </c>
      <c r="U75" s="78">
        <f>AO76*Nøgletal!P669/Nøgletal!P405*-1</f>
        <v>0</v>
      </c>
      <c r="V75" s="78">
        <f>AO75*Nøgletal!P671/Nøgletal!P405*-1</f>
        <v>-22.818299999999997</v>
      </c>
      <c r="W75" s="78"/>
      <c r="X75" s="78"/>
      <c r="Y75" s="78"/>
      <c r="Z75" s="78"/>
      <c r="AA75" s="78"/>
      <c r="AB75" s="78">
        <f>AO75*Nøgletal!P668/Nøgletal!P405*-1</f>
        <v>0</v>
      </c>
      <c r="AC75" s="269">
        <f>AO75*Nøgletal!P673/Nøgletal!P410*-1</f>
        <v>0</v>
      </c>
      <c r="AD75" s="32"/>
      <c r="AE75" s="32">
        <f>AO75*Nøgletal!P672/Nøgletal!P405*-1</f>
        <v>0</v>
      </c>
      <c r="AF75" s="32"/>
      <c r="AG75" s="32"/>
      <c r="AH75" s="32"/>
      <c r="AI75" s="32"/>
      <c r="AJ75" s="105">
        <f t="shared" si="56"/>
        <v>-330.7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109.131</v>
      </c>
      <c r="AP75" s="37">
        <f t="shared" si="68"/>
        <v>0.33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Nøgletal!P$282*Nøgletal!P290</f>
        <v>109.131</v>
      </c>
      <c r="BX75" s="78"/>
      <c r="BY75" s="127">
        <f t="shared" si="67"/>
        <v>221.56899999999999</v>
      </c>
      <c r="BZ75" s="123">
        <f>(C75*Emissionsfaktorer!$H$4+E75*Emissionsfaktorer!$H$3+F75*Emissionsfaktorer!$H$5+H75*Emissionsfaktorer!$H$7+I75*Emissionsfaktorer!$H$8+J75*Emissionsfaktorer!$H$9+K75*Emissionsfaktorer!$H$10+L75*Emissionsfaktorer!$H$11+M75*Emissionsfaktorer!$H$12)*-1</f>
        <v>22.783245799999996</v>
      </c>
      <c r="CA75" s="231"/>
      <c r="CB75" s="231"/>
    </row>
    <row r="76" spans="1:80" x14ac:dyDescent="0.25">
      <c r="A76" s="231"/>
      <c r="B76" s="31"/>
      <c r="C76" s="78"/>
      <c r="D76" s="78"/>
      <c r="E76" s="78"/>
      <c r="F76" s="78"/>
      <c r="G76" s="23">
        <f t="shared" si="29"/>
        <v>-29.169999999999995</v>
      </c>
      <c r="H76" s="78"/>
      <c r="I76" s="78"/>
      <c r="J76" s="78"/>
      <c r="K76" s="78">
        <f>AO76*Nøgletal!P675/Nøgletal!P407*-1</f>
        <v>-29.169999999999995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AO76*Nøgletal!P676/Nøgletal!P407*-1</f>
        <v>0</v>
      </c>
      <c r="W76" s="78"/>
      <c r="X76" s="78"/>
      <c r="Y76" s="78"/>
      <c r="Z76" s="78"/>
      <c r="AA76" s="78"/>
      <c r="AB76" s="78"/>
      <c r="AC76" s="269">
        <f>AO76*Nøgletal!P678/Nøgletal!P410*-1</f>
        <v>0</v>
      </c>
      <c r="AD76" s="32"/>
      <c r="AE76" s="32">
        <f>AO76*Nøgletal!P677/Nøgletal!P407*-1</f>
        <v>0</v>
      </c>
      <c r="AF76" s="32"/>
      <c r="AG76" s="32"/>
      <c r="AH76" s="32"/>
      <c r="AI76" s="32"/>
      <c r="AJ76" s="105">
        <f t="shared" si="56"/>
        <v>-29.169999999999995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9.6260999999999992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Nøgletal!P$282*Nøgletal!P291</f>
        <v>9.6260999999999992</v>
      </c>
      <c r="BX76" s="78"/>
      <c r="BY76" s="127">
        <f t="shared" si="67"/>
        <v>19.543899999999994</v>
      </c>
      <c r="BZ76" s="123">
        <f>(C76*Emissionsfaktorer!$H$4+E76*Emissionsfaktorer!$H$3+F76*Emissionsfaktorer!$H$5+H76*Emissionsfaktorer!$H$7+I76*Emissionsfaktorer!$H$8+J76*Emissionsfaktorer!$H$9+K76*Emissionsfaktorer!$H$10+L76*Emissionsfaktorer!$H$11+M76*Emissionsfaktorer!$H$12)*-1</f>
        <v>2.1585799999999993</v>
      </c>
      <c r="CA76" s="231"/>
      <c r="CB76" s="231"/>
    </row>
    <row r="77" spans="1:80" x14ac:dyDescent="0.25">
      <c r="A77" s="231"/>
      <c r="B77" s="31"/>
      <c r="C77" s="78"/>
      <c r="D77" s="78"/>
      <c r="E77" s="78"/>
      <c r="F77" s="78"/>
      <c r="G77" s="23">
        <f t="shared" si="29"/>
        <v>-385.77999999999992</v>
      </c>
      <c r="H77" s="78"/>
      <c r="I77" s="78"/>
      <c r="J77" s="78"/>
      <c r="K77" s="78"/>
      <c r="L77" s="78">
        <f>AO77*Nøgletal!P680/Nøgletal!P408*-1</f>
        <v>-385.50999999999993</v>
      </c>
      <c r="M77" s="78">
        <f>AO77*Nøgletal!P681/Nøgletal!P408*-1</f>
        <v>-0.27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AO77*Nøgletal!P682/Nøgletal!P407*-1</f>
        <v>0</v>
      </c>
      <c r="W77" s="78"/>
      <c r="X77" s="78"/>
      <c r="Y77" s="78"/>
      <c r="Z77" s="78"/>
      <c r="AA77" s="78"/>
      <c r="AB77" s="78"/>
      <c r="AC77" s="269">
        <f>AO77*Nøgletal!P684/Nøgletal!P410</f>
        <v>0</v>
      </c>
      <c r="AD77" s="32"/>
      <c r="AE77" s="32">
        <f>AO77*Nøgletal!P683/Nøgletal!P408*-1</f>
        <v>0</v>
      </c>
      <c r="AF77" s="32"/>
      <c r="AG77" s="32"/>
      <c r="AH77" s="32"/>
      <c r="AI77" s="32"/>
      <c r="AJ77" s="105">
        <f t="shared" si="56"/>
        <v>-385.77999999999992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127.30739999999999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Nøgletal!P$282*Nøgletal!P292</f>
        <v>127.30739999999999</v>
      </c>
      <c r="BX77" s="78"/>
      <c r="BY77" s="127">
        <f t="shared" si="67"/>
        <v>258.47259999999994</v>
      </c>
      <c r="BZ77" s="123">
        <f>(C77*Emissionsfaktorer!$H$4+E77*Emissionsfaktorer!$H$3+F77*Emissionsfaktorer!$H$5+H77*Emissionsfaktorer!$H$7+I77*Emissionsfaktorer!$H$8+J77*Emissionsfaktorer!$H$9+K77*Emissionsfaktorer!$H$10+L77*Emissionsfaktorer!$H$11+M77*Emissionsfaktorer!$H$12)*-1</f>
        <v>27.776429999999994</v>
      </c>
      <c r="CA77" s="231"/>
      <c r="CB77" s="231"/>
    </row>
    <row r="78" spans="1:80" x14ac:dyDescent="0.25">
      <c r="A78" s="231"/>
      <c r="B78" s="31"/>
      <c r="C78" s="78"/>
      <c r="D78" s="78"/>
      <c r="E78" s="78"/>
      <c r="F78" s="78"/>
      <c r="G78" s="23">
        <f t="shared" si="29"/>
        <v>-54.989999999999981</v>
      </c>
      <c r="H78" s="78"/>
      <c r="I78" s="78">
        <f>-AO78/Nøgletal!P409*Nøgletal!P686</f>
        <v>0</v>
      </c>
      <c r="J78" s="78"/>
      <c r="K78" s="78">
        <f>AO78*Nøgletal!P687/Nøgletal!P409*-1</f>
        <v>-54.989999999999981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AO78*Nøgletal!P688/Nøgletal!P409*-1</f>
        <v>0</v>
      </c>
      <c r="W78" s="78"/>
      <c r="X78" s="78"/>
      <c r="Y78" s="78"/>
      <c r="Z78" s="78"/>
      <c r="AA78" s="78"/>
      <c r="AB78" s="78"/>
      <c r="AC78" s="269">
        <f>AO78*Nøgletal!P690/Nøgletal!P410*-1</f>
        <v>0</v>
      </c>
      <c r="AD78" s="32"/>
      <c r="AE78" s="32">
        <f>AO78*Nøgletal!P689/Nøgletal!P409*-1</f>
        <v>0</v>
      </c>
      <c r="AF78" s="32"/>
      <c r="AG78" s="32"/>
      <c r="AH78" s="32"/>
      <c r="AI78" s="32"/>
      <c r="AJ78" s="105">
        <f t="shared" si="56"/>
        <v>-54.989999999999981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18.146699999999996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Nøgletal!P$282*Nøgletal!P293</f>
        <v>18.146699999999996</v>
      </c>
      <c r="BX78" s="78"/>
      <c r="BY78" s="127">
        <f t="shared" si="67"/>
        <v>36.843299999999985</v>
      </c>
      <c r="BZ78" s="123">
        <f>(C78*Emissionsfaktorer!$H$4+E78*Emissionsfaktorer!$H$3+F78*Emissionsfaktorer!$H$5+H78*Emissionsfaktorer!$H$7+I78*Emissionsfaktorer!$H$8+J78*Emissionsfaktorer!$H$9+K78*Emissionsfaktorer!$H$10+L78*Emissionsfaktorer!$H$11+M78*Emissionsfaktorer!$H$12)*-1</f>
        <v>4.0692599999999981</v>
      </c>
      <c r="CA78" s="231"/>
      <c r="CB78" s="231"/>
    </row>
    <row r="79" spans="1:80" x14ac:dyDescent="0.25">
      <c r="A79" s="231"/>
      <c r="B79" s="31"/>
      <c r="C79" s="21"/>
      <c r="D79" s="21"/>
      <c r="E79" s="21">
        <f>Nøgletal!P37*Nøgletal!P38*Nøgletal!P43/Nøgletal!Q391*-1</f>
        <v>-0.4</v>
      </c>
      <c r="F79" s="21"/>
      <c r="G79" s="20">
        <f t="shared" si="29"/>
        <v>-54.45000000000001</v>
      </c>
      <c r="H79" s="21">
        <f>Nøgletal!P34/Nøgletal!Q389*-1</f>
        <v>-4.45</v>
      </c>
      <c r="I79" s="21"/>
      <c r="J79" s="21">
        <f>Nøgletal!P37*Nøgletal!P38*Nøgletal!P42/Nøgletal!Q390*-1</f>
        <v>-50.000000000000007</v>
      </c>
      <c r="K79" s="21"/>
      <c r="L79" s="21"/>
      <c r="M79" s="21"/>
      <c r="N79" s="20">
        <f t="shared" si="32"/>
        <v>-3.09</v>
      </c>
      <c r="O79" s="21"/>
      <c r="P79" s="21"/>
      <c r="Q79" s="21">
        <f>Nøgletal!P37*Nøgletal!P38*Nøgletal!P47/Nøgletal!Q395*-1</f>
        <v>-3.09</v>
      </c>
      <c r="R79" s="21"/>
      <c r="S79" s="21">
        <f>Nøgletal!P37*Nøgletal!P38*Nøgletal!P41*(1-1/Nøgletal!Q388)*-1</f>
        <v>0</v>
      </c>
      <c r="T79" s="20">
        <f t="shared" si="30"/>
        <v>-236</v>
      </c>
      <c r="U79" s="21"/>
      <c r="V79" s="21"/>
      <c r="W79" s="21">
        <f>Nøgletal!P37*Nøgletal!P38*Nøgletal!P46/Nøgletal!Q394*-1</f>
        <v>-20.000000000000004</v>
      </c>
      <c r="X79" s="21">
        <f>Nøgletal!P37*Nøgletal!P38*Nøgletal!P45/Nøgletal!Q393*-1</f>
        <v>-134</v>
      </c>
      <c r="Y79" s="21">
        <f>Nøgletal!P37*Nøgletal!P38*Nøgletal!P44/Nøgletal!Q392*-1</f>
        <v>-82.000000000000014</v>
      </c>
      <c r="Z79" s="21"/>
      <c r="AA79" s="21"/>
      <c r="AB79" s="21"/>
      <c r="AC79" s="79">
        <f>-(Nøgletal!P31/Nøgletal!P$385+Nøgletal!P32/Nøgletal!P$386+Nøgletal!P33/Nøgletal!P$387+Nøgletal!P30/Nøgletal!P382+Nøgletal!P37*Nøgletal!P38*Nøgletal!P48/Nøgletal!P384+Nøgletal!P37*Nøgletal!P38*Nøgletal!P49/Nøgletal!P383+Nøgletal!P37*Nøgletal!P38*Nøgletal!P41/Nøgletal!Q388)</f>
        <v>-259.61592394533574</v>
      </c>
      <c r="AD79" s="21">
        <f>Nøgletal!P37*Nøgletal!P39*-1</f>
        <v>-1036.55515067748</v>
      </c>
      <c r="AE79" s="21"/>
      <c r="AF79" s="21"/>
      <c r="AG79" s="21"/>
      <c r="AH79" s="21"/>
      <c r="AI79" s="21"/>
      <c r="AJ79" s="105">
        <f t="shared" si="56"/>
        <v>-1590.1110746228157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1467.4761506774801</v>
      </c>
      <c r="AP79" s="37">
        <f t="shared" si="68"/>
        <v>0.92287650472818361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Nøgletal!P28</f>
        <v>1467.4761506774801</v>
      </c>
      <c r="BX79" s="79"/>
      <c r="BY79" s="127">
        <f t="shared" si="67"/>
        <v>122.63492394533569</v>
      </c>
      <c r="BZ79" s="123">
        <f>(C79*Emissionsfaktorer!$H$4+E79*Emissionsfaktorer!$H$3+F79*Emissionsfaktorer!$H$5+H79*Emissionsfaktorer!$H$7+I79*Emissionsfaktorer!$H$8+J79*Emissionsfaktorer!$H$9+K79*Emissionsfaktorer!$H$10+L79*Emissionsfaktorer!$H$11+M79*Emissionsfaktorer!$H$12)*-1</f>
        <v>4.0035949999999998</v>
      </c>
      <c r="CA79" s="231"/>
      <c r="CB79" s="231"/>
    </row>
    <row r="80" spans="1:80" x14ac:dyDescent="0.25">
      <c r="A80" s="231"/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-274.35686274509806</v>
      </c>
      <c r="AD80" s="21">
        <f>SUM(AD81:AD83)</f>
        <v>-480.85968587496006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-755.21654862005812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713.85968587496006</v>
      </c>
      <c r="AP80" s="37">
        <f t="shared" si="68"/>
        <v>0.94523840503671974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713.85968587496006</v>
      </c>
      <c r="BX80" s="79"/>
      <c r="BY80" s="230">
        <f>SUM(BY81:BY83)</f>
        <v>41.356862745098056</v>
      </c>
      <c r="BZ80" s="123">
        <f>(C80*Emissionsfaktorer!$H$4+E80*Emissionsfaktorer!$H$3+F80*Emissionsfaktorer!$H$5+H80*Emissionsfaktorer!$H$7+I80*Emissionsfaktorer!$H$8+J80*Emissionsfaktorer!$H$9+K80*Emissionsfaktorer!$H$10+L80*Emissionsfaktorer!$H$11+M80*Emissionsfaktorer!$H$12)*-1</f>
        <v>0</v>
      </c>
      <c r="CA80" s="231"/>
      <c r="CB80" s="231"/>
    </row>
    <row r="81" spans="1:80" x14ac:dyDescent="0.25">
      <c r="A81" s="231"/>
      <c r="B81" s="31"/>
      <c r="C81" s="32"/>
      <c r="D81" s="32"/>
      <c r="E81" s="32">
        <f>Nøgletal!P65*Nøgletal!P66*Nøgletal!P71/Nøgletal!Q391*-1</f>
        <v>0</v>
      </c>
      <c r="F81" s="32"/>
      <c r="G81" s="23">
        <f t="shared" si="29"/>
        <v>0</v>
      </c>
      <c r="H81" s="32">
        <f>Nøgletal!P62/Nøgletal!Q389*-1</f>
        <v>0</v>
      </c>
      <c r="I81" s="32"/>
      <c r="J81" s="32">
        <f>Nøgletal!P65*Nøgletal!P66*Nøgletal!P70/Nøgletal!Q390*-1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Nøgletal!P65*Nøgletal!P66*Nøgletal!P75/Nøgletal!Q395*-1</f>
        <v>0</v>
      </c>
      <c r="R81" s="32"/>
      <c r="S81" s="32">
        <f>Nøgletal!P65*Nøgletal!P66*Nøgletal!P69*(1-1/Nøgletal!Q388)*-1</f>
        <v>0</v>
      </c>
      <c r="T81" s="23">
        <f t="shared" si="30"/>
        <v>0</v>
      </c>
      <c r="U81" s="32"/>
      <c r="V81" s="32"/>
      <c r="W81" s="32">
        <f>Nøgletal!P65*Nøgletal!P66*Nøgletal!P74/Nøgletal!Q394*-1</f>
        <v>0</v>
      </c>
      <c r="X81" s="32">
        <f>Nøgletal!P65*Nøgletal!P66*Nøgletal!P73/Nøgletal!Q393*-1</f>
        <v>0</v>
      </c>
      <c r="Y81" s="32">
        <f>Nøgletal!P65*Nøgletal!P66*Nøgletal!P72/Nøgletal!Q392*-1</f>
        <v>0</v>
      </c>
      <c r="Z81" s="32"/>
      <c r="AA81" s="32"/>
      <c r="AB81" s="32"/>
      <c r="AC81" s="78">
        <f>-(Nøgletal!P59/Nøgletal!P$385+Nøgletal!P60/Nøgletal!P$386+Nøgletal!P61/Nøgletal!P$387+Nøgletal!P65*Nøgletal!P66*Nøgletal!P76/Nøgletal!P384+Nøgletal!P65*Nøgletal!P66*Nøgletal!P69/Nøgletal!Q388+Nøgletal!P77*Nøgletal!P65*Nøgletal!P66/Nøgletal!P383)</f>
        <v>-137.90588235294118</v>
      </c>
      <c r="AD81" s="32">
        <f>Nøgletal!P65*Nøgletal!P67*-1</f>
        <v>-157.63281093252002</v>
      </c>
      <c r="AE81" s="32"/>
      <c r="AF81" s="32"/>
      <c r="AG81" s="32"/>
      <c r="AH81" s="32"/>
      <c r="AI81" s="32"/>
      <c r="AJ81" s="105">
        <f t="shared" si="56"/>
        <v>-295.53869328546119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261.83281093252003</v>
      </c>
      <c r="AP81" s="37">
        <f t="shared" si="68"/>
        <v>0.88595103409899489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Nøgletal!P57</f>
        <v>261.83281093252003</v>
      </c>
      <c r="BX81" s="78"/>
      <c r="BY81" s="127">
        <f>(AJ81+BW81)*-1</f>
        <v>33.70588235294116</v>
      </c>
      <c r="BZ81" s="123">
        <f>(C81*Emissionsfaktorer!$H$4+E81*Emissionsfaktorer!$H$3+F81*Emissionsfaktorer!$H$5+H81*Emissionsfaktorer!$H$7+I81*Emissionsfaktorer!$H$8+J81*Emissionsfaktorer!$H$9+K81*Emissionsfaktorer!$H$10+L81*Emissionsfaktorer!$H$11+M81*Emissionsfaktorer!$H$12)*-1</f>
        <v>0</v>
      </c>
      <c r="CA81" s="231"/>
      <c r="CB81" s="231"/>
    </row>
    <row r="82" spans="1:80" x14ac:dyDescent="0.25">
      <c r="A82" s="231"/>
      <c r="B82" s="31"/>
      <c r="C82" s="32"/>
      <c r="D82" s="32"/>
      <c r="E82" s="32">
        <f>Nøgletal!P93*Nøgletal!P94*Nøgletal!P99/Nøgletal!Q391*-1</f>
        <v>0</v>
      </c>
      <c r="F82" s="32"/>
      <c r="G82" s="23">
        <f t="shared" si="29"/>
        <v>0</v>
      </c>
      <c r="H82" s="32">
        <f>Nøgletal!P90/Nøgletal!Q389*-1</f>
        <v>0</v>
      </c>
      <c r="I82" s="32"/>
      <c r="J82" s="32">
        <f>Nøgletal!P93*Nøgletal!P94*Nøgletal!P98/Nøgletal!Q390*-1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Nøgletal!P93*Nøgletal!P94*Nøgletal!P103/Nøgletal!Q395*-1</f>
        <v>0</v>
      </c>
      <c r="R82" s="32"/>
      <c r="S82" s="32">
        <f>Nøgletal!P93*Nøgletal!P94*Nøgletal!P97*(1-1/Nøgletal!Q388)*-1</f>
        <v>0</v>
      </c>
      <c r="T82" s="23">
        <f t="shared" si="30"/>
        <v>0</v>
      </c>
      <c r="U82" s="32"/>
      <c r="V82" s="32"/>
      <c r="W82" s="32">
        <f>Nøgletal!P93*Nøgletal!P94*Nøgletal!P102/Nøgletal!Q394*-1</f>
        <v>0</v>
      </c>
      <c r="X82" s="32">
        <f>Nøgletal!P93*Nøgletal!P94*Nøgletal!P101/Nøgletal!Q393*-1</f>
        <v>0</v>
      </c>
      <c r="Y82" s="32">
        <f>Nøgletal!P93*Nøgletal!P94*Nøgletal!P100/Nøgletal!Q392*-1</f>
        <v>0</v>
      </c>
      <c r="Z82" s="32"/>
      <c r="AA82" s="32"/>
      <c r="AB82" s="32"/>
      <c r="AC82" s="78">
        <f>-(Nøgletal!P87/Nøgletal!P$385+Nøgletal!P88/Nøgletal!P$386+Nøgletal!P89/Nøgletal!P$387+Nøgletal!P93*Nøgletal!P94*(Nøgletal!P97/Nøgletal!Q388+Nøgletal!P104/Nøgletal!P384+Nøgletal!P105/Nøgletal!P383))</f>
        <v>-64.61960784313726</v>
      </c>
      <c r="AD82" s="32">
        <f>Nøgletal!P93*Nøgletal!P95*-1</f>
        <v>-211.76933185884002</v>
      </c>
      <c r="AE82" s="32"/>
      <c r="AF82" s="32"/>
      <c r="AG82" s="32"/>
      <c r="AH82" s="32"/>
      <c r="AI82" s="32"/>
      <c r="AJ82" s="105">
        <f t="shared" si="56"/>
        <v>-276.38893970197728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272.76933185884002</v>
      </c>
      <c r="AP82" s="37">
        <f t="shared" si="68"/>
        <v>0.98690393382947894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Nøgletal!P85</f>
        <v>272.76933185884002</v>
      </c>
      <c r="BX82" s="78"/>
      <c r="BY82" s="127">
        <f>(AJ82+BW82)*-1</f>
        <v>3.6196078431372598</v>
      </c>
      <c r="BZ82" s="123">
        <f>(C82*Emissionsfaktorer!$H$4+E82*Emissionsfaktorer!$H$3+F82*Emissionsfaktorer!$H$5+H82*Emissionsfaktorer!$H$7+I82*Emissionsfaktorer!$H$8+J82*Emissionsfaktorer!$H$9+K82*Emissionsfaktorer!$H$10+L82*Emissionsfaktorer!$H$11+M82*Emissionsfaktorer!$H$12)*-1</f>
        <v>0</v>
      </c>
      <c r="CA82" s="231"/>
      <c r="CB82" s="231"/>
    </row>
    <row r="83" spans="1:80" x14ac:dyDescent="0.25">
      <c r="A83" s="231"/>
      <c r="B83" s="31"/>
      <c r="C83" s="32"/>
      <c r="D83" s="32"/>
      <c r="E83" s="32">
        <f>Nøgletal!P121*Nøgletal!P122*Nøgletal!P127/Nøgletal!Q391*-1</f>
        <v>0</v>
      </c>
      <c r="F83" s="32"/>
      <c r="G83" s="23">
        <f t="shared" si="29"/>
        <v>0</v>
      </c>
      <c r="H83" s="32">
        <f>Nøgletal!P118/Nøgletal!Q389*-1</f>
        <v>0</v>
      </c>
      <c r="I83" s="32"/>
      <c r="J83" s="32">
        <f>Nøgletal!P121*Nøgletal!P122*Nøgletal!P126/Nøgletal!Q390*-1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Nøgletal!P121*Nøgletal!P122*Nøgletal!P131/Nøgletal!Q395*-1</f>
        <v>0</v>
      </c>
      <c r="R83" s="32"/>
      <c r="S83" s="32">
        <f>Nøgletal!P121*Nøgletal!P122*Nøgletal!P125*(1-1/Nøgletal!Q388)*-1</f>
        <v>0</v>
      </c>
      <c r="T83" s="23">
        <f t="shared" si="30"/>
        <v>0</v>
      </c>
      <c r="U83" s="32"/>
      <c r="V83" s="32"/>
      <c r="W83" s="32">
        <f>Nøgletal!P121*Nøgletal!P122*Nøgletal!P130/Nøgletal!Q394*-1</f>
        <v>0</v>
      </c>
      <c r="X83" s="32">
        <f>Nøgletal!P121*Nøgletal!P122*Nøgletal!P129/Nøgletal!Q392*-1</f>
        <v>0</v>
      </c>
      <c r="Y83" s="32">
        <f>Nøgletal!P121*Nøgletal!P122*Nøgletal!P128/Nøgletal!Q392*-1</f>
        <v>0</v>
      </c>
      <c r="Z83" s="32"/>
      <c r="AA83" s="32"/>
      <c r="AB83" s="32"/>
      <c r="AC83" s="78">
        <f>-(Nøgletal!P115/Nøgletal!P$385+Nøgletal!P116/Nøgletal!P$386+Nøgletal!P117/Nøgletal!P$387+Nøgletal!P121*Nøgletal!P122*(Nøgletal!P125/Nøgletal!Q388+Nøgletal!P132/Nøgletal!P384+Nøgletal!P133/Nøgletal!P383))</f>
        <v>-71.831372549019605</v>
      </c>
      <c r="AD83" s="32">
        <f>Nøgletal!P121*Nøgletal!P123*-1</f>
        <v>-111.45754308360003</v>
      </c>
      <c r="AE83" s="32"/>
      <c r="AF83" s="32"/>
      <c r="AG83" s="32"/>
      <c r="AH83" s="32"/>
      <c r="AI83" s="32"/>
      <c r="AJ83" s="105">
        <f t="shared" si="56"/>
        <v>-183.28891563261965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179.25754308360001</v>
      </c>
      <c r="AP83" s="37">
        <f t="shared" si="68"/>
        <v>0.97800536636323365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Nøgletal!P113</f>
        <v>179.25754308360001</v>
      </c>
      <c r="BX83" s="78"/>
      <c r="BY83" s="127">
        <f>(AJ83+BW83)*-1</f>
        <v>4.0313725490196362</v>
      </c>
      <c r="BZ83" s="123">
        <f>(C83*Emissionsfaktorer!$H$4+E83*Emissionsfaktorer!$H$3+F83*Emissionsfaktorer!$H$5+H83*Emissionsfaktorer!$H$7+I83*Emissionsfaktorer!$H$8+J83*Emissionsfaktorer!$H$9+K83*Emissionsfaktorer!$H$10+L83*Emissionsfaktorer!$H$11+M83*Emissionsfaktorer!$H$12)*-1</f>
        <v>0</v>
      </c>
      <c r="CA83" s="231"/>
      <c r="CB83" s="231"/>
    </row>
    <row r="84" spans="1:80" x14ac:dyDescent="0.25">
      <c r="A84" s="231"/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-753</v>
      </c>
      <c r="F84" s="266">
        <f t="shared" si="71"/>
        <v>0</v>
      </c>
      <c r="G84" s="266">
        <f t="shared" si="71"/>
        <v>-75.639999999999986</v>
      </c>
      <c r="H84" s="266">
        <f t="shared" si="71"/>
        <v>-13.349999999999998</v>
      </c>
      <c r="I84" s="266">
        <f t="shared" si="71"/>
        <v>0</v>
      </c>
      <c r="J84" s="266">
        <f t="shared" si="71"/>
        <v>-27.38</v>
      </c>
      <c r="K84" s="266">
        <f t="shared" si="71"/>
        <v>-34.909999999999997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0</v>
      </c>
      <c r="U84" s="266">
        <f t="shared" si="71"/>
        <v>0</v>
      </c>
      <c r="V84" s="266">
        <f t="shared" si="71"/>
        <v>0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-635.14901960784323</v>
      </c>
      <c r="AD84" s="266">
        <f t="shared" si="71"/>
        <v>-74.835778927560014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-142.40040000000002</v>
      </c>
      <c r="AI84" s="266">
        <f t="shared" si="71"/>
        <v>0</v>
      </c>
      <c r="AJ84" s="105">
        <f>SUM(AJ85:AJ88)</f>
        <v>-1538.6247985354032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1495.0714789275601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1495.0714789275601</v>
      </c>
      <c r="BX84" s="266">
        <f t="shared" si="72"/>
        <v>0</v>
      </c>
      <c r="BY84" s="123">
        <f t="shared" si="72"/>
        <v>43.553319607843157</v>
      </c>
      <c r="BZ84" s="123">
        <f t="shared" si="72"/>
        <v>48.372844999999998</v>
      </c>
      <c r="CA84" s="231"/>
      <c r="CB84" s="231"/>
    </row>
    <row r="85" spans="1:80" x14ac:dyDescent="0.25">
      <c r="A85" s="231"/>
      <c r="B85" s="31"/>
      <c r="C85" s="32"/>
      <c r="D85" s="32"/>
      <c r="E85" s="32">
        <f>Nøgletal!P149*Nøgletal!P150*Nøgletal!P155/Nøgletal!Q391*-1</f>
        <v>0</v>
      </c>
      <c r="F85" s="32"/>
      <c r="G85" s="23">
        <f>SUM(H85:M85)</f>
        <v>0</v>
      </c>
      <c r="H85" s="32">
        <f>Nøgletal!P146/Nøgletal!Q389*-1</f>
        <v>0</v>
      </c>
      <c r="I85" s="32"/>
      <c r="J85" s="32">
        <f>Nøgletal!P149*Nøgletal!P150*Nøgletal!P154/Nøgletal!Q390*-1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Nøgletal!P149*Nøgletal!P150*Nøgletal!P159/Nøgletal!Q395*-1</f>
        <v>0</v>
      </c>
      <c r="R85" s="32"/>
      <c r="S85" s="32">
        <f>Nøgletal!P149*Nøgletal!P150*Nøgletal!P153*(1-1/Nøgletal!Q388)*-1</f>
        <v>0</v>
      </c>
      <c r="T85" s="23">
        <f>SUM(U85:AB85)</f>
        <v>0</v>
      </c>
      <c r="U85" s="32"/>
      <c r="V85" s="32"/>
      <c r="W85" s="32">
        <f>Nøgletal!P149*Nøgletal!P150*Nøgletal!P158/Nøgletal!Q394*-1</f>
        <v>0</v>
      </c>
      <c r="X85" s="32">
        <f>Nøgletal!P149*Nøgletal!P150*Nøgletal!P157/Nøgletal!Q393*-1</f>
        <v>0</v>
      </c>
      <c r="Y85" s="32">
        <f>Nøgletal!P149*Nøgletal!P150*Nøgletal!P156/Nøgletal!Q392*-1</f>
        <v>0</v>
      </c>
      <c r="Z85" s="32"/>
      <c r="AA85" s="32"/>
      <c r="AB85" s="32"/>
      <c r="AC85" s="78">
        <f>-(Nøgletal!P143/Nøgletal!P$385+Nøgletal!P144/Nøgletal!P$386+Nøgletal!P145/Nøgletal!P$387+Nøgletal!P149*Nøgletal!P150*(Nøgletal!P153/Nøgletal!Q388+Nøgletal!P160/Nøgletal!P384+Nøgletal!P161/Nøgletal!P383))</f>
        <v>-5.1529411764705886</v>
      </c>
      <c r="AD85" s="32">
        <f>Nøgletal!P149*Nøgletal!P151*-1</f>
        <v>0</v>
      </c>
      <c r="AE85" s="32"/>
      <c r="AF85" s="32"/>
      <c r="AG85" s="32"/>
      <c r="AH85" s="32"/>
      <c r="AI85" s="32"/>
      <c r="AJ85" s="105">
        <f>SUM(C85:G85,N85,T85,AC85:AG85)</f>
        <v>-5.1529411764705886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4.5</v>
      </c>
      <c r="AP85" s="37">
        <f t="shared" si="68"/>
        <v>0.87328767123287665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Nøgletal!P141</f>
        <v>4.5</v>
      </c>
      <c r="BX85" s="78"/>
      <c r="BY85" s="127">
        <f>(AJ85+BW85)*-1</f>
        <v>0.65294117647058858</v>
      </c>
      <c r="BZ85" s="123">
        <f>(C85*Emissionsfaktorer!$H$4+E85*Emissionsfaktorer!$H$3+F85*Emissionsfaktorer!$H$5+H85*Emissionsfaktorer!$H$7+I85*Emissionsfaktorer!$H$8+J85*Emissionsfaktorer!$H$9+K85*Emissionsfaktorer!$H$10+L85*Emissionsfaktorer!$H$11+M85*Emissionsfaktorer!$H$12)*-1</f>
        <v>0</v>
      </c>
      <c r="CA85" s="231"/>
      <c r="CB85" s="231"/>
    </row>
    <row r="86" spans="1:80" x14ac:dyDescent="0.25">
      <c r="A86" s="231"/>
      <c r="B86" s="31"/>
      <c r="C86" s="32"/>
      <c r="D86" s="32"/>
      <c r="E86" s="78">
        <f>Nøgletal!P181*Nøgletal!P182*Nøgletal!P187/Nøgletal!Q391*-1+Nøgletal!P177/Nøgletal!Q397*Nøgletal!P413*-1+Nøgletal!P178/Nøgletal!Q398*Nøgletal!P424*-1</f>
        <v>-753</v>
      </c>
      <c r="F86" s="32">
        <f>Nøgletal!P178/Nøgletal!Q398*Nøgletal!P427*-1</f>
        <v>0</v>
      </c>
      <c r="G86" s="23">
        <f>SUM(H86:M86)</f>
        <v>-40.729999999999997</v>
      </c>
      <c r="H86" s="32">
        <f>Nøgletal!P175/Nøgletal!Q389*-1</f>
        <v>-13.349999999999998</v>
      </c>
      <c r="I86" s="32">
        <f>Nøgletal!P178/Nøgletal!Q398*Nøgletal!P425*-1</f>
        <v>0</v>
      </c>
      <c r="J86" s="32">
        <f>Nøgletal!P181*Nøgletal!P182*Nøgletal!P186/Nøgletal!Q390*-1+Nøgletal!P176/Nøgletal!Q396*Nøgletal!P416*-1</f>
        <v>-27.38</v>
      </c>
      <c r="K86" s="32"/>
      <c r="L86" s="32"/>
      <c r="M86" s="32"/>
      <c r="N86" s="23">
        <f>SUM(O86:S86)</f>
        <v>0</v>
      </c>
      <c r="O86" s="32"/>
      <c r="P86" s="32"/>
      <c r="Q86" s="32">
        <f>Nøgletal!P181*Nøgletal!P182*Nøgletal!P191/Nøgletal!Q395*-1</f>
        <v>0</v>
      </c>
      <c r="R86" s="32"/>
      <c r="S86" s="32">
        <f>Nøgletal!P181*Nøgletal!P182*Nøgletal!P185*(1-1/Nøgletal!Q388)*-1</f>
        <v>0</v>
      </c>
      <c r="T86" s="23">
        <f>SUM(U86:AB86)</f>
        <v>0</v>
      </c>
      <c r="U86" s="32"/>
      <c r="V86" s="32"/>
      <c r="W86" s="32">
        <f>Nøgletal!P181*Nøgletal!P182*Nøgletal!P190/Nøgletal!Q394*-1</f>
        <v>0</v>
      </c>
      <c r="X86" s="32">
        <f>Nøgletal!$P$177/Nøgletal!$Q$397*Nøgletal!$P$414*-1+Nøgletal!P176/Nøgletal!Q396*Nøgletal!P417*-1</f>
        <v>0</v>
      </c>
      <c r="Y86" s="32">
        <f>Nøgletal!P178/Nøgletal!Q398*Nøgletal!P426*-1</f>
        <v>0</v>
      </c>
      <c r="Z86" s="32"/>
      <c r="AA86" s="32"/>
      <c r="AB86" s="32"/>
      <c r="AC86" s="78">
        <f>-(Nøgletal!P171/Nøgletal!P$385+Nøgletal!P172/Nøgletal!P$386+Nøgletal!P173/Nøgletal!P$387+Nøgletal!P181*Nøgletal!P182*(Nøgletal!P185/Nøgletal!Q388+Nøgletal!P192/Nøgletal!P384+Nøgletal!P193/Nøgletal!P383))</f>
        <v>-620.09411764705897</v>
      </c>
      <c r="AD86" s="32">
        <f>(Nøgletal!P181*Nøgletal!P183+Nøgletal!P202)*-1</f>
        <v>-50.952019695360008</v>
      </c>
      <c r="AE86" s="32"/>
      <c r="AF86" s="32"/>
      <c r="AG86" s="32"/>
      <c r="AH86" s="269">
        <f>AH68</f>
        <v>-142.40040000000002</v>
      </c>
      <c r="AI86" s="32"/>
      <c r="AJ86" s="105">
        <f>SUM(C86:G86,N86,T86,AC86:AG86)</f>
        <v>-1464.7761373424189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1447.0674196953601</v>
      </c>
      <c r="AP86" s="37">
        <f t="shared" si="68"/>
        <v>0.98791029072934777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Nøgletal!P169</f>
        <v>1447.0674196953601</v>
      </c>
      <c r="BX86" s="78"/>
      <c r="BY86" s="127">
        <f>(AJ86+BW86)*-1</f>
        <v>17.708717647058847</v>
      </c>
      <c r="BZ86" s="123">
        <f>(C86*Emissionsfaktorer!$H$4+E86*Emissionsfaktorer!$H$3+F86*Emissionsfaktorer!$H$5+H86*Emissionsfaktorer!$H$7+I86*Emissionsfaktorer!$H$8+J86*Emissionsfaktorer!$H$9+K86*Emissionsfaktorer!$H$10+L86*Emissionsfaktorer!$H$11+M86*Emissionsfaktorer!$H$12)*-1</f>
        <v>45.789504999999998</v>
      </c>
      <c r="CA86" s="231"/>
      <c r="CB86" s="231"/>
    </row>
    <row r="87" spans="1:80" x14ac:dyDescent="0.25">
      <c r="A87" s="231"/>
      <c r="B87" s="31"/>
      <c r="C87" s="32"/>
      <c r="D87" s="32"/>
      <c r="E87" s="32">
        <f>Nøgletal!P211*Nøgletal!P212*Nøgletal!P217/Nøgletal!Q391*-1</f>
        <v>0</v>
      </c>
      <c r="F87" s="32"/>
      <c r="G87" s="23">
        <f>SUM(H87:M87)</f>
        <v>0</v>
      </c>
      <c r="H87" s="32">
        <f>Nøgletal!P208/Nøgletal!Q389*-1</f>
        <v>0</v>
      </c>
      <c r="I87" s="149"/>
      <c r="J87" s="32">
        <f>Nøgletal!P211*Nøgletal!P212*Nøgletal!P216/Nøgletal!Q390*-1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Nøgletal!P211*Nøgletal!P212*Nøgletal!P221/Nøgletal!Q395*-1</f>
        <v>0</v>
      </c>
      <c r="R87" s="32"/>
      <c r="S87" s="32">
        <f>Nøgletal!P211*Nøgletal!P212*Nøgletal!P215*(1-1/Nøgletal!Q388)*-1</f>
        <v>0</v>
      </c>
      <c r="T87" s="23">
        <f>SUM(U87:AB87)</f>
        <v>0</v>
      </c>
      <c r="U87" s="32"/>
      <c r="V87" s="32"/>
      <c r="W87" s="32">
        <f>Nøgletal!P211*Nøgletal!P212*Nøgletal!P220/Nøgletal!Q394*-1</f>
        <v>0</v>
      </c>
      <c r="X87" s="32">
        <f>Nøgletal!P211*Nøgletal!P212*Nøgletal!P219/Nøgletal!Q393*-1</f>
        <v>0</v>
      </c>
      <c r="Y87" s="32">
        <f>Nøgletal!P211*Nøgletal!P212*Nøgletal!P218/Nøgletal!Q392*-1</f>
        <v>0</v>
      </c>
      <c r="Z87" s="32"/>
      <c r="AA87" s="32"/>
      <c r="AB87" s="32"/>
      <c r="AC87" s="78">
        <f>-(Nøgletal!P205/Nøgletal!P$385+Nøgletal!P206/Nøgletal!P$386+Nøgletal!P207/Nøgletal!P$387+Nøgletal!P211*Nøgletal!P212*(Nøgletal!P215/Nøgletal!Q388+Nøgletal!P222/Nøgletal!P384+Nøgletal!P223/Nøgletal!P383))</f>
        <v>-0.4705882352941177</v>
      </c>
      <c r="AD87" s="32">
        <f>Nøgletal!P211*Nøgletal!P213*-1</f>
        <v>-23.883759232200003</v>
      </c>
      <c r="AE87" s="32"/>
      <c r="AF87" s="32"/>
      <c r="AG87" s="32"/>
      <c r="AH87" s="32"/>
      <c r="AI87" s="32"/>
      <c r="AJ87" s="105">
        <f>SUM(C87:G87,N87,T87,AC87:AG87)</f>
        <v>-24.354347467494119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24.283759232200001</v>
      </c>
      <c r="AP87" s="37">
        <f t="shared" si="68"/>
        <v>0.99710161664613139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Nøgletal!P203</f>
        <v>24.283759232200001</v>
      </c>
      <c r="BX87" s="78"/>
      <c r="BY87" s="127">
        <f>(AJ87+BW87)*-1</f>
        <v>7.0588235294117396E-2</v>
      </c>
      <c r="BZ87" s="123">
        <f>(C87*Emissionsfaktorer!$H$4+E87*Emissionsfaktorer!$H$3+F87*Emissionsfaktorer!$H$5+H87*Emissionsfaktorer!$H$7+I87*Emissionsfaktorer!$H$8+J87*Emissionsfaktorer!$H$9+K87*Emissionsfaktorer!$H$10+L87*Emissionsfaktorer!$H$11+M87*Emissionsfaktorer!$H$12)*-1</f>
        <v>0</v>
      </c>
      <c r="CA87" s="231"/>
      <c r="CB87" s="231"/>
    </row>
    <row r="88" spans="1:80" x14ac:dyDescent="0.25">
      <c r="A88" s="231"/>
      <c r="B88" s="31"/>
      <c r="C88" s="32"/>
      <c r="D88" s="32"/>
      <c r="E88" s="32">
        <f>(Nøgletal!P236/Nøgletal!P406*Nøgletal!P696+Nøgletal!P240*Nøgletal!P241*Nøgletal!P246/Nøgletal!Q391)*-1</f>
        <v>0</v>
      </c>
      <c r="F88" s="32"/>
      <c r="G88" s="23">
        <f>SUM(H88:M88)</f>
        <v>-34.909999999999997</v>
      </c>
      <c r="H88" s="32">
        <f>Nøgletal!P237/Nøgletal!Q389*-1</f>
        <v>0</v>
      </c>
      <c r="I88" s="32"/>
      <c r="J88" s="32">
        <f>Nøgletal!P240*Nøgletal!P241*Nøgletal!P245/Nøgletal!Q390*-1</f>
        <v>0</v>
      </c>
      <c r="K88" s="78">
        <f>Nøgletal!P236/Nøgletal!P406*Nøgletal!P692*-1</f>
        <v>-34.909999999999997</v>
      </c>
      <c r="L88" s="32"/>
      <c r="M88" s="32">
        <f>Nøgletal!P236/Nøgletal!P406*Nøgletal!P693*-1</f>
        <v>0</v>
      </c>
      <c r="N88" s="23">
        <f>SUM(O88:S88)</f>
        <v>0</v>
      </c>
      <c r="O88" s="32"/>
      <c r="P88" s="32"/>
      <c r="Q88" s="32">
        <f>Nøgletal!P240*Nøgletal!P241*Nøgletal!P250/Nøgletal!Q395*-1</f>
        <v>0</v>
      </c>
      <c r="R88" s="32"/>
      <c r="S88" s="32">
        <f>Nøgletal!P240*Nøgletal!P241*Nøgletal!P244*(1-1/Nøgletal!Q388)*-1</f>
        <v>0</v>
      </c>
      <c r="T88" s="23">
        <f>SUM(U88:AB88)</f>
        <v>0</v>
      </c>
      <c r="U88" s="32">
        <f>Nøgletal!P236*Nøgletal!P695/Nøgletal!P406*-1</f>
        <v>0</v>
      </c>
      <c r="V88" s="32">
        <f>Nøgletal!P236*Nøgletal!P697/Nøgletal!P406*-1</f>
        <v>0</v>
      </c>
      <c r="W88" s="32">
        <f>Nøgletal!P240*Nøgletal!P241*Nøgletal!P249/Nøgletal!Q394*-1</f>
        <v>0</v>
      </c>
      <c r="X88" s="32">
        <f>Nøgletal!P240*Nøgletal!P241*Nøgletal!P248/Nøgletal!Q393*-1</f>
        <v>0</v>
      </c>
      <c r="Y88" s="32">
        <f>Nøgletal!P240*Nøgletal!P241*Nøgletal!P247/Nøgletal!Q392*-1</f>
        <v>0</v>
      </c>
      <c r="Z88" s="32"/>
      <c r="AA88" s="32"/>
      <c r="AB88" s="32">
        <f>Nøgletal!P236*Nøgletal!P694/Nøgletal!P406*-1</f>
        <v>0</v>
      </c>
      <c r="AC88" s="78">
        <f>-(Nøgletal!P233/Nøgletal!P$385+Nøgletal!P234/Nøgletal!P$386+Nøgletal!P235/Nøgletal!P$387+Nøgletal!P236*Nøgletal!P698/Nøgletal!P406+Nøgletal!P240*Nøgletal!P241*(Nøgletal!P244/Nøgletal!Q388+Nøgletal!P251/Nøgletal!P384+Nøgletal!P252/Nøgletal!P383))</f>
        <v>-9.4313725490196081</v>
      </c>
      <c r="AD88" s="32">
        <f>Nøgletal!P240*Nøgletal!P242</f>
        <v>0</v>
      </c>
      <c r="AE88" s="32"/>
      <c r="AF88" s="32"/>
      <c r="AG88" s="32"/>
      <c r="AH88" s="32"/>
      <c r="AI88" s="32"/>
      <c r="AJ88" s="105">
        <f>SUM(C88:G88,N88,T88,AC88:AG88)</f>
        <v>-44.341372549019603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19.220299999999998</v>
      </c>
      <c r="AP88" s="37">
        <f t="shared" si="68"/>
        <v>0.43346199937207319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Nøgletal!P231</f>
        <v>19.220299999999998</v>
      </c>
      <c r="BX88" s="78"/>
      <c r="BY88" s="127">
        <f>(AJ88+BW88)*-1</f>
        <v>25.121072549019605</v>
      </c>
      <c r="BZ88" s="123">
        <f>(C88*Emissionsfaktorer!$H$4+E88*Emissionsfaktorer!$H$3+F88*Emissionsfaktorer!$H$5+H88*Emissionsfaktorer!$H$7+I88*Emissionsfaktorer!$H$8+J88*Emissionsfaktorer!$H$9+K88*Emissionsfaktorer!$H$10+L88*Emissionsfaktorer!$H$11+M88*Emissionsfaktorer!$H$12)*-1</f>
        <v>2.5833399999999997</v>
      </c>
      <c r="CA88" s="231"/>
      <c r="CB88" s="231"/>
    </row>
    <row r="89" spans="1:80" x14ac:dyDescent="0.25">
      <c r="A89" s="231"/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-6005.4722335429824</v>
      </c>
      <c r="AJ89" s="155">
        <f>AJ90+AJ101+AJ112+AJ117</f>
        <v>-6005.4722335429824</v>
      </c>
      <c r="AK89" s="88" t="s">
        <v>274</v>
      </c>
      <c r="AL89" s="89" t="s">
        <v>275</v>
      </c>
      <c r="AM89" s="89"/>
      <c r="AN89" s="37"/>
      <c r="AO89" s="38">
        <f t="shared" si="61"/>
        <v>4213.5930154799998</v>
      </c>
      <c r="AP89" s="37">
        <f t="shared" si="68"/>
        <v>0.70162559272947511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4213.5930154799998</v>
      </c>
      <c r="BX89" s="82"/>
      <c r="BY89" s="128">
        <f>BY90+BY101+BY112+BY117</f>
        <v>1813.6908062982761</v>
      </c>
      <c r="BZ89" s="128">
        <f>BZ90+BZ101+BZ112+BZ117</f>
        <v>0</v>
      </c>
      <c r="CA89" s="231"/>
      <c r="CB89" s="231"/>
    </row>
    <row r="90" spans="1:80" x14ac:dyDescent="0.25">
      <c r="A90" s="231"/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-1979.1194117647055</v>
      </c>
      <c r="AJ90" s="156">
        <f>SUM(AJ91:AJ100)</f>
        <v>-1979.1194117647055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537.18569999999988</v>
      </c>
      <c r="AP90" s="146">
        <f t="shared" ref="AP90:AP127" si="73">BW90/IF(AJ90&lt;0,AJ90,1)*-1</f>
        <v>0.27142662378366134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537.18569999999988</v>
      </c>
      <c r="BX90" s="108"/>
      <c r="BY90" s="129">
        <f>SUM(BY91:BY100)</f>
        <v>1438.9452999999994</v>
      </c>
      <c r="BZ90" s="129">
        <f>SUM(BZ91:BZ100)</f>
        <v>0</v>
      </c>
      <c r="CA90" s="231"/>
      <c r="CB90" s="231"/>
    </row>
    <row r="91" spans="1:80" x14ac:dyDescent="0.25">
      <c r="A91" s="231"/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-541.38999999999987</v>
      </c>
      <c r="AJ91" s="156">
        <f>AO91/Nøgletal!P401*-1</f>
        <v>-541.38999999999987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108.27799999999998</v>
      </c>
      <c r="AP91" s="146">
        <f t="shared" si="73"/>
        <v>0.2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231"/>
      <c r="BW91" s="78">
        <f>Nøgletal!P$282*Nøgletal!P286</f>
        <v>108.27799999999998</v>
      </c>
      <c r="BX91" s="119"/>
      <c r="BY91" s="127">
        <f t="shared" ref="BY91:BY98" si="76">(AJ91+BW91)*-1</f>
        <v>433.11199999999991</v>
      </c>
      <c r="BZ91" s="125">
        <v>0</v>
      </c>
      <c r="CA91" s="231"/>
      <c r="CB91" s="151"/>
    </row>
    <row r="92" spans="1:80" x14ac:dyDescent="0.25">
      <c r="A92" s="231"/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-411.27999999999986</v>
      </c>
      <c r="AJ92" s="156">
        <f>AO92/Nøgletal!P402*-1</f>
        <v>-411.27999999999986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102.81999999999996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231"/>
      <c r="BW92" s="78">
        <f>Nøgletal!P$282*Nøgletal!P287</f>
        <v>102.81999999999996</v>
      </c>
      <c r="BX92" s="119"/>
      <c r="BY92" s="127">
        <f t="shared" si="76"/>
        <v>308.45999999999992</v>
      </c>
      <c r="BZ92" s="125">
        <v>0</v>
      </c>
      <c r="CA92" s="231"/>
      <c r="CB92" s="151"/>
    </row>
    <row r="93" spans="1:80" x14ac:dyDescent="0.25">
      <c r="A93" s="231"/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-170.72999999999996</v>
      </c>
      <c r="AJ93" s="156">
        <f>AO93/IF(Nøgletal!P403&gt;0,Nøgletal!P403,1)*-1</f>
        <v>-170.72999999999996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42.68249999999999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231"/>
      <c r="BW93" s="78">
        <f>Nøgletal!P$282*Nøgletal!P288</f>
        <v>42.68249999999999</v>
      </c>
      <c r="BX93" s="119"/>
      <c r="BY93" s="127">
        <f t="shared" si="76"/>
        <v>128.04749999999996</v>
      </c>
      <c r="BZ93" s="125">
        <v>0</v>
      </c>
      <c r="CA93" s="231"/>
      <c r="CB93" s="151"/>
    </row>
    <row r="94" spans="1:80" x14ac:dyDescent="0.25">
      <c r="A94" s="231"/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-49.099999999999994</v>
      </c>
      <c r="AJ94" s="156">
        <f>AO94/Nøgletal!P404*-1</f>
        <v>-49.099999999999994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16.202999999999999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231"/>
      <c r="BW94" s="78">
        <f>Nøgletal!P$282*Nøgletal!P289</f>
        <v>16.202999999999999</v>
      </c>
      <c r="BX94" s="119"/>
      <c r="BY94" s="127">
        <f t="shared" si="76"/>
        <v>32.896999999999991</v>
      </c>
      <c r="BZ94" s="125">
        <v>0</v>
      </c>
      <c r="CA94" s="231"/>
      <c r="CB94" s="151"/>
    </row>
    <row r="95" spans="1:80" x14ac:dyDescent="0.25">
      <c r="A95" s="231"/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-330.7</v>
      </c>
      <c r="AJ95" s="156">
        <f>AO95/Nøgletal!P405*-1</f>
        <v>-330.7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109.131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231"/>
      <c r="BW95" s="78">
        <f>Nøgletal!P$282*Nøgletal!P290</f>
        <v>109.131</v>
      </c>
      <c r="BX95" s="119"/>
      <c r="BY95" s="127">
        <f t="shared" si="76"/>
        <v>221.56899999999999</v>
      </c>
      <c r="BZ95" s="125">
        <v>0</v>
      </c>
      <c r="CA95" s="231"/>
      <c r="CB95" s="151"/>
    </row>
    <row r="96" spans="1:80" x14ac:dyDescent="0.25">
      <c r="A96" s="231"/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-29.169999999999995</v>
      </c>
      <c r="AJ96" s="156">
        <f>AO96/Nøgletal!P407*-1</f>
        <v>-29.169999999999995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9.6260999999999992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231"/>
      <c r="BW96" s="78">
        <f>Nøgletal!P$282*Nøgletal!P291</f>
        <v>9.6260999999999992</v>
      </c>
      <c r="BX96" s="119"/>
      <c r="BY96" s="127">
        <f t="shared" si="76"/>
        <v>19.543899999999994</v>
      </c>
      <c r="BZ96" s="125">
        <v>0</v>
      </c>
      <c r="CA96" s="231"/>
      <c r="CB96" s="151"/>
    </row>
    <row r="97" spans="1:80" x14ac:dyDescent="0.25">
      <c r="A97" s="231"/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-385.77999999999992</v>
      </c>
      <c r="AJ97" s="156">
        <f>AO97/Nøgletal!P408*-1</f>
        <v>-385.77999999999992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127.30739999999999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231"/>
      <c r="BW97" s="78">
        <f>Nøgletal!P$282*Nøgletal!P292</f>
        <v>127.30739999999999</v>
      </c>
      <c r="BX97" s="119"/>
      <c r="BY97" s="127">
        <f t="shared" si="76"/>
        <v>258.47259999999994</v>
      </c>
      <c r="BZ97" s="125">
        <v>0</v>
      </c>
      <c r="CA97" s="231"/>
      <c r="CB97" s="151"/>
    </row>
    <row r="98" spans="1:80" x14ac:dyDescent="0.25">
      <c r="A98" s="231"/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-54.989999999999981</v>
      </c>
      <c r="AJ98" s="156">
        <f>AO98/Nøgletal!P409*-1</f>
        <v>-54.989999999999981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18.146699999999996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231"/>
      <c r="BW98" s="78">
        <f>Nøgletal!P$282*Nøgletal!P293</f>
        <v>18.146699999999996</v>
      </c>
      <c r="BX98" s="119"/>
      <c r="BY98" s="127">
        <f t="shared" si="76"/>
        <v>36.843299999999985</v>
      </c>
      <c r="BZ98" s="125">
        <v>0</v>
      </c>
      <c r="CA98" s="231"/>
      <c r="CB98" s="151"/>
    </row>
    <row r="99" spans="1:80" x14ac:dyDescent="0.25">
      <c r="A99" s="231"/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-1.5294117647058822</v>
      </c>
      <c r="AJ99" s="156">
        <f>AO99/Nøgletal!P410*-1</f>
        <v>-1.5294117647058822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1.2999999999999998</v>
      </c>
      <c r="AP99" s="146">
        <f t="shared" si="73"/>
        <v>0.85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231"/>
      <c r="BW99" s="78">
        <f>Nøgletal!P$282*Nøgletal!P284</f>
        <v>1.2999999999999998</v>
      </c>
      <c r="BX99" s="119"/>
      <c r="BY99" s="147">
        <v>0</v>
      </c>
      <c r="BZ99" s="125">
        <v>0</v>
      </c>
      <c r="CA99" s="231"/>
      <c r="CB99" s="151"/>
    </row>
    <row r="100" spans="1:80" x14ac:dyDescent="0.25">
      <c r="A100" s="231"/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-4.4499999999999993</v>
      </c>
      <c r="AJ100" s="156">
        <f>AO100/Nøgletal!P411*-1</f>
        <v>-4.4499999999999993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1.6909999999999998</v>
      </c>
      <c r="AP100" s="146">
        <f t="shared" si="73"/>
        <v>0.38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231"/>
      <c r="BW100" s="78">
        <f>Nøgletal!P$282*Nøgletal!P285</f>
        <v>1.6909999999999998</v>
      </c>
      <c r="BX100" s="119"/>
      <c r="BY100" s="147">
        <v>0</v>
      </c>
      <c r="BZ100" s="125">
        <v>0</v>
      </c>
      <c r="CA100" s="231"/>
      <c r="CB100" s="151"/>
    </row>
    <row r="101" spans="1:80" x14ac:dyDescent="0.25">
      <c r="A101" s="231"/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-1558.3845176470591</v>
      </c>
      <c r="AJ101" s="156">
        <f>SUM(AJ102:AJ111)</f>
        <v>-1558.3845176470591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1390.7267000000002</v>
      </c>
      <c r="AP101" s="146">
        <f t="shared" si="73"/>
        <v>0.8924156292952663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1390.7267000000002</v>
      </c>
      <c r="BX101" s="108"/>
      <c r="BY101" s="129">
        <f>SUM(BY102:BY111)</f>
        <v>192.45781764705885</v>
      </c>
      <c r="BZ101" s="129">
        <f>SUM(BZ102:BZ111)</f>
        <v>0</v>
      </c>
      <c r="CA101" s="231"/>
      <c r="CB101" s="19"/>
    </row>
    <row r="102" spans="1:80" x14ac:dyDescent="0.25">
      <c r="A102" s="231"/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-49.6</v>
      </c>
      <c r="AJ102" s="156">
        <f>AO102/Nøgletal!P386*-1</f>
        <v>-49.6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74.400000000000006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Nøgletal!P172</f>
        <v>74.400000000000006</v>
      </c>
      <c r="BX102" s="119"/>
      <c r="BY102" s="127">
        <v>0</v>
      </c>
      <c r="BZ102" s="125">
        <v>0</v>
      </c>
      <c r="CA102" s="231"/>
      <c r="CB102" s="19"/>
    </row>
    <row r="103" spans="1:80" x14ac:dyDescent="0.25">
      <c r="A103" s="231"/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-533.2941176470589</v>
      </c>
      <c r="AJ103" s="156">
        <f>AO103/Nøgletal!P387*-1</f>
        <v>-533.2941176470589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453.3</v>
      </c>
      <c r="AP103" s="146">
        <f t="shared" si="73"/>
        <v>0.84999999999999987</v>
      </c>
      <c r="AQ103" s="49"/>
      <c r="AR103" s="19"/>
      <c r="AS103" s="19"/>
      <c r="AT103" s="19"/>
      <c r="AU103" s="19"/>
      <c r="AV103" s="19"/>
      <c r="AW103" s="231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Nøgletal!P173</f>
        <v>453.3</v>
      </c>
      <c r="BX103" s="119"/>
      <c r="BY103" s="127">
        <f t="shared" ref="BY103:BY111" si="77">(AJ103+BW103)*-1</f>
        <v>79.994117647058886</v>
      </c>
      <c r="BZ103" s="125">
        <v>0</v>
      </c>
      <c r="CA103" s="231"/>
      <c r="CB103" s="19"/>
    </row>
    <row r="104" spans="1:80" x14ac:dyDescent="0.25">
      <c r="A104" s="231"/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-27.38</v>
      </c>
      <c r="AJ104" s="156">
        <f>AO104/Nøgletal!Q396*-1</f>
        <v>-27.38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24.641999999999999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W104" s="231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Nøgletal!P176</f>
        <v>24.641999999999999</v>
      </c>
      <c r="BX104" s="119"/>
      <c r="BY104" s="127">
        <f t="shared" si="77"/>
        <v>2.7379999999999995</v>
      </c>
      <c r="BZ104" s="125">
        <v>0</v>
      </c>
      <c r="CA104" s="231"/>
      <c r="CB104" s="19"/>
    </row>
    <row r="105" spans="1:80" x14ac:dyDescent="0.25">
      <c r="A105" s="231"/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-753</v>
      </c>
      <c r="AJ105" s="156">
        <f>AO105/IF(Nøgletal!Q397&gt;0,Nøgletal!Q397,1)*-1</f>
        <v>-753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677.7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Nøgletal!P177</f>
        <v>677.7</v>
      </c>
      <c r="BX105" s="119"/>
      <c r="BY105" s="127">
        <f t="shared" si="77"/>
        <v>75.299999999999955</v>
      </c>
      <c r="BZ105" s="125">
        <v>0</v>
      </c>
      <c r="CA105" s="231"/>
      <c r="CB105" s="19"/>
    </row>
    <row r="106" spans="1:80" x14ac:dyDescent="0.25">
      <c r="A106" s="231"/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'2025'!AO106/Nøgletal!Q398*-1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Nøgletal!P178</f>
        <v>0</v>
      </c>
      <c r="BX106" s="119"/>
      <c r="BY106" s="127">
        <f t="shared" si="77"/>
        <v>0</v>
      </c>
      <c r="BZ106" s="125">
        <v>0</v>
      </c>
      <c r="CA106" s="231"/>
      <c r="CB106" s="19"/>
    </row>
    <row r="107" spans="1:80" x14ac:dyDescent="0.25">
      <c r="A107" s="231"/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-4.45</v>
      </c>
      <c r="AJ107" s="156">
        <f>AO107/Nøgletal!Q389*-1</f>
        <v>-4.45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1.6910000000000001</v>
      </c>
      <c r="AP107" s="146">
        <f t="shared" si="73"/>
        <v>0.38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Nøgletal!P34+Nøgletal!P62+Nøgletal!P90+Nøgletal!P118+Nøgletal!P146+Nøgletal!P208+Nøgletal!P237</f>
        <v>1.6910000000000001</v>
      </c>
      <c r="BX107" s="119"/>
      <c r="BY107" s="127">
        <f t="shared" si="77"/>
        <v>2.7590000000000003</v>
      </c>
      <c r="BZ107" s="125">
        <v>0</v>
      </c>
      <c r="CA107" s="231"/>
      <c r="CB107" s="19"/>
    </row>
    <row r="108" spans="1:80" x14ac:dyDescent="0.25">
      <c r="A108" s="231"/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-13.349999999999998</v>
      </c>
      <c r="AJ108" s="156">
        <f>AO108/Nøgletal!Q389*-1</f>
        <v>-13.349999999999998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5.0729999999999995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Nøgletal!P175</f>
        <v>5.0729999999999995</v>
      </c>
      <c r="BX108" s="119"/>
      <c r="BY108" s="127">
        <f t="shared" si="77"/>
        <v>8.2769999999999975</v>
      </c>
      <c r="BZ108" s="125">
        <v>0</v>
      </c>
      <c r="CA108" s="231"/>
      <c r="CB108" s="19"/>
    </row>
    <row r="109" spans="1:80" x14ac:dyDescent="0.25">
      <c r="A109" s="231"/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-142.40040000000002</v>
      </c>
      <c r="AJ109" s="156">
        <f>AO109*-1</f>
        <v>-142.40040000000002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142.40040000000002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Nøgletal!P201</f>
        <v>142.40040000000002</v>
      </c>
      <c r="BX109" s="119"/>
      <c r="BY109" s="127">
        <f t="shared" si="77"/>
        <v>0</v>
      </c>
      <c r="BZ109" s="125">
        <v>0</v>
      </c>
      <c r="CA109" s="231"/>
      <c r="CB109" s="19"/>
    </row>
    <row r="110" spans="1:80" x14ac:dyDescent="0.25">
      <c r="A110" s="231"/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-34.909999999999997</v>
      </c>
      <c r="AJ110" s="156">
        <f>AO110/Nøgletal!P406*-1</f>
        <v>-34.909999999999997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11.520299999999999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231"/>
      <c r="BW110" s="78">
        <f>Nøgletal!P236</f>
        <v>11.520299999999999</v>
      </c>
      <c r="BX110" s="119"/>
      <c r="BY110" s="127">
        <f t="shared" si="77"/>
        <v>23.389699999999998</v>
      </c>
      <c r="BZ110" s="125">
        <v>0</v>
      </c>
      <c r="CA110" s="231"/>
      <c r="CB110" s="151"/>
    </row>
    <row r="111" spans="1:80" x14ac:dyDescent="0.25">
      <c r="A111" s="231"/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Nøgletal!P202</f>
        <v>0</v>
      </c>
      <c r="BX111" s="119"/>
      <c r="BY111" s="127">
        <f t="shared" si="77"/>
        <v>0</v>
      </c>
      <c r="BZ111" s="125">
        <v>0</v>
      </c>
      <c r="CA111" s="231"/>
      <c r="CB111" s="19"/>
    </row>
    <row r="112" spans="1:80" x14ac:dyDescent="0.25">
      <c r="A112" s="231"/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-561.24991087344029</v>
      </c>
      <c r="AJ112" s="157">
        <f>SUM(AJ113:AJ116)</f>
        <v>-561.24991087344029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463.9</v>
      </c>
      <c r="AP112" s="146">
        <f t="shared" si="73"/>
        <v>0.82654801544299517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463.9</v>
      </c>
      <c r="BX112" s="108"/>
      <c r="BY112" s="129">
        <f>SUM(BY113:BY116)</f>
        <v>97.349910873440294</v>
      </c>
      <c r="BZ112" s="129">
        <f>SUM(BZ113:BZ116)</f>
        <v>0</v>
      </c>
      <c r="CA112" s="231"/>
      <c r="CB112" s="231"/>
    </row>
    <row r="113" spans="1:80" x14ac:dyDescent="0.25">
      <c r="A113" s="231"/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-146.80000000000001</v>
      </c>
      <c r="AJ113" s="157">
        <f>AO113/Nøgletal!P385*-1</f>
        <v>-146.80000000000001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73.400000000000006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Nøgletal!P31+Nøgletal!P59+Nøgletal!P87+Nøgletal!P115+Nøgletal!P143+Nøgletal!P171+Nøgletal!P205+Nøgletal!P233</f>
        <v>73.400000000000006</v>
      </c>
      <c r="BX113" s="119"/>
      <c r="BY113" s="127">
        <f>(AJ113+BW113)*-1</f>
        <v>73.400000000000006</v>
      </c>
      <c r="BZ113" s="125">
        <v>0</v>
      </c>
      <c r="CA113" s="231"/>
      <c r="CB113" s="231"/>
    </row>
    <row r="114" spans="1:80" x14ac:dyDescent="0.25">
      <c r="A114" s="231"/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-36.363636363636367</v>
      </c>
      <c r="AJ114" s="157">
        <f>AO114/Nøgletal!P382*-1</f>
        <v>-36.363636363636367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16</v>
      </c>
      <c r="AP114" s="146">
        <f t="shared" si="73"/>
        <v>0.43999999999999995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Nøgletal!P30</f>
        <v>16</v>
      </c>
      <c r="BX114" s="119"/>
      <c r="BY114" s="127">
        <f>(AJ114+BW114)*-1</f>
        <v>20.363636363636367</v>
      </c>
      <c r="BZ114" s="125">
        <v>0</v>
      </c>
      <c r="CA114" s="231"/>
      <c r="CB114" s="231"/>
    </row>
    <row r="115" spans="1:80" x14ac:dyDescent="0.25">
      <c r="A115" s="231"/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-81.733333333333334</v>
      </c>
      <c r="AJ115" s="157">
        <f>AO115/Nøgletal!P386*-1</f>
        <v>-81.733333333333334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122.6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Nøgletal!P32+Nøgletal!P60+Nøgletal!P88+Nøgletal!P116+Nøgletal!P144+Nøgletal!P206+Nøgletal!P234</f>
        <v>122.6</v>
      </c>
      <c r="BX115" s="119"/>
      <c r="BY115" s="127">
        <f>(AJ115+BW115)*-1</f>
        <v>-40.86666666666666</v>
      </c>
      <c r="BZ115" s="125">
        <v>0</v>
      </c>
      <c r="CA115" s="231"/>
      <c r="CB115" s="231"/>
    </row>
    <row r="116" spans="1:80" x14ac:dyDescent="0.25">
      <c r="A116" s="231"/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-296.35294117647055</v>
      </c>
      <c r="AJ116" s="157">
        <f>AO116/Nøgletal!P387*-1</f>
        <v>-296.35294117647055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251.89999999999998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Nøgletal!P33+Nøgletal!P61+Nøgletal!P89+Nøgletal!P117+Nøgletal!P145+Nøgletal!P207+Nøgletal!P235</f>
        <v>251.89999999999998</v>
      </c>
      <c r="BX116" s="119"/>
      <c r="BY116" s="127">
        <f>(AJ116+BW116)*-1</f>
        <v>44.452941176470574</v>
      </c>
      <c r="BZ116" s="125">
        <v>0</v>
      </c>
      <c r="CA116" s="231"/>
      <c r="CB116" s="231"/>
    </row>
    <row r="117" spans="1:80" x14ac:dyDescent="0.25">
      <c r="A117" s="231"/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-1906.7183932577775</v>
      </c>
      <c r="AJ117" s="157">
        <f>SUM(AJ118:AJ127)</f>
        <v>-1906.7183932577775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1821.7806154799998</v>
      </c>
      <c r="AP117" s="146">
        <f t="shared" si="73"/>
        <v>0.95545342297104774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1821.7806154799998</v>
      </c>
      <c r="BX117" s="108"/>
      <c r="BY117" s="129">
        <f>SUM(BY118:BY127)</f>
        <v>84.937777777777768</v>
      </c>
      <c r="BZ117" s="129">
        <f>SUM(BZ118:BZ127)</f>
        <v>0</v>
      </c>
      <c r="CA117" s="231"/>
      <c r="CB117" s="231"/>
    </row>
    <row r="118" spans="1:80" x14ac:dyDescent="0.25">
      <c r="A118" s="231"/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-4.7777777777777777</v>
      </c>
      <c r="AJ118" s="157">
        <f>AO118/Nøgletal!P383*-1</f>
        <v>-4.7777777777777777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4.3</v>
      </c>
      <c r="AP118" s="146">
        <f t="shared" si="73"/>
        <v>0.9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P49*Nøgletal!P38*Nøgletal!P37+Nøgletal!P65*Nøgletal!P66*Nøgletal!P77+Nøgletal!P93*Nøgletal!P94*Nøgletal!P105+Nøgletal!P121*Nøgletal!P122*Nøgletal!P133+Nøgletal!P149*Nøgletal!P150*Nøgletal!P161+Nøgletal!P181*Nøgletal!P182*Nøgletal!P193+Nøgletal!P211*Nøgletal!P212*Nøgletal!P223+Nøgletal!P240*Nøgletal!P241*Nøgletal!P252</f>
        <v>4.3</v>
      </c>
      <c r="BX118" s="119"/>
      <c r="BY118" s="127">
        <f t="shared" ref="BY118:BY127" si="78">(AJ118+BW118)*-1</f>
        <v>0.47777777777777786</v>
      </c>
      <c r="BZ118" s="125">
        <v>0</v>
      </c>
      <c r="CA118" s="231"/>
      <c r="CB118" s="231"/>
    </row>
    <row r="119" spans="1:80" x14ac:dyDescent="0.25">
      <c r="A119" s="231"/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-20.2</v>
      </c>
      <c r="AJ119" s="157">
        <f>AO119*Nøgletal!P384*-1</f>
        <v>-20.2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20.2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P37*Nøgletal!P38*Nøgletal!P48+Nøgletal!P65*Nøgletal!P66*Nøgletal!P76+Nøgletal!P93*Nøgletal!P94*Nøgletal!P104+Nøgletal!P121*Nøgletal!P122*Nøgletal!P132+Nøgletal!P149*Nøgletal!P150*Nøgletal!P160+Nøgletal!P181*Nøgletal!P182*Nøgletal!P192+Nøgletal!P211*Nøgletal!P212*Nøgletal!P222+Nøgletal!P240*Nøgletal!P241*Nøgletal!P251</f>
        <v>20.2</v>
      </c>
      <c r="BX119" s="119"/>
      <c r="BY119" s="127">
        <f t="shared" si="78"/>
        <v>0</v>
      </c>
      <c r="BZ119" s="125">
        <v>0</v>
      </c>
      <c r="CA119" s="231"/>
      <c r="CB119" s="231"/>
    </row>
    <row r="120" spans="1:80" x14ac:dyDescent="0.25">
      <c r="A120" s="231"/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0</v>
      </c>
      <c r="AJ120" s="157">
        <f>AO120*-1</f>
        <v>0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0</v>
      </c>
      <c r="AP120" s="146">
        <f t="shared" si="73"/>
        <v>0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P37*Nøgletal!P38*Nøgletal!P41+Nøgletal!P65*Nøgletal!P66*Nøgletal!P69+Nøgletal!P93*Nøgletal!P94*Nøgletal!P97+Nøgletal!P121*Nøgletal!P122*Nøgletal!P125+Nøgletal!P149*Nøgletal!P150*Nøgletal!P153+Nøgletal!P181*Nøgletal!P182*Nøgletal!P185+Nøgletal!P211*Nøgletal!P212*Nøgletal!P215+Nøgletal!P240*Nøgletal!P241*Nøgletal!P244</f>
        <v>0</v>
      </c>
      <c r="BX120" s="119"/>
      <c r="BY120" s="127">
        <f t="shared" si="78"/>
        <v>0</v>
      </c>
      <c r="BZ120" s="125">
        <v>0</v>
      </c>
      <c r="CA120" s="231"/>
      <c r="CB120" s="231"/>
    </row>
    <row r="121" spans="1:80" x14ac:dyDescent="0.25">
      <c r="A121" s="231"/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-50.000000000000007</v>
      </c>
      <c r="AJ121" s="157">
        <f>AO121/Nøgletal!Q390*-1</f>
        <v>-50.000000000000007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40.000000000000007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P$37*Nøgletal!P$38*Nøgletal!P42+Nøgletal!P$65*Nøgletal!P$66*Nøgletal!P70+Nøgletal!P$93*Nøgletal!P$94*Nøgletal!P98+Nøgletal!P$121*Nøgletal!P$122*Nøgletal!P126+Nøgletal!P$149*Nøgletal!P$150*Nøgletal!P154+Nøgletal!P$181*Nøgletal!P$182*Nøgletal!P186+Nøgletal!P$211*Nøgletal!P$212*Nøgletal!P216+Nøgletal!P$240*Nøgletal!P$241*Nøgletal!P245</f>
        <v>40.000000000000007</v>
      </c>
      <c r="BX121" s="119"/>
      <c r="BY121" s="127">
        <f t="shared" si="78"/>
        <v>10</v>
      </c>
      <c r="BZ121" s="125">
        <v>0</v>
      </c>
      <c r="CA121" s="231"/>
      <c r="CB121" s="231"/>
    </row>
    <row r="122" spans="1:80" x14ac:dyDescent="0.25">
      <c r="A122" s="231"/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-0.4</v>
      </c>
      <c r="AJ122" s="157">
        <f>AO122/Nøgletal!Q391*-1</f>
        <v>-0.4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0.34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P$37*Nøgletal!P$38*Nøgletal!P43+Nøgletal!P$65*Nøgletal!P$66*Nøgletal!P71+Nøgletal!P$93*Nøgletal!P$94*Nøgletal!P99+Nøgletal!P$121*Nøgletal!P$122*Nøgletal!P127+Nøgletal!P$149*Nøgletal!P$150*Nøgletal!P155+Nøgletal!P$181*Nøgletal!P$182*Nøgletal!P187+Nøgletal!P$211*Nøgletal!P$212*Nøgletal!P217+Nøgletal!P$240*Nøgletal!P$241*Nøgletal!P246</f>
        <v>0.34</v>
      </c>
      <c r="BX122" s="119"/>
      <c r="BY122" s="127">
        <f t="shared" si="78"/>
        <v>0.06</v>
      </c>
      <c r="BZ122" s="125">
        <v>0</v>
      </c>
      <c r="CA122" s="231"/>
      <c r="CB122" s="231"/>
    </row>
    <row r="123" spans="1:80" x14ac:dyDescent="0.25">
      <c r="A123" s="231"/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-82.000000000000014</v>
      </c>
      <c r="AJ123" s="157">
        <f>AO123/Nøgletal!Q392*-1</f>
        <v>-82.000000000000014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61.500000000000007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P$37*Nøgletal!P$38*Nøgletal!P44+Nøgletal!P$65*Nøgletal!P$66*Nøgletal!P72+Nøgletal!P$93*Nøgletal!P$94*Nøgletal!P100+Nøgletal!P$121*Nøgletal!P$122*Nøgletal!P128+Nøgletal!P$149*Nøgletal!P$150*Nøgletal!P156+Nøgletal!P$181*Nøgletal!P$182*Nøgletal!P188+Nøgletal!P$211*Nøgletal!P$212*Nøgletal!P218+Nøgletal!P$240*Nøgletal!P$241*Nøgletal!P247</f>
        <v>61.500000000000007</v>
      </c>
      <c r="BX123" s="119"/>
      <c r="BY123" s="127">
        <f t="shared" si="78"/>
        <v>20.500000000000007</v>
      </c>
      <c r="BZ123" s="125">
        <v>0</v>
      </c>
      <c r="CA123" s="231"/>
      <c r="CB123" s="231"/>
    </row>
    <row r="124" spans="1:80" x14ac:dyDescent="0.25">
      <c r="A124" s="231"/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-134</v>
      </c>
      <c r="AJ124" s="157">
        <f>AO124/Nøgletal!Q393*-1</f>
        <v>-134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87.100000000000009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P$37*Nøgletal!P$38*Nøgletal!P45+Nøgletal!P$65*Nøgletal!P$66*Nøgletal!P73+Nøgletal!P$93*Nøgletal!P$94*Nøgletal!P101+Nøgletal!P$121*Nøgletal!P$122*Nøgletal!P129+Nøgletal!P$149*Nøgletal!P$150*Nøgletal!P157+Nøgletal!P$181*Nøgletal!P$182*Nøgletal!P189+Nøgletal!P$211*Nøgletal!P$212*Nøgletal!P219+Nøgletal!P$240*Nøgletal!P$241*Nøgletal!P248</f>
        <v>87.100000000000009</v>
      </c>
      <c r="BX124" s="119"/>
      <c r="BY124" s="127">
        <f t="shared" si="78"/>
        <v>46.899999999999991</v>
      </c>
      <c r="BZ124" s="125">
        <v>0</v>
      </c>
      <c r="CA124" s="231"/>
      <c r="CB124" s="231"/>
    </row>
    <row r="125" spans="1:80" x14ac:dyDescent="0.25">
      <c r="A125" s="231"/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-20.000000000000004</v>
      </c>
      <c r="AJ125" s="157">
        <f>AO125/Nøgletal!Q394*-1</f>
        <v>-20.000000000000004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13.000000000000002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P$37*Nøgletal!P$38*Nøgletal!P46+Nøgletal!P$65*Nøgletal!P$66*Nøgletal!P74+Nøgletal!P$93*Nøgletal!P$94*Nøgletal!P102+Nøgletal!P$121*Nøgletal!P$122*Nøgletal!P130+Nøgletal!P$149*Nøgletal!P$150*Nøgletal!P158+Nøgletal!P$181*Nøgletal!P$182*Nøgletal!P190+Nøgletal!P$211*Nøgletal!P$212*Nøgletal!P220+Nøgletal!P$240*Nøgletal!P$241*Nøgletal!P249</f>
        <v>13.000000000000002</v>
      </c>
      <c r="BX125" s="119"/>
      <c r="BY125" s="127">
        <f t="shared" si="78"/>
        <v>7.0000000000000018</v>
      </c>
      <c r="BZ125" s="125">
        <v>0</v>
      </c>
      <c r="CA125" s="231"/>
      <c r="CB125" s="231"/>
    </row>
    <row r="126" spans="1:80" x14ac:dyDescent="0.25">
      <c r="A126" s="23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-1592.2506154799999</v>
      </c>
      <c r="AJ126" s="157">
        <f>AO126*-1</f>
        <v>-1592.2506154799999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1592.2506154799999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Nøgletal!P37*Nøgletal!P39+Nøgletal!P65*Nøgletal!P67+Nøgletal!P93*Nøgletal!P95+Nøgletal!P121*Nøgletal!P123+Nøgletal!P149*Nøgletal!P151+Nøgletal!P181*Nøgletal!P183+Nøgletal!P211*Nøgletal!P213+Nøgletal!P240*Nøgletal!P242</f>
        <v>1592.2506154799999</v>
      </c>
      <c r="BX126" s="119"/>
      <c r="BY126" s="127">
        <f t="shared" si="78"/>
        <v>0</v>
      </c>
      <c r="BZ126" s="125">
        <v>0</v>
      </c>
      <c r="CA126" s="231"/>
      <c r="CB126" s="231"/>
    </row>
    <row r="127" spans="1:80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-3.09</v>
      </c>
      <c r="AJ127" s="157">
        <f>AO127/Nøgletal!Q395*-1</f>
        <v>-3.09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3.09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P$37*Nøgletal!P$38*Nøgletal!P47+Nøgletal!P$65*Nøgletal!P$66*Nøgletal!P75+Nøgletal!P$93*Nøgletal!P$94*Nøgletal!P103+Nøgletal!P$121*Nøgletal!P$122*Nøgletal!P131+Nøgletal!P$149*Nøgletal!P$150*Nøgletal!P159+Nøgletal!P$181*Nøgletal!P$182*Nøgletal!P191+Nøgletal!P$211*Nøgletal!P$212*Nøgletal!P221+Nøgletal!P$240*Nøgletal!P$241*Nøgletal!P250</f>
        <v>3.09</v>
      </c>
      <c r="BX127" s="119"/>
      <c r="BY127" s="127">
        <f t="shared" si="78"/>
        <v>0</v>
      </c>
      <c r="BZ127" s="125">
        <v>0</v>
      </c>
      <c r="CA127" s="231"/>
      <c r="CB127" s="231"/>
    </row>
    <row r="128" spans="1:80" x14ac:dyDescent="0.25">
      <c r="A128" s="231"/>
      <c r="B128" s="231"/>
      <c r="C128" s="40">
        <f>C9+C68+' Plan Energi 2017'!C81</f>
        <v>0</v>
      </c>
      <c r="D128" s="231"/>
      <c r="E128" s="40">
        <f>E9+E68+' Plan Energi 2017'!I81</f>
        <v>0</v>
      </c>
      <c r="F128" s="40">
        <f>F9+F68+' Plan Energi 2017'!W81</f>
        <v>0</v>
      </c>
      <c r="G128" s="231"/>
      <c r="H128" s="40">
        <f>H9+H68+' Plan Energi 2017'!B81</f>
        <v>0</v>
      </c>
      <c r="I128" s="40">
        <f>I9+I68+' Plan Energi 2017'!D81</f>
        <v>0</v>
      </c>
      <c r="J128" s="40">
        <f>J9+J68+' Plan Energi 2017'!E81</f>
        <v>0</v>
      </c>
      <c r="K128" s="40">
        <f>K9+K68+' Plan Energi 2017'!F81</f>
        <v>0</v>
      </c>
      <c r="L128" s="40">
        <f>L9+L68+' Plan Energi 2017'!G81</f>
        <v>0</v>
      </c>
      <c r="M128" s="40">
        <f>M9+M68+' Plan Energi 2017'!H81</f>
        <v>0</v>
      </c>
      <c r="N128" s="231"/>
      <c r="O128" s="40">
        <f>O9+O68+' Plan Energi 2017'!J81</f>
        <v>0</v>
      </c>
      <c r="P128" s="40">
        <f>P9+P68+' Plan Energi 2017'!K81</f>
        <v>0</v>
      </c>
      <c r="Q128" s="40">
        <f>Q9+Q68+' Plan Energi 2017'!L81</f>
        <v>0</v>
      </c>
      <c r="R128" s="40">
        <f>R9+R68+' Plan Energi 2017'!M81</f>
        <v>0</v>
      </c>
      <c r="S128" s="40">
        <f>S9+S68+' Plan Energi 2017'!N81</f>
        <v>-0.4</v>
      </c>
      <c r="T128" s="231"/>
      <c r="U128" s="40">
        <f>U9+U68+' Plan Energi 2017'!O81</f>
        <v>0</v>
      </c>
      <c r="V128" s="40">
        <f>V9+V68+' Plan Energi 2017'!P81</f>
        <v>0</v>
      </c>
      <c r="W128" s="40">
        <f>W9+W68+' Plan Energi 2017'!Q81</f>
        <v>0</v>
      </c>
      <c r="X128" s="40">
        <f>X9+X68+' Plan Energi 2017'!R81</f>
        <v>0</v>
      </c>
      <c r="Y128" s="40">
        <f>Y9+Y68+' Plan Energi 2017'!S81</f>
        <v>0</v>
      </c>
      <c r="Z128" s="40">
        <f>Z9+Z68+' Plan Energi 2017'!T81</f>
        <v>0</v>
      </c>
      <c r="AA128" s="40">
        <f>AA9+AA68+' Plan Energi 2017'!U81</f>
        <v>0</v>
      </c>
      <c r="AB128" s="40">
        <f>AB9+AB68+' Plan Energi 2017'!V81</f>
        <v>0</v>
      </c>
      <c r="AC128" s="143">
        <f>BR10-' Plan Energi 2017'!A15</f>
        <v>-0.43554006968611247</v>
      </c>
      <c r="AD128" s="40">
        <f>AD68+SUM(' Plan Energi 2017'!AI39:AP68)+SUM(' Plan Energi 2017'!AI70:AP71)</f>
        <v>0</v>
      </c>
      <c r="AE128" s="231"/>
      <c r="AF128" s="231"/>
      <c r="AG128" s="231"/>
      <c r="AH128" s="231"/>
      <c r="AI128" s="231"/>
      <c r="AJ128" s="231"/>
      <c r="AK128" s="122"/>
      <c r="AL128" s="231"/>
      <c r="AM128" s="231"/>
      <c r="AN128" s="231"/>
      <c r="AO128" s="231"/>
      <c r="AP128" s="102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2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</row>
    <row r="129" spans="1:80" x14ac:dyDescent="0.25">
      <c r="A129" s="231"/>
      <c r="B129" s="231"/>
      <c r="C129" s="40"/>
      <c r="D129" s="40"/>
      <c r="E129" s="40"/>
      <c r="F129" s="40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 t="s">
        <v>667</v>
      </c>
      <c r="AC129" s="143">
        <f>AC69-' Plan Energi 2017'!A15</f>
        <v>-615.98219800377046</v>
      </c>
      <c r="AD129" s="143">
        <f>BS10+BS11+BS18+BS57+BS65-(SUM(' Plan Energi 2017'!AF32:AF38,' Plan Energi 2017'!AF40:AF42,' Plan Energi 2017'!AF44:AF51,' Plan Energi 2017'!AF53:AF54,' Plan Energi 2017'!AF56:AF61,' Plan Energi 2017'!AF63:AF68))</f>
        <v>0</v>
      </c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2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31"/>
      <c r="BW129" s="231"/>
      <c r="BX129" s="231"/>
      <c r="BY129" s="231"/>
      <c r="BZ129" s="231"/>
      <c r="CA129" s="231"/>
      <c r="CB129" s="231"/>
    </row>
    <row r="130" spans="1:80" x14ac:dyDescent="0.25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2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B130"/>
  <sheetViews>
    <sheetView topLeftCell="X1" workbookViewId="0">
      <selection activeCell="AK17" sqref="AK17"/>
    </sheetView>
  </sheetViews>
  <sheetFormatPr defaultRowHeight="15" x14ac:dyDescent="0.25"/>
  <cols>
    <col min="37" max="37" width="48.28515625" customWidth="1"/>
  </cols>
  <sheetData>
    <row r="1" spans="1:80" ht="157.5" x14ac:dyDescent="0.25">
      <c r="A1" s="231"/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  <c r="CA1" s="231"/>
      <c r="CB1" s="231"/>
    </row>
    <row r="2" spans="1:80" ht="36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  <c r="CA2" s="231"/>
      <c r="CB2" s="231"/>
    </row>
    <row r="3" spans="1:80" ht="37.5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  <c r="CA3" s="231"/>
      <c r="CB3" s="231"/>
    </row>
    <row r="4" spans="1:80" ht="18.75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  <c r="CA4" s="231"/>
      <c r="CB4" s="231"/>
    </row>
    <row r="5" spans="1:80" x14ac:dyDescent="0.25">
      <c r="A5" s="231"/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4649.5958026000008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2895.1000000000013</v>
      </c>
      <c r="AU5" s="11">
        <f>(F7+F5)*-1</f>
        <v>230.22544545000008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828.37433235000003</v>
      </c>
      <c r="BJ5" s="11">
        <f t="shared" ref="BJ5:BQ5" si="4">(U7+U5)*-1</f>
        <v>0</v>
      </c>
      <c r="BK5" s="11">
        <f t="shared" si="4"/>
        <v>80.945049999999995</v>
      </c>
      <c r="BL5" s="11">
        <f t="shared" si="4"/>
        <v>22</v>
      </c>
      <c r="BM5" s="11">
        <f t="shared" si="4"/>
        <v>154.30930799999999</v>
      </c>
      <c r="BN5" s="11">
        <f t="shared" si="4"/>
        <v>275.20000000000005</v>
      </c>
      <c r="BO5" s="11">
        <f t="shared" si="4"/>
        <v>0</v>
      </c>
      <c r="BP5" s="11">
        <f t="shared" si="4"/>
        <v>281.38665555000017</v>
      </c>
      <c r="BQ5" s="11">
        <f t="shared" si="4"/>
        <v>14.533318800000007</v>
      </c>
      <c r="BR5" s="11"/>
      <c r="BS5" s="11"/>
      <c r="BT5" s="11"/>
      <c r="BU5" s="11">
        <f>-1*SUM(AF5,AF7,AF9,AF66,AF68)</f>
        <v>389.51913000000008</v>
      </c>
      <c r="BV5" s="11">
        <f>-1*SUM(AG5,AG7,AG9,AG66,AG68)</f>
        <v>0</v>
      </c>
      <c r="BW5" s="11">
        <f>-1*SUM(AH5,AH7,AH9,AH66,AH68)</f>
        <v>306.3768948</v>
      </c>
      <c r="BX5" s="11"/>
      <c r="BY5" s="123">
        <v>0</v>
      </c>
      <c r="BZ5" s="123">
        <f>(C5*Emissionsfaktorer!$G$4+E5*Emissionsfaktorer!$G$3+F5*Emissionsfaktorer!$G$5+H5*Emissionsfaktorer!$G$7+I5*Emissionsfaktorer!$G$8+J5*Emissionsfaktorer!$G$9+K5*Emissionsfaktorer!$G$10+L5*Emissionsfaktorer!$G$11+M5*Emissionsfaktorer!$G$12)*-1</f>
        <v>0</v>
      </c>
      <c r="CA5" s="231"/>
      <c r="CB5" s="231"/>
    </row>
    <row r="6" spans="1:80" x14ac:dyDescent="0.25">
      <c r="A6" s="231"/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Nøgletal!$N$283/IF(Nøgletal!$O$399=0,1,Nøgletal!$O$399)*Nøgletal!$N419*-1</f>
        <v>0</v>
      </c>
      <c r="V6" s="84"/>
      <c r="W6" s="84"/>
      <c r="X6" s="84"/>
      <c r="Y6" s="84"/>
      <c r="Z6" s="84">
        <f>Nøgletal!$N$283/IF(Nøgletal!$O$399=0,1,Nøgletal!$O$399)*Nøgletal!$N420*-1</f>
        <v>0</v>
      </c>
      <c r="AA6" s="84">
        <f>Nøgletal!$N$283/IF(Nøgletal!$O$399=0,1,Nøgletal!$O$399)*Nøgletal!$N421*-1</f>
        <v>0</v>
      </c>
      <c r="AB6" s="84">
        <f>Nøgletal!$N$283/IF(Nøgletal!$O$399=0,1,Nøgletal!$O$399)*Nøgletal!$N422*-1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Nøgletal!N283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(C6*Emissionsfaktorer!$G$4+E6*Emissionsfaktorer!$G$3+F6*Emissionsfaktorer!$G$5+H6*Emissionsfaktorer!$G$7+I6*Emissionsfaktorer!$G$8+J6*Emissionsfaktorer!$G$9+K6*Emissionsfaktorer!$G$10+L6*Emissionsfaktorer!$G$11+M6*Emissionsfaktorer!$G$12)*-1</f>
        <v>0</v>
      </c>
      <c r="CA6" s="231"/>
      <c r="CB6" s="231"/>
    </row>
    <row r="7" spans="1:80" x14ac:dyDescent="0.25">
      <c r="A7" s="231"/>
      <c r="B7" s="31"/>
      <c r="C7" s="11">
        <f>AR7*-1</f>
        <v>0</v>
      </c>
      <c r="D7" s="11">
        <f>AS7*-1</f>
        <v>0</v>
      </c>
      <c r="E7" s="11">
        <f>AT7*-1</f>
        <v>-2895.1000000000013</v>
      </c>
      <c r="F7" s="11">
        <f>AU7*-1</f>
        <v>-230.22544545000008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-828.37433235000003</v>
      </c>
      <c r="U7" s="11">
        <f>BJ7*-1</f>
        <v>0</v>
      </c>
      <c r="V7" s="11">
        <f t="shared" ref="V7:AB7" si="5">BK7*-1</f>
        <v>-80.945049999999995</v>
      </c>
      <c r="W7" s="11">
        <f t="shared" si="5"/>
        <v>-22</v>
      </c>
      <c r="X7" s="11">
        <f t="shared" si="5"/>
        <v>-154.30930799999999</v>
      </c>
      <c r="Y7" s="11">
        <f t="shared" si="5"/>
        <v>-275.20000000000005</v>
      </c>
      <c r="Z7" s="11">
        <f t="shared" si="5"/>
        <v>0</v>
      </c>
      <c r="AA7" s="11">
        <f t="shared" si="5"/>
        <v>-281.38665555000017</v>
      </c>
      <c r="AB7" s="11">
        <f t="shared" si="5"/>
        <v>-14.533318800000007</v>
      </c>
      <c r="AC7" s="11"/>
      <c r="AD7" s="11"/>
      <c r="AE7" s="11"/>
      <c r="AF7" s="11"/>
      <c r="AG7" s="11"/>
      <c r="AH7" s="11"/>
      <c r="AI7" s="11"/>
      <c r="AJ7" s="105">
        <f t="shared" si="0"/>
        <v>-3953.6997778000014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3953.6997778000014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2895.1000000000013</v>
      </c>
      <c r="AU7" s="11">
        <f>(F9+F68)*-1</f>
        <v>230.22544545000008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828.37433235000003</v>
      </c>
      <c r="BJ7" s="11">
        <f t="shared" ref="BJ7:BQ7" si="9">(U9+U68)*-1</f>
        <v>0</v>
      </c>
      <c r="BK7" s="11">
        <f t="shared" si="9"/>
        <v>80.945049999999995</v>
      </c>
      <c r="BL7" s="11">
        <f t="shared" si="9"/>
        <v>22</v>
      </c>
      <c r="BM7" s="11">
        <f t="shared" si="9"/>
        <v>154.30930799999999</v>
      </c>
      <c r="BN7" s="11">
        <f t="shared" si="9"/>
        <v>275.20000000000005</v>
      </c>
      <c r="BO7" s="11">
        <f t="shared" si="9"/>
        <v>0</v>
      </c>
      <c r="BP7" s="11">
        <f t="shared" si="9"/>
        <v>281.38665555000017</v>
      </c>
      <c r="BQ7" s="11">
        <f t="shared" si="9"/>
        <v>14.533318800000007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  <c r="CA7" s="231"/>
      <c r="CB7" s="231"/>
    </row>
    <row r="8" spans="1:80" x14ac:dyDescent="0.25">
      <c r="A8" s="231"/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94.9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94.9</v>
      </c>
      <c r="BD8" s="11">
        <f>-1*SUM(O5,O7,O9)</f>
        <v>70</v>
      </c>
      <c r="BE8" s="11">
        <f>-1*SUM(P5,P7,P9)</f>
        <v>0</v>
      </c>
      <c r="BF8" s="11">
        <f>-1*SUM(Q5,Q7,Q9)</f>
        <v>24.9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(C8*Emissionsfaktorer!$G$4+E8*Emissionsfaktorer!$G$3+F8*Emissionsfaktorer!$G$5+H8*Emissionsfaktorer!$G$7+I8*Emissionsfaktorer!$G$8+J8*Emissionsfaktorer!$G$9+K8*Emissionsfaktorer!$G$10+L8*Emissionsfaktorer!$G$11+M8*Emissionsfaktorer!$G$12)*-1</f>
        <v>0</v>
      </c>
      <c r="CA8" s="2"/>
      <c r="CB8" s="2"/>
    </row>
    <row r="9" spans="1:80" x14ac:dyDescent="0.25">
      <c r="A9" s="231"/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-2502.5000000000014</v>
      </c>
      <c r="F9" s="11">
        <f t="shared" si="10"/>
        <v>-230.22544545000008</v>
      </c>
      <c r="G9" s="11">
        <f t="shared" si="10"/>
        <v>-8.7396309000000034</v>
      </c>
      <c r="H9" s="11">
        <f t="shared" si="10"/>
        <v>0</v>
      </c>
      <c r="I9" s="11">
        <f t="shared" si="10"/>
        <v>0</v>
      </c>
      <c r="J9" s="11">
        <f t="shared" si="10"/>
        <v>-8.7396309000000034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-94.9</v>
      </c>
      <c r="O9" s="11">
        <f t="shared" si="10"/>
        <v>-70</v>
      </c>
      <c r="P9" s="11">
        <f t="shared" si="10"/>
        <v>0</v>
      </c>
      <c r="Q9" s="11">
        <f t="shared" si="10"/>
        <v>-24.9</v>
      </c>
      <c r="R9" s="11">
        <f t="shared" si="10"/>
        <v>0</v>
      </c>
      <c r="S9" s="11">
        <f t="shared" si="10"/>
        <v>0</v>
      </c>
      <c r="T9" s="11">
        <f t="shared" si="10"/>
        <v>-497.42928235000028</v>
      </c>
      <c r="U9" s="11">
        <f t="shared" si="10"/>
        <v>0</v>
      </c>
      <c r="V9" s="11">
        <f t="shared" si="10"/>
        <v>0</v>
      </c>
      <c r="W9" s="11">
        <f t="shared" si="10"/>
        <v>0</v>
      </c>
      <c r="X9" s="11">
        <f>SUM(X10:X11,X18,X57,X65)</f>
        <v>-1.3093080000000006</v>
      </c>
      <c r="Y9" s="11">
        <f t="shared" ref="Y9:AI9" si="11">SUM(Y10:Y11,Y18,Y57,Y65)</f>
        <v>-200.20000000000007</v>
      </c>
      <c r="Z9" s="11">
        <f t="shared" si="11"/>
        <v>0</v>
      </c>
      <c r="AA9" s="11">
        <f t="shared" si="11"/>
        <v>-281.38665555000017</v>
      </c>
      <c r="AB9" s="11">
        <f t="shared" si="11"/>
        <v>-14.533318800000007</v>
      </c>
      <c r="AC9" s="11">
        <f t="shared" si="11"/>
        <v>-153.1884474</v>
      </c>
      <c r="AD9" s="11">
        <f t="shared" si="11"/>
        <v>0</v>
      </c>
      <c r="AE9" s="11">
        <f t="shared" si="11"/>
        <v>0</v>
      </c>
      <c r="AF9" s="11">
        <f t="shared" si="11"/>
        <v>-389.51913000000008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-3876.5019361000022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5403.4022319676733</v>
      </c>
      <c r="AP9" s="37">
        <f t="shared" si="6"/>
        <v>1.3938861171842536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1936.4120444242594</v>
      </c>
      <c r="AW9" s="11">
        <f>H66*-1</f>
        <v>20.9</v>
      </c>
      <c r="AX9" s="11">
        <f t="shared" ref="AX9:BB9" si="13">I66*-1</f>
        <v>0.39999999999999997</v>
      </c>
      <c r="AY9" s="11">
        <f t="shared" si="13"/>
        <v>84</v>
      </c>
      <c r="AZ9" s="11">
        <f t="shared" si="13"/>
        <v>954.87604442425959</v>
      </c>
      <c r="BA9" s="11">
        <f t="shared" si="13"/>
        <v>348.6</v>
      </c>
      <c r="BB9" s="11">
        <f t="shared" si="13"/>
        <v>527.63599999999985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1272.4464872064143</v>
      </c>
      <c r="BS9" s="11">
        <f>SUM(BS10:BS11,BS18,BS57,BS65)+AD9</f>
        <v>2041.3552529370004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153.1884474</v>
      </c>
      <c r="BX9" s="11">
        <f t="shared" si="12"/>
        <v>0</v>
      </c>
      <c r="BY9" s="123">
        <f t="shared" si="12"/>
        <v>919.8459978708006</v>
      </c>
      <c r="BZ9" s="123">
        <f t="shared" si="12"/>
        <v>244.00611511391895</v>
      </c>
      <c r="CA9" s="2"/>
      <c r="CB9" s="2"/>
    </row>
    <row r="10" spans="1:80" x14ac:dyDescent="0.25">
      <c r="A10" s="231"/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2608.6743720384738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1945.1516753242595</v>
      </c>
      <c r="AW10" s="85">
        <f>IF(-(AW$11+AW$18+AW$57+AW65)-(H$70+H$79+H$80+H$84)-H$9&gt;0,-(AW$11+AW$18+AW$57+AW65)-(H$70+H$79+H$80+H$84)-H$9,0)</f>
        <v>20.9</v>
      </c>
      <c r="AX10" s="85">
        <f t="shared" ref="AX10:BB10" si="17">IF(-(AX$11+AX$18+AX$57+AX65)-(I70+I79+I80+I84)-I$9&gt;0,-(AX$11+AX$18+AX$57+AX65)-(I70+I79+I80+I84)-I$9,0)</f>
        <v>0.39999999999999997</v>
      </c>
      <c r="AY10" s="85">
        <f t="shared" si="17"/>
        <v>92.739630900000009</v>
      </c>
      <c r="AZ10" s="85">
        <f t="shared" si="17"/>
        <v>954.87604442425959</v>
      </c>
      <c r="BA10" s="85">
        <f t="shared" si="17"/>
        <v>348.6</v>
      </c>
      <c r="BB10" s="85">
        <f t="shared" si="17"/>
        <v>527.63599999999985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IF(-($BR$11+$BR$18+$BR$57+BR65)-(AC70+AC79+AC80+AC84)/(1-Nøgletal!$N$294)-$AC$9&gt;0,-($BR$11+$BR$18+$BR$57+BR65)-(AC70+AC79+AC80+AC84)/(1-Nøgletal!$N$294)-$AC$9,0)</f>
        <v>663.52269671421413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BR10*Emissionsfaktorer!G6+BT10*Emissionsfaktorer!G14</f>
        <v>80.286246302419912</v>
      </c>
      <c r="CA10" s="2"/>
      <c r="CB10" s="2"/>
    </row>
    <row r="11" spans="1:80" x14ac:dyDescent="0.25">
      <c r="A11" s="231"/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-94.9</v>
      </c>
      <c r="O11" s="20">
        <f t="shared" si="18"/>
        <v>-70</v>
      </c>
      <c r="P11" s="20">
        <f t="shared" si="18"/>
        <v>0</v>
      </c>
      <c r="Q11" s="20">
        <f t="shared" si="18"/>
        <v>-24.9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-94.9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94.9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94.9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</row>
    <row r="12" spans="1:80" x14ac:dyDescent="0.25">
      <c r="A12" s="231"/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-24.9</v>
      </c>
      <c r="O12" s="23"/>
      <c r="P12" s="23"/>
      <c r="Q12" s="23">
        <f>AJ12</f>
        <v>-24.9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-24.9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24.9</v>
      </c>
      <c r="AP12" s="37">
        <f t="shared" si="6"/>
        <v>1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Nøgletal!N279</f>
        <v>24.9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(C12*Emissionsfaktorer!$G$4+E12*Emissionsfaktorer!$G$3+F12*Emissionsfaktorer!$G$5+H12*Emissionsfaktorer!$G$7+I12*Emissionsfaktorer!$G$8+J12*Emissionsfaktorer!$G$9+K12*Emissionsfaktorer!$G$10+L12*Emissionsfaktorer!$G$11+M12*Emissionsfaktorer!$G$12)*-1</f>
        <v>0</v>
      </c>
      <c r="CA12" s="2"/>
      <c r="CB12" s="2"/>
    </row>
    <row r="13" spans="1:80" x14ac:dyDescent="0.25">
      <c r="A13" s="231"/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-70</v>
      </c>
      <c r="O13" s="23">
        <f t="shared" si="21"/>
        <v>-70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-70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70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70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</row>
    <row r="14" spans="1:80" x14ac:dyDescent="0.25">
      <c r="A14" s="231"/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-70</v>
      </c>
      <c r="O14" s="278">
        <f>AJ14</f>
        <v>-70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-70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70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Nøgletal!N277</f>
        <v>70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(C14*Emissionsfaktorer!$G$4+E14*Emissionsfaktorer!$G$3+F14*Emissionsfaktorer!$G$5+H14*Emissionsfaktorer!$G$7+I14*Emissionsfaktorer!$G$8+J14*Emissionsfaktorer!$G$9+K14*Emissionsfaktorer!$G$10+L14*Emissionsfaktorer!$G$11+M14*Emissionsfaktorer!$G$12)*-1</f>
        <v>0</v>
      </c>
      <c r="CA14" s="231"/>
      <c r="CB14" s="2"/>
    </row>
    <row r="15" spans="1:80" x14ac:dyDescent="0.25">
      <c r="A15" s="231"/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Nøgletal!N278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(C15*Emissionsfaktorer!$G$4+E15*Emissionsfaktorer!$G$3+F15*Emissionsfaktorer!$G$5+H15*Emissionsfaktorer!$G$7+I15*Emissionsfaktorer!$G$8+J15*Emissionsfaktorer!$G$9+K15*Emissionsfaktorer!$G$10+L15*Emissionsfaktorer!$G$11+M15*Emissionsfaktorer!$G$12)*-1</f>
        <v>0</v>
      </c>
      <c r="CA15" s="231"/>
      <c r="CB15" s="231"/>
    </row>
    <row r="16" spans="1:80" x14ac:dyDescent="0.25">
      <c r="A16" s="231"/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Nøgletal!N280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(C16*Emissionsfaktorer!$G$4+E16*Emissionsfaktorer!$G$3+F16*Emissionsfaktorer!$G$5+H16*Emissionsfaktorer!$G$7+I16*Emissionsfaktorer!$G$8+J16*Emissionsfaktorer!$G$9+K16*Emissionsfaktorer!$G$10+L16*Emissionsfaktorer!$G$11+M16*Emissionsfaktorer!$G$12)*-1</f>
        <v>0</v>
      </c>
      <c r="CA16" s="231"/>
      <c r="CB16" s="231"/>
    </row>
    <row r="17" spans="1:80" x14ac:dyDescent="0.25">
      <c r="A17" s="231"/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Nøgletal!N276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(C17*Emissionsfaktorer!$G$4+E17*Emissionsfaktorer!$G$3+F17*Emissionsfaktorer!$G$5+H17*Emissionsfaktorer!$G$7+I17*Emissionsfaktorer!$G$8+J17*Emissionsfaktorer!$G$9+K17*Emissionsfaktorer!$G$10+L17*Emissionsfaktorer!$G$11+M17*Emissionsfaktorer!$G$12)*-1</f>
        <v>0</v>
      </c>
      <c r="CA17" s="231"/>
      <c r="CB17" s="231"/>
    </row>
    <row r="18" spans="1:80" x14ac:dyDescent="0.25">
      <c r="A18" s="231"/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0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0</v>
      </c>
      <c r="AC18" s="20">
        <f t="shared" si="23"/>
        <v>-153.1884474</v>
      </c>
      <c r="AD18" s="20">
        <f t="shared" si="23"/>
        <v>0</v>
      </c>
      <c r="AE18" s="20">
        <f t="shared" si="23"/>
        <v>0</v>
      </c>
      <c r="AF18" s="20">
        <f t="shared" si="23"/>
        <v>-389.51913000000008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-542.7075774000001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542.7075774000001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0</v>
      </c>
      <c r="BS18" s="20">
        <f t="shared" si="24"/>
        <v>389.51913000000008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153.1884474</v>
      </c>
      <c r="BX18" s="20">
        <f t="shared" si="24"/>
        <v>0</v>
      </c>
      <c r="BY18" s="263">
        <f t="shared" si="24"/>
        <v>0</v>
      </c>
      <c r="BZ18" s="263">
        <f t="shared" si="24"/>
        <v>0</v>
      </c>
      <c r="CA18" s="231"/>
      <c r="CB18" s="231"/>
    </row>
    <row r="19" spans="1:80" x14ac:dyDescent="0.25">
      <c r="A19" s="231"/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Nøgletal!N268/(1-Nøgletal!N295)</f>
        <v>0</v>
      </c>
      <c r="BT19" s="23">
        <f>Nøgletal!O268/(1-Nøgletal!O295)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  <c r="CA19" s="231"/>
      <c r="CB19" s="231"/>
    </row>
    <row r="20" spans="1:80" x14ac:dyDescent="0.25">
      <c r="A20" s="231"/>
      <c r="B20" s="31"/>
      <c r="C20" s="278">
        <f>AJ20*Nøgletal!N429</f>
        <v>0</v>
      </c>
      <c r="D20" s="278"/>
      <c r="E20" s="278">
        <f>AJ20*Nøgletal!N431</f>
        <v>0</v>
      </c>
      <c r="F20" s="278"/>
      <c r="G20" s="278">
        <f t="shared" ref="G20:G83" si="29">SUM(H20:M20)</f>
        <v>0</v>
      </c>
      <c r="H20" s="278"/>
      <c r="I20" s="278">
        <f>AJ20*Nøgletal!N430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AJ20*Nøgletal!N432</f>
        <v>0</v>
      </c>
      <c r="V20" s="278">
        <f>AJ20*Nøgletal!N433</f>
        <v>0</v>
      </c>
      <c r="W20" s="278">
        <f>AJ20*Nøgletal!N434</f>
        <v>0</v>
      </c>
      <c r="X20" s="278">
        <f>AJ20*Nøgletal!N435</f>
        <v>0</v>
      </c>
      <c r="Y20" s="278">
        <f>AJ20*Nøgletal!N436</f>
        <v>0</v>
      </c>
      <c r="Z20" s="278"/>
      <c r="AA20" s="278"/>
      <c r="AB20" s="278">
        <f>AJ20*Nøgletal!N437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-AO20/IF(Nøgletal!N345+Nøgletal!O345&gt;0,Nøgletal!N345+Nøgletal!O345,1)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BS20/IF(Nøgletal!O345&gt;0,Nøgletal!O345,1)*Nøgletal!N345</f>
        <v>0</v>
      </c>
      <c r="BS20" s="278">
        <f>BS$19*Nøgletal!N303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G$4+E20*Emissionsfaktorer!$G$3+F20*Emissionsfaktorer!$G$5+H20*Emissionsfaktorer!$G$7+I20*Emissionsfaktorer!$G$8+J20*Emissionsfaktorer!$G$9+K20*Emissionsfaktorer!$G$10+L20*Emissionsfaktorer!$G$11+M20*Emissionsfaktorer!$G$12)*-1*(1-Nøgletal!$N$301)+T20*Emissionsfaktorer!$G$13*Nøgletal!$N$301</f>
        <v>0</v>
      </c>
      <c r="CA20" s="231"/>
      <c r="CB20" s="231"/>
    </row>
    <row r="21" spans="1:80" x14ac:dyDescent="0.25">
      <c r="A21" s="231"/>
      <c r="B21" s="31"/>
      <c r="C21" s="278"/>
      <c r="D21" s="278"/>
      <c r="E21" s="278">
        <f>AJ21*Nøgletal!N443</f>
        <v>0</v>
      </c>
      <c r="F21" s="278"/>
      <c r="G21" s="278">
        <f t="shared" si="29"/>
        <v>0</v>
      </c>
      <c r="H21" s="278"/>
      <c r="I21" s="278">
        <f>AJ21*Nøgletal!N439</f>
        <v>0</v>
      </c>
      <c r="J21" s="278">
        <f>AJ21*Nøgletal!N440</f>
        <v>0</v>
      </c>
      <c r="K21" s="278">
        <f>AJ21*Nøgletal!N441</f>
        <v>0</v>
      </c>
      <c r="L21" s="278"/>
      <c r="M21" s="278">
        <f>AJ21*Nøgletal!N442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AJ21*Nøgletal!N444</f>
        <v>0</v>
      </c>
      <c r="V21" s="278">
        <f>AJ21*Nøgletal!N445</f>
        <v>0</v>
      </c>
      <c r="W21" s="278">
        <f>AJ21*Nøgletal!N446</f>
        <v>0</v>
      </c>
      <c r="X21" s="278">
        <f>AJ21*Nøgletal!N447</f>
        <v>0</v>
      </c>
      <c r="Y21" s="278">
        <f>AJ21*Nøgletal!N448</f>
        <v>0</v>
      </c>
      <c r="Z21" s="278"/>
      <c r="AA21" s="278"/>
      <c r="AB21" s="278">
        <f>AJ21*Nøgletal!N449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-AO21/IF(Nøgletal!N346+Nøgletal!O346&gt;0,Nøgletal!N346+Nøgletal!O346,1)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BS21/IF(Nøgletal!O346&gt;0,Nøgletal!O346,1)*Nøgletal!N346</f>
        <v>0</v>
      </c>
      <c r="BS21" s="278">
        <f>BS$19*Nøgletal!N304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G$4+E21*Emissionsfaktorer!$G$3+F21*Emissionsfaktorer!$G$5+H21*Emissionsfaktorer!$G$7+I21*Emissionsfaktorer!$G$8+J21*Emissionsfaktorer!$G$9+K21*Emissionsfaktorer!$G$10+L21*Emissionsfaktorer!$G$11+M21*Emissionsfaktorer!$G$12)*-1*(1-Nøgletal!$N$301)+T21*Emissionsfaktorer!$G$13*Nøgletal!$N$301</f>
        <v>0</v>
      </c>
      <c r="CA21" s="231"/>
      <c r="CB21" s="231"/>
    </row>
    <row r="22" spans="1:80" x14ac:dyDescent="0.25">
      <c r="A22" s="231"/>
      <c r="B22" s="31"/>
      <c r="C22" s="278"/>
      <c r="D22" s="278"/>
      <c r="E22" s="278">
        <f>AJ22*Nøgletal!N451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AJ22*Nøgletal!N452</f>
        <v>0</v>
      </c>
      <c r="V22" s="278"/>
      <c r="W22" s="278"/>
      <c r="X22" s="278"/>
      <c r="Y22" s="278"/>
      <c r="Z22" s="278"/>
      <c r="AA22" s="278"/>
      <c r="AB22" s="278">
        <f>AJ22*Nøgletal!N453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-AO22/IF(Nøgletal!N347+Nøgletal!O347&gt;0,Nøgletal!N347+Nøgletal!O347,1)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BS22/IF(Nøgletal!O347&gt;0,Nøgletal!O347,1)*Nøgletal!N347</f>
        <v>0</v>
      </c>
      <c r="BS22" s="278">
        <f>BS$19*Nøgletal!N305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G$4+E22*Emissionsfaktorer!$G$3+F22*Emissionsfaktorer!$G$5+H22*Emissionsfaktorer!$G$7+I22*Emissionsfaktorer!$G$8+J22*Emissionsfaktorer!$G$9+K22*Emissionsfaktorer!$G$10+L22*Emissionsfaktorer!$G$11+M22*Emissionsfaktorer!$G$12)*-1*(1-Nøgletal!$N$301)+T22*Emissionsfaktorer!$G$13*Nøgletal!$N$301</f>
        <v>0</v>
      </c>
      <c r="CA22" s="231"/>
      <c r="CB22" s="231"/>
    </row>
    <row r="23" spans="1:80" x14ac:dyDescent="0.25">
      <c r="A23" s="231"/>
      <c r="B23" s="31"/>
      <c r="C23" s="278">
        <f>AJ23*Nøgletal!N455</f>
        <v>0</v>
      </c>
      <c r="D23" s="278"/>
      <c r="E23" s="278">
        <f>AJ23*Nøgletal!N457</f>
        <v>0</v>
      </c>
      <c r="F23" s="278"/>
      <c r="G23" s="278">
        <f t="shared" si="29"/>
        <v>0</v>
      </c>
      <c r="H23" s="278"/>
      <c r="I23" s="278">
        <f>AJ23*Nøgletal!N456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AJ23*Nøgletal!N458</f>
        <v>0</v>
      </c>
      <c r="V23" s="278">
        <f>AJ23*Nøgletal!N459</f>
        <v>0</v>
      </c>
      <c r="W23" s="278">
        <f>AJ23*Nøgletal!N460</f>
        <v>0</v>
      </c>
      <c r="X23" s="278">
        <f>AJ23*Nøgletal!N461</f>
        <v>0</v>
      </c>
      <c r="Y23" s="278">
        <f>AJ23*Nøgletal!N462</f>
        <v>0</v>
      </c>
      <c r="Z23" s="278"/>
      <c r="AA23" s="278"/>
      <c r="AB23" s="278">
        <f>AJ23*Nøgletal!N463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-AO23/IF(Nøgletal!N348+Nøgletal!O348&gt;0,Nøgletal!N348+Nøgletal!O348,1)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BS23/IF(Nøgletal!O348&gt;0,Nøgletal!O348,1)*Nøgletal!N348</f>
        <v>0</v>
      </c>
      <c r="BS23" s="278">
        <f>BS$19*Nøgletal!N306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G$4+E23*Emissionsfaktorer!$G$3+F23*Emissionsfaktorer!$G$5+H23*Emissionsfaktorer!$G$7+I23*Emissionsfaktorer!$G$8+J23*Emissionsfaktorer!$G$9+K23*Emissionsfaktorer!$G$10+L23*Emissionsfaktorer!$G$11+M23*Emissionsfaktorer!$G$12)*-1*(1-Nøgletal!$N$301)+T23*Emissionsfaktorer!$G$13*Nøgletal!$N$301</f>
        <v>0</v>
      </c>
      <c r="CA23" s="231"/>
      <c r="CB23" s="231"/>
    </row>
    <row r="24" spans="1:80" x14ac:dyDescent="0.25">
      <c r="A24" s="231"/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-AO24*(1-1/IF(Nøgletal!O349&gt;0,Nøgletal!O349,1))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-AO24/Nøgletal!O465/(1-Nøgletal!N294)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BS$19*Nøgletal!N307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G$4+E24*Emissionsfaktorer!$G$3+F24*Emissionsfaktorer!$G$5+H24*Emissionsfaktorer!$G$7+I24*Emissionsfaktorer!$G$8+J24*Emissionsfaktorer!$G$9+K24*Emissionsfaktorer!$G$10+L24*Emissionsfaktorer!$G$11+M24*Emissionsfaktorer!$G$12)*-1*(1-Nøgletal!$N$301)+T24*Emissionsfaktorer!$G$13*Nøgletal!$N$301</f>
        <v>0</v>
      </c>
      <c r="CA24" s="231"/>
      <c r="CB24" s="231"/>
    </row>
    <row r="25" spans="1:80" x14ac:dyDescent="0.25">
      <c r="A25" s="231"/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-AO25/IF(Nøgletal!N350+Nøgletal!O350&gt;0,Nøgletal!N350+Nøgletal!O350,1)/(1-Nøgletal!N294)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BS$19*Nøgletal!N308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G$4+E25*Emissionsfaktorer!$G$3+F25*Emissionsfaktorer!$G$5+H25*Emissionsfaktorer!$G$7+I25*Emissionsfaktorer!$G$8+J25*Emissionsfaktorer!$G$9+K25*Emissionsfaktorer!$G$10+L25*Emissionsfaktorer!$G$11+M25*Emissionsfaktorer!$G$12)*-1*(1-Nøgletal!$N$301)+T25*Emissionsfaktorer!$G$13*Nøgletal!$N$301</f>
        <v>0</v>
      </c>
      <c r="CA25" s="231"/>
      <c r="CB25" s="231"/>
    </row>
    <row r="26" spans="1:80" x14ac:dyDescent="0.25">
      <c r="A26" s="231"/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-AO26/IF(Nøgletal!N352+Nøgletal!O352&gt;0,Nøgletal!N352+Nøgletal!O352,1)/(1-Nøgletal!N295)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G$4+E26*Emissionsfaktorer!$G$3+F26*Emissionsfaktorer!$G$5+H26*Emissionsfaktorer!$G$7+I26*Emissionsfaktorer!$G$8+J26*Emissionsfaktorer!$G$9+K26*Emissionsfaktorer!$G$10+L26*Emissionsfaktorer!$G$11+M26*Emissionsfaktorer!$G$12)*-1*(1-Nøgletal!$N$301)+T26*Emissionsfaktorer!$G$13*Nøgletal!$N$301</f>
        <v>0</v>
      </c>
      <c r="CA26" s="231"/>
      <c r="CB26" s="231"/>
    </row>
    <row r="27" spans="1:80" x14ac:dyDescent="0.25">
      <c r="A27" s="231"/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Nøgletal!N270/(1-Nøgletal!N297)</f>
        <v>0</v>
      </c>
      <c r="BT27" s="23">
        <f>Nøgletal!O270/(1-Nøgletal!O297)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  <c r="CA27" s="231"/>
      <c r="CB27" s="231"/>
    </row>
    <row r="28" spans="1:80" x14ac:dyDescent="0.25">
      <c r="A28" s="231"/>
      <c r="B28" s="31"/>
      <c r="C28" s="278">
        <f>AJ28*Nøgletal!N479</f>
        <v>0</v>
      </c>
      <c r="D28" s="278"/>
      <c r="E28" s="278">
        <f>AJ28*Nøgletal!N481</f>
        <v>0</v>
      </c>
      <c r="F28" s="278"/>
      <c r="G28" s="278">
        <f t="shared" si="29"/>
        <v>0</v>
      </c>
      <c r="H28" s="278"/>
      <c r="I28" s="278">
        <f>AJ28*Nøgletal!N480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AJ28*Nøgletal!N482</f>
        <v>0</v>
      </c>
      <c r="V28" s="278">
        <f>AJ28*Nøgletal!N483</f>
        <v>0</v>
      </c>
      <c r="W28" s="278">
        <f>AJ28*Nøgletal!N484</f>
        <v>0</v>
      </c>
      <c r="X28" s="278">
        <f>AJ28*Nøgletal!N485</f>
        <v>0</v>
      </c>
      <c r="Y28" s="278">
        <f>AJ28*Nøgletal!N486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-AO28/IF(Nøgletal!N357+Nøgletal!O357&gt;0,Nøgletal!N357+Nøgletal!O357,1)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BS28/IF(Nøgletal!O357&gt;0,Nøgletal!O357,1)*Nøgletal!N357</f>
        <v>0</v>
      </c>
      <c r="BS28" s="286">
        <f>BS$27*Nøgletal!N317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G$4+E28*Emissionsfaktorer!$G$3+F28*Emissionsfaktorer!$G$5+H28*Emissionsfaktorer!$G$7+I28*Emissionsfaktorer!$G$8+J28*Emissionsfaktorer!$G$9+K28*Emissionsfaktorer!$G$10+L28*Emissionsfaktorer!$G$11+M28*Emissionsfaktorer!$G$12)*-1*(1-Nøgletal!$N$315)+T28*Emissionsfaktorer!$G$13*Nøgletal!$N$315</f>
        <v>0</v>
      </c>
      <c r="CA28" s="231"/>
      <c r="CB28" s="231"/>
    </row>
    <row r="29" spans="1:80" x14ac:dyDescent="0.25">
      <c r="A29" s="231"/>
      <c r="B29" s="31"/>
      <c r="C29" s="278"/>
      <c r="D29" s="278"/>
      <c r="E29" s="278">
        <f>AJ29*Nøgletal!N492</f>
        <v>0</v>
      </c>
      <c r="F29" s="278"/>
      <c r="G29" s="278">
        <f t="shared" si="29"/>
        <v>0</v>
      </c>
      <c r="H29" s="278"/>
      <c r="I29" s="278">
        <f>AJ29*Nøgletal!N488</f>
        <v>0</v>
      </c>
      <c r="J29" s="278">
        <f>AJ29*Nøgletal!N489</f>
        <v>0</v>
      </c>
      <c r="K29" s="278">
        <f>AJ29*Nøgletal!N490</f>
        <v>0</v>
      </c>
      <c r="L29" s="278"/>
      <c r="M29" s="278">
        <f>AJ29*Nøgletal!N491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AJ29*Nøgletal!N493</f>
        <v>0</v>
      </c>
      <c r="V29" s="278">
        <f>AJ29*Nøgletal!N494</f>
        <v>0</v>
      </c>
      <c r="W29" s="278">
        <f>AJ29*Nøgletal!N495</f>
        <v>0</v>
      </c>
      <c r="X29" s="278">
        <f>AJ29*Nøgletal!N496</f>
        <v>0</v>
      </c>
      <c r="Y29" s="278">
        <f>Nøgletal!N497</f>
        <v>0</v>
      </c>
      <c r="Z29" s="278"/>
      <c r="AA29" s="278"/>
      <c r="AB29" s="278">
        <f>AJ29*Nøgletal!N498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-AO29/IF(Nøgletal!N358+Nøgletal!O358&gt;0,Nøgletal!N358+Nøgletal!O358,1)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BS29/IF(Nøgletal!O358&gt;0,Nøgletal!O358,1)*Nøgletal!N358</f>
        <v>0</v>
      </c>
      <c r="BS29" s="286">
        <f>BS$27*Nøgletal!N318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G$4+E29*Emissionsfaktorer!$G$3+F29*Emissionsfaktorer!$G$5+H29*Emissionsfaktorer!$G$7+I29*Emissionsfaktorer!$G$8+J29*Emissionsfaktorer!$G$9+K29*Emissionsfaktorer!$G$10+L29*Emissionsfaktorer!$G$11+M29*Emissionsfaktorer!$G$12)*-1*(1-Nøgletal!$N$315)+T29*Emissionsfaktorer!$G$13*Nøgletal!$N$315</f>
        <v>0</v>
      </c>
      <c r="CA29" s="231"/>
      <c r="CB29" s="231"/>
    </row>
    <row r="30" spans="1:80" x14ac:dyDescent="0.25">
      <c r="A30" s="231"/>
      <c r="B30" s="31"/>
      <c r="C30" s="278"/>
      <c r="D30" s="278"/>
      <c r="E30" s="278">
        <f>AJ30*Nøgletal!N500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AJ30*Nøgletal!N501</f>
        <v>0</v>
      </c>
      <c r="V30" s="278"/>
      <c r="W30" s="278"/>
      <c r="X30" s="278"/>
      <c r="Y30" s="278"/>
      <c r="Z30" s="278"/>
      <c r="AA30" s="278"/>
      <c r="AB30" s="278">
        <f>AJ30*Nøgletal!N502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-AO30/IF(Nøgletal!N359+Nøgletal!O359&gt;0,Nøgletal!N359+Nøgletal!O359,1)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BS30/IF(Nøgletal!O359&gt;0,Nøgletal!O359,1)*Nøgletal!N359</f>
        <v>0</v>
      </c>
      <c r="BS30" s="286">
        <f>BS$27*Nøgletal!N319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G$4+E30*Emissionsfaktorer!$G$3+F30*Emissionsfaktorer!$G$5+H30*Emissionsfaktorer!$G$7+I30*Emissionsfaktorer!$G$8+J30*Emissionsfaktorer!$G$9+K30*Emissionsfaktorer!$G$10+L30*Emissionsfaktorer!$G$11+M30*Emissionsfaktorer!$G$12)*-1*(1-Nøgletal!$N$315)+T30*Emissionsfaktorer!$G$13*Nøgletal!$N$315</f>
        <v>0</v>
      </c>
      <c r="CA30" s="231"/>
      <c r="CB30" s="231"/>
    </row>
    <row r="31" spans="1:80" x14ac:dyDescent="0.25">
      <c r="A31" s="231"/>
      <c r="B31" s="31"/>
      <c r="C31" s="278">
        <f>AJ31*Nøgletal!N504</f>
        <v>0</v>
      </c>
      <c r="D31" s="278"/>
      <c r="E31" s="278">
        <f>AJ31*Nøgletal!N506</f>
        <v>0</v>
      </c>
      <c r="F31" s="278"/>
      <c r="G31" s="278">
        <f t="shared" si="29"/>
        <v>0</v>
      </c>
      <c r="H31" s="278"/>
      <c r="I31" s="278">
        <f>AJ31*Nøgletal!N505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AJ31*Nøgletal!N507</f>
        <v>0</v>
      </c>
      <c r="V31" s="278">
        <f>AJ31*Nøgletal!N508</f>
        <v>0</v>
      </c>
      <c r="W31" s="278">
        <f>AJ31*Nøgletal!N509</f>
        <v>0</v>
      </c>
      <c r="X31" s="278">
        <f>AJ31*Nøgletal!N510</f>
        <v>0</v>
      </c>
      <c r="Y31" s="278">
        <f>AJ31*Nøgletal!N511</f>
        <v>0</v>
      </c>
      <c r="Z31" s="278"/>
      <c r="AA31" s="278"/>
      <c r="AB31" s="278">
        <f>AJ31*Nøgletal!N512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-AO31/IF(Nøgletal!N360+Nøgletal!O360&gt;0,Nøgletal!N360+Nøgletal!O360,1)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BS31/IF(Nøgletal!O360&gt;0,Nøgletal!O360,1)*Nøgletal!N360</f>
        <v>0</v>
      </c>
      <c r="BS31" s="286">
        <f>BS$27*Nøgletal!N320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G$4+E31*Emissionsfaktorer!$G$3+F31*Emissionsfaktorer!$G$5+H31*Emissionsfaktorer!$G$7+I31*Emissionsfaktorer!$G$8+J31*Emissionsfaktorer!$G$9+K31*Emissionsfaktorer!$G$10+L31*Emissionsfaktorer!$G$11+M31*Emissionsfaktorer!$G$12)*-1*(1-Nøgletal!$N$315)+T31*Emissionsfaktorer!$G$13*Nøgletal!$N$315</f>
        <v>0</v>
      </c>
      <c r="CA31" s="231"/>
      <c r="CB31" s="231"/>
    </row>
    <row r="32" spans="1:80" x14ac:dyDescent="0.25">
      <c r="A32" s="231"/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AO32*(1-1/IF(Nøgletal!O361&gt;0,Nøgletal!O361,1))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-AO32/Nøgletal!O514/(1-Nøgletal!N294)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BS$27*Nøgletal!N321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G$4+E32*Emissionsfaktorer!$G$3+F32*Emissionsfaktorer!$G$5+H32*Emissionsfaktorer!$G$7+I32*Emissionsfaktorer!$G$8+J32*Emissionsfaktorer!$G$9+K32*Emissionsfaktorer!$G$10+L32*Emissionsfaktorer!$G$11+M32*Emissionsfaktorer!$G$12)*-1*(1-Nøgletal!$N$315)+T32*Emissionsfaktorer!$G$13*Nøgletal!$N$315</f>
        <v>0</v>
      </c>
      <c r="CA32" s="231"/>
      <c r="CB32" s="231"/>
    </row>
    <row r="33" spans="1:80" x14ac:dyDescent="0.25">
      <c r="A33" s="231"/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-AO33/IF(Nøgletal!N362+Nøgletal!O362&gt;0,Nøgletal!N362+Nøgletal!O362,1)/(1-Nøgletal!N294)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BS$27*Nøgletal!N322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G$4+E33*Emissionsfaktorer!$G$3+F33*Emissionsfaktorer!$G$5+H33*Emissionsfaktorer!$G$7+I33*Emissionsfaktorer!$G$8+J33*Emissionsfaktorer!$G$9+K33*Emissionsfaktorer!$G$10+L33*Emissionsfaktorer!$G$11+M33*Emissionsfaktorer!$G$12)*-1*(1-Nøgletal!$N$315)+T33*Emissionsfaktorer!$G$13*Nøgletal!$N$315</f>
        <v>0</v>
      </c>
      <c r="CA33" s="231"/>
      <c r="CB33" s="231"/>
    </row>
    <row r="34" spans="1:80" x14ac:dyDescent="0.25">
      <c r="A34" s="231"/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-AO34/IF(Nøgletal!N363+Nøgletal!O363&gt;0,Nøgletal!N363+Nøgletal!O363,1)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BS34/IF(Nøgletal!O363&gt;0,Nøgletal!O363,1)*Nøgletal!N363</f>
        <v>0</v>
      </c>
      <c r="BS34" s="286">
        <f>BS$27*Nøgletal!N323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G$4+E34*Emissionsfaktorer!$G$3+F34*Emissionsfaktorer!$G$5+H34*Emissionsfaktorer!$G$7+I34*Emissionsfaktorer!$G$8+J34*Emissionsfaktorer!$G$9+K34*Emissionsfaktorer!$G$10+L34*Emissionsfaktorer!$G$11+M34*Emissionsfaktorer!$G$12)*-1*(1-Nøgletal!$N$315)+T34*Emissionsfaktorer!$G$13*Nøgletal!$N$315</f>
        <v>0</v>
      </c>
      <c r="CA34" s="231"/>
      <c r="CB34" s="231"/>
    </row>
    <row r="35" spans="1:80" x14ac:dyDescent="0.25">
      <c r="A35" s="231"/>
      <c r="B35" s="31"/>
      <c r="C35" s="278">
        <f>AJ35*Nøgletal!N518</f>
        <v>0</v>
      </c>
      <c r="D35" s="278"/>
      <c r="E35" s="278">
        <f>AJ35*Nøgletal!N520</f>
        <v>0</v>
      </c>
      <c r="F35" s="278"/>
      <c r="G35" s="278">
        <f t="shared" si="29"/>
        <v>0</v>
      </c>
      <c r="H35" s="278"/>
      <c r="I35" s="278">
        <f>AJ35*Nøgletal!N519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AJ35*Nøgletal!N521</f>
        <v>0</v>
      </c>
      <c r="V35" s="278">
        <f>AJ35*Nøgletal!N522</f>
        <v>0</v>
      </c>
      <c r="W35" s="278">
        <f>AJ35*Nøgletal!N523</f>
        <v>0</v>
      </c>
      <c r="X35" s="278">
        <f>AJ35*Nøgletal!N524</f>
        <v>0</v>
      </c>
      <c r="Y35" s="278">
        <f>AJ35*Nøgletal!N525</f>
        <v>0</v>
      </c>
      <c r="Z35" s="278"/>
      <c r="AA35" s="278"/>
      <c r="AB35" s="278">
        <f>AJ35*Nøgletal!N526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-AO35/IF(Nøgletal!N364+Nøgletal!O364&gt;0,Nøgletal!N364+Nøgletal!O364,1)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BS35/IF(Nøgletal!O364&gt;0,Nøgletal!O364,1)*Nøgletal!N364</f>
        <v>0</v>
      </c>
      <c r="BS35" s="286">
        <f>BS$27*Nøgletal!N324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G$4+E35*Emissionsfaktorer!$G$3+F35*Emissionsfaktorer!$G$5+H35*Emissionsfaktorer!$G$7+I35*Emissionsfaktorer!$G$8+J35*Emissionsfaktorer!$G$9+K35*Emissionsfaktorer!$G$10+L35*Emissionsfaktorer!$G$11+M35*Emissionsfaktorer!$G$12)*-1*(1-Nøgletal!$N$315)+T35*Emissionsfaktorer!$G$13*Nøgletal!$N$315</f>
        <v>0</v>
      </c>
      <c r="CA35" s="231"/>
      <c r="CB35" s="231"/>
    </row>
    <row r="36" spans="1:80" x14ac:dyDescent="0.25">
      <c r="A36" s="231"/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G$4+E36*Emissionsfaktorer!$G$3+F36*Emissionsfaktorer!$G$5+H36*Emissionsfaktorer!$G$7+I36*Emissionsfaktorer!$G$8+J36*Emissionsfaktorer!$G$9+K36*Emissionsfaktorer!$G$10+L36*Emissionsfaktorer!$G$11+M36*Emissionsfaktorer!$G$12)*-1*(1-Nøgletal!$N$315)+T36*Emissionsfaktorer!$G$13*Nøgletal!$N$315</f>
        <v>0</v>
      </c>
      <c r="CA36" s="231"/>
      <c r="CB36" s="231"/>
    </row>
    <row r="37" spans="1:80" x14ac:dyDescent="0.25">
      <c r="A37" s="231"/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0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0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0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0</v>
      </c>
      <c r="AP37" s="37">
        <f t="shared" si="6"/>
        <v>0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0</v>
      </c>
      <c r="BS37" s="23">
        <f>Nøgletal!N271/(1-Nøgletal!N298)</f>
        <v>0</v>
      </c>
      <c r="BT37" s="23">
        <f>Nøgletal!O271/(1-Nøgletal!O298)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0</v>
      </c>
      <c r="BZ37" s="126">
        <f t="shared" si="37"/>
        <v>0</v>
      </c>
      <c r="CA37" s="231"/>
      <c r="CB37" s="231"/>
    </row>
    <row r="38" spans="1:80" x14ac:dyDescent="0.25">
      <c r="A38" s="231"/>
      <c r="B38" s="31"/>
      <c r="C38" s="278"/>
      <c r="D38" s="278"/>
      <c r="E38" s="278">
        <f>AJ38*Nøgletal!N532</f>
        <v>0</v>
      </c>
      <c r="F38" s="278"/>
      <c r="G38" s="278">
        <f t="shared" si="29"/>
        <v>0</v>
      </c>
      <c r="H38" s="278"/>
      <c r="I38" s="278">
        <f>AJ38*Nøgletal!N528</f>
        <v>0</v>
      </c>
      <c r="J38" s="278">
        <f>AJ38*Nøgletal!N529</f>
        <v>0</v>
      </c>
      <c r="K38" s="278">
        <f>AJ38*Nøgletal!N530</f>
        <v>0</v>
      </c>
      <c r="L38" s="278"/>
      <c r="M38" s="278">
        <f>AJ38*Nøgletal!N531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0</v>
      </c>
      <c r="U38" s="278">
        <f>AJ38*Nøgletal!N533</f>
        <v>0</v>
      </c>
      <c r="V38" s="278">
        <f>Nøgletal!N534</f>
        <v>0</v>
      </c>
      <c r="W38" s="278">
        <f>AJ38*Nøgletal!N535</f>
        <v>0</v>
      </c>
      <c r="X38" s="278">
        <f>Nøgletal!N536</f>
        <v>0</v>
      </c>
      <c r="Y38" s="278">
        <f>AJ38*Nøgletal!N537</f>
        <v>0</v>
      </c>
      <c r="Z38" s="278"/>
      <c r="AA38" s="278"/>
      <c r="AB38" s="278">
        <f>AJ38*Nøgletal!N538</f>
        <v>0</v>
      </c>
      <c r="AC38" s="280"/>
      <c r="AD38" s="280"/>
      <c r="AE38" s="280"/>
      <c r="AF38" s="280"/>
      <c r="AG38" s="280"/>
      <c r="AH38" s="280"/>
      <c r="AI38" s="280"/>
      <c r="AJ38" s="105">
        <f>-AO38/IF(Nøgletal!N366+Nøgletal!O366&gt;0,Nøgletal!N366+Nøgletal!O366,1)</f>
        <v>0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0</v>
      </c>
      <c r="AP38" s="37">
        <f t="shared" si="6"/>
        <v>0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Nøgletal!N275</f>
        <v>0</v>
      </c>
      <c r="BS38" s="292">
        <f>BS$37*Nøgletal!N327</f>
        <v>0</v>
      </c>
      <c r="BT38" s="280"/>
      <c r="BU38" s="280"/>
      <c r="BV38" s="280"/>
      <c r="BW38" s="280"/>
      <c r="BX38" s="280"/>
      <c r="BY38" s="124">
        <f>(AJ38+AO38)*-1</f>
        <v>0</v>
      </c>
      <c r="BZ38" s="123">
        <f>(C38*Emissionsfaktorer!$G$4+E38*Emissionsfaktorer!$G$3+F38*Emissionsfaktorer!$G$5+H38*Emissionsfaktorer!$G$7+I38*Emissionsfaktorer!$G$8+J38*Emissionsfaktorer!$G$9+K38*Emissionsfaktorer!$G$10+L38*Emissionsfaktorer!$G$11+M38*Emissionsfaktorer!$G$12)*-1*(1-Nøgletal!$N$325)+T38*Emissionsfaktorer!$G$13*Nøgletal!$N$325</f>
        <v>0</v>
      </c>
      <c r="CA38" s="231"/>
      <c r="CB38" s="231"/>
    </row>
    <row r="39" spans="1:80" x14ac:dyDescent="0.25">
      <c r="A39" s="231"/>
      <c r="B39" s="31"/>
      <c r="C39" s="278">
        <f>AJ39*Nøgletal!N540</f>
        <v>0</v>
      </c>
      <c r="D39" s="278"/>
      <c r="E39" s="278">
        <f>AJ39*Nøgletal!N542</f>
        <v>0</v>
      </c>
      <c r="F39" s="278"/>
      <c r="G39" s="278">
        <f t="shared" si="29"/>
        <v>0</v>
      </c>
      <c r="H39" s="278"/>
      <c r="I39" s="278">
        <f>AJ39*Nøgletal!N541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AJ39*Nøgletal!N543</f>
        <v>0</v>
      </c>
      <c r="V39" s="278">
        <f>AJ39*Nøgletal!N544</f>
        <v>0</v>
      </c>
      <c r="W39" s="278">
        <f>AJ39*Nøgletal!N545</f>
        <v>0</v>
      </c>
      <c r="X39" s="278">
        <f>AJ39*Nøgletal!N547</f>
        <v>0</v>
      </c>
      <c r="Y39" s="278">
        <f>AJ39*Nøgletal!N548</f>
        <v>0</v>
      </c>
      <c r="Z39" s="278"/>
      <c r="AA39" s="278"/>
      <c r="AB39" s="278">
        <f>Nøgletal!N549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-AO39/IF(Nøgletal!N367+Nøgletal!O367&gt;0,Nøgletal!N367+Nøgletal!O367,1)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BS39/IF(Nøgletal!O367&gt;0,Nøgletal!O367,1)*Nøgletal!N367</f>
        <v>0</v>
      </c>
      <c r="BS39" s="292">
        <f>BS$37*Nøgletal!N328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G$4+E39*Emissionsfaktorer!$G$3+F39*Emissionsfaktorer!$G$5+H39*Emissionsfaktorer!$G$7+I39*Emissionsfaktorer!$G$8+J39*Emissionsfaktorer!$G$9+K39*Emissionsfaktorer!$G$10+L39*Emissionsfaktorer!$G$11+M39*Emissionsfaktorer!$G$12)*-1*(1-Nøgletal!$N$325)+T39*Emissionsfaktorer!$G$13*Nøgletal!$N$325</f>
        <v>0</v>
      </c>
      <c r="CA39" s="231"/>
      <c r="CB39" s="231"/>
    </row>
    <row r="40" spans="1:80" x14ac:dyDescent="0.25">
      <c r="A40" s="231"/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G$4+E40*Emissionsfaktorer!$G$3+F40*Emissionsfaktorer!$G$5+H40*Emissionsfaktorer!$G$7+I40*Emissionsfaktorer!$G$8+J40*Emissionsfaktorer!$G$9+K40*Emissionsfaktorer!$G$10+L40*Emissionsfaktorer!$G$11+M40*Emissionsfaktorer!$G$12)*-1*(1-Nøgletal!$N$325)+T40*Emissionsfaktorer!$G$13*Nøgletal!$N$325</f>
        <v>0</v>
      </c>
      <c r="CA40" s="231"/>
      <c r="CB40" s="231"/>
    </row>
    <row r="41" spans="1:80" x14ac:dyDescent="0.25">
      <c r="A41" s="231"/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Nøgletal!N269/(1-Nøgletal!N296)</f>
        <v>0</v>
      </c>
      <c r="BT41" s="23">
        <f>Nøgletal!O269/(1-Nøgletal!O296)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  <c r="CA41" s="231"/>
      <c r="CB41" s="231"/>
    </row>
    <row r="42" spans="1:80" x14ac:dyDescent="0.25">
      <c r="A42" s="231"/>
      <c r="B42" s="31"/>
      <c r="C42" s="278"/>
      <c r="D42" s="278"/>
      <c r="E42" s="278"/>
      <c r="F42" s="278">
        <f>AJ42*Nøgletal!N469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AJ42*Nøgletal!N467</f>
        <v>0</v>
      </c>
      <c r="AA42" s="278">
        <f>AJ42*Nøgletal!N468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-AO42/IF(Nøgletal!N353+Nøgletal!O353&gt;0,Nøgletal!N353+Nøgletal!O353,1)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BS42/IF(Nøgletal!O353&gt;0,Nøgletal!O353,1)*Nøgletal!N353</f>
        <v>0</v>
      </c>
      <c r="BS42" s="289">
        <f>BS$41*Nøgletal!N312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G$4+E42*Emissionsfaktorer!$G$3+F42*Emissionsfaktorer!$G$5+H42*Emissionsfaktorer!$G$7+I42*Emissionsfaktorer!$G$8+J42*Emissionsfaktorer!$G$9+K42*Emissionsfaktorer!$G$10+L42*Emissionsfaktorer!$G$11+M42*Emissionsfaktorer!$G$12)*-1*(1-Nøgletal!$N$310)+T42*Emissionsfaktorer!$G$13*Nøgletal!$N$310</f>
        <v>0</v>
      </c>
      <c r="CA42" s="231"/>
      <c r="CB42" s="231"/>
    </row>
    <row r="43" spans="1:80" x14ac:dyDescent="0.25">
      <c r="A43" s="231"/>
      <c r="B43" s="31"/>
      <c r="C43" s="278"/>
      <c r="D43" s="278"/>
      <c r="E43" s="278"/>
      <c r="F43" s="278">
        <f>AJ43*Nøgletal!N473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AJ43*Nøgletal!N471</f>
        <v>0</v>
      </c>
      <c r="AA43" s="278">
        <f>AJ43*Nøgletal!N472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-AO43/IF(Nøgletal!N354+Nøgletal!O354&gt;0,Nøgletal!N354+Nøgletal!O354,1)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BS43/IF(Nøgletal!O354&gt;0,Nøgletal!O354,1)*Nøgletal!N354</f>
        <v>0</v>
      </c>
      <c r="BS43" s="289">
        <f>BS$41*Nøgletal!N313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G$4+E43*Emissionsfaktorer!$G$3+F43*Emissionsfaktorer!$G$5+H43*Emissionsfaktorer!$G$7+I43*Emissionsfaktorer!$G$8+J43*Emissionsfaktorer!$G$9+K43*Emissionsfaktorer!$G$10+L43*Emissionsfaktorer!$G$11+M43*Emissionsfaktorer!$G$12)*-1*(1-Nøgletal!$N$310)+T43*Emissionsfaktorer!$G$13*Nøgletal!$N$310</f>
        <v>0</v>
      </c>
      <c r="CA43" s="231"/>
      <c r="CB43" s="231"/>
    </row>
    <row r="44" spans="1:80" x14ac:dyDescent="0.25">
      <c r="A44" s="231"/>
      <c r="B44" s="31"/>
      <c r="C44" s="278"/>
      <c r="D44" s="278"/>
      <c r="E44" s="278"/>
      <c r="F44" s="278">
        <f>AJ44*Nøgletal!N477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AJ44*Nøgletal!N475</f>
        <v>0</v>
      </c>
      <c r="AA44" s="278">
        <f>AJ44*Nøgletal!N476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-AO44/IF(Nøgletal!N355+Nøgletal!O355&gt;0,Nøgletal!N355+Nøgletal!O355,1)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BS44/IF(Nøgletal!O355&gt;0,Nøgletal!O355,1)*Nøgletal!N355</f>
        <v>0</v>
      </c>
      <c r="BS44" s="289">
        <f>BS$41*Nøgletal!N314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G$4+E44*Emissionsfaktorer!$G$3+F44*Emissionsfaktorer!$G$5+H44*Emissionsfaktorer!$G$7+I44*Emissionsfaktorer!$G$8+J44*Emissionsfaktorer!$G$9+K44*Emissionsfaktorer!$G$10+L44*Emissionsfaktorer!$G$11+M44*Emissionsfaktorer!$G$12)*-1*(1-Nøgletal!$N$310)+T44*Emissionsfaktorer!$G$13*Nøgletal!$N$310</f>
        <v>0</v>
      </c>
      <c r="CA44" s="231"/>
      <c r="CB44" s="231"/>
    </row>
    <row r="45" spans="1:80" x14ac:dyDescent="0.25">
      <c r="A45" s="231"/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G$4+E45*Emissionsfaktorer!$G$3+F45*Emissionsfaktorer!$G$5+H45*Emissionsfaktorer!$G$7+I45*Emissionsfaktorer!$G$8+J45*Emissionsfaktorer!$G$9+K45*Emissionsfaktorer!$G$10+L45*Emissionsfaktorer!$G$11+M45*Emissionsfaktorer!$G$12)*-1*(1-Nøgletal!$N$310)+T45*Emissionsfaktorer!$G$13*Nøgletal!$N$310</f>
        <v>0</v>
      </c>
      <c r="CA45" s="231"/>
      <c r="CB45" s="231"/>
    </row>
    <row r="46" spans="1:80" x14ac:dyDescent="0.25">
      <c r="A46" s="231"/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-153.1884474</v>
      </c>
      <c r="AD46" s="23">
        <f t="shared" si="40"/>
        <v>0</v>
      </c>
      <c r="AE46" s="23">
        <f t="shared" si="40"/>
        <v>0</v>
      </c>
      <c r="AF46" s="23">
        <f t="shared" si="40"/>
        <v>-389.51913000000008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-542.7075774000001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542.7075774000001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389.51913000000008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153.1884474</v>
      </c>
      <c r="BX46" s="23"/>
      <c r="BY46" s="126">
        <f t="shared" si="41"/>
        <v>0</v>
      </c>
      <c r="BZ46" s="126">
        <f t="shared" si="41"/>
        <v>0</v>
      </c>
      <c r="CA46" s="231"/>
      <c r="CB46" s="231"/>
    </row>
    <row r="47" spans="1:80" x14ac:dyDescent="0.25">
      <c r="A47" s="231"/>
      <c r="B47" s="31"/>
      <c r="C47" s="278">
        <f>AJ47*Nøgletal!N586</f>
        <v>0</v>
      </c>
      <c r="D47" s="278"/>
      <c r="E47" s="278">
        <f>AJ47*Nøgletal!N588</f>
        <v>0</v>
      </c>
      <c r="F47" s="278"/>
      <c r="G47" s="278">
        <f t="shared" si="29"/>
        <v>0</v>
      </c>
      <c r="H47" s="278"/>
      <c r="I47" s="278">
        <f>AJ47*Nøgletal!N587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AJ47*Nøgletal!N589</f>
        <v>0</v>
      </c>
      <c r="V47" s="278">
        <f>AJ47*Nøgletal!N590</f>
        <v>0</v>
      </c>
      <c r="W47" s="278">
        <f>AJ47*Nøgletal!N591</f>
        <v>0</v>
      </c>
      <c r="X47" s="278">
        <f>AJ47*Nøgletal!N592</f>
        <v>0</v>
      </c>
      <c r="Y47" s="278">
        <f>AJ47*Nøgletal!N593</f>
        <v>0</v>
      </c>
      <c r="Z47" s="278"/>
      <c r="AA47" s="278"/>
      <c r="AB47" s="278">
        <f>AJ47*Nøgletal!N594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-AO47/IF(Nøgletal!N375+Nøgletal!O375&gt;0,Nøgletal!N375+Nøgletal!O375,1)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BS47/IF(Nøgletal!O375&gt;0,Nøgletal!O375,1)*Nøgletal!N375</f>
        <v>0</v>
      </c>
      <c r="BS47" s="292">
        <f>(Nøgletal!N$202+Nøgletal!N$273/(1-Nøgletal!N$300))*Nøgletal!N338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G$4+E47*Emissionsfaktorer!$G$3+F47*Emissionsfaktorer!$G$5+H47*Emissionsfaktorer!$G$7+I47*Emissionsfaktorer!$G$8+J47*Emissionsfaktorer!$G$9+K47*Emissionsfaktorer!$G$10+L47*Emissionsfaktorer!$G$11+M47*Emissionsfaktorer!$G$12)*-1*(1-Nøgletal!$N$336)+T47*Emissionsfaktorer!$G$13*Nøgletal!$N$336</f>
        <v>0</v>
      </c>
      <c r="CA47" s="231"/>
      <c r="CB47" s="231"/>
    </row>
    <row r="48" spans="1:80" x14ac:dyDescent="0.25">
      <c r="A48" s="231"/>
      <c r="B48" s="31"/>
      <c r="C48" s="278"/>
      <c r="D48" s="278"/>
      <c r="E48" s="278">
        <f>AJ48*Nøgletal!N600</f>
        <v>0</v>
      </c>
      <c r="F48" s="278"/>
      <c r="G48" s="278">
        <f t="shared" si="29"/>
        <v>0</v>
      </c>
      <c r="H48" s="278"/>
      <c r="I48" s="278">
        <f>AJ48*Nøgletal!N596</f>
        <v>0</v>
      </c>
      <c r="J48" s="278">
        <f>AJ48*Nøgletal!N597</f>
        <v>0</v>
      </c>
      <c r="K48" s="278">
        <f>AJ48*Nøgletal!N598</f>
        <v>0</v>
      </c>
      <c r="L48" s="278"/>
      <c r="M48" s="278">
        <f>AJ48*Nøgletal!N599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AJ48*Nøgletal!N601</f>
        <v>0</v>
      </c>
      <c r="V48" s="278">
        <f>Nøgletal!N602</f>
        <v>0</v>
      </c>
      <c r="W48" s="278">
        <f>Nøgletal!N603</f>
        <v>0</v>
      </c>
      <c r="X48" s="278">
        <f>AJ48*Nøgletal!N604</f>
        <v>0</v>
      </c>
      <c r="Y48" s="278">
        <f>AJ48*Nøgletal!N605</f>
        <v>0</v>
      </c>
      <c r="Z48" s="278"/>
      <c r="AA48" s="278"/>
      <c r="AB48" s="278">
        <f>AJ48*Nøgletal!N606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-AO48/IF(Nøgletal!N376+Nøgletal!O376&gt;0,Nøgletal!N376+Nøgletal!O376,1)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BS48/IF(Nøgletal!O376&gt;0,Nøgletal!O376,1)*Nøgletal!N376</f>
        <v>0</v>
      </c>
      <c r="BS48" s="292">
        <f>(Nøgletal!N$202+Nøgletal!N$273/(1-Nøgletal!N$300))*Nøgletal!N339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G$4+E48*Emissionsfaktorer!$G$3+F48*Emissionsfaktorer!$G$5+H48*Emissionsfaktorer!$G$7+I48*Emissionsfaktorer!$G$8+J48*Emissionsfaktorer!$G$9+K48*Emissionsfaktorer!$G$10+L48*Emissionsfaktorer!$G$11+M48*Emissionsfaktorer!$G$12)*-1*(1-Nøgletal!$N$336)+T48*Emissionsfaktorer!$G$13*Nøgletal!$N$336</f>
        <v>0</v>
      </c>
      <c r="CA48" s="231"/>
      <c r="CB48" s="231"/>
    </row>
    <row r="49" spans="1:80" x14ac:dyDescent="0.25">
      <c r="A49" s="231"/>
      <c r="B49" s="31"/>
      <c r="C49" s="278"/>
      <c r="D49" s="278"/>
      <c r="E49" s="278">
        <f>AJ49*Nøgletal!N608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AJ49*Nøgletal!N609</f>
        <v>0</v>
      </c>
      <c r="V49" s="278"/>
      <c r="W49" s="278"/>
      <c r="X49" s="278"/>
      <c r="Y49" s="278"/>
      <c r="Z49" s="278"/>
      <c r="AA49" s="278"/>
      <c r="AB49" s="278">
        <f>AJ49*Nøgletal!N610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-AO49/IF(Nøgletal!N377+Nøgletal!O377&gt;0,Nøgletal!N377+Nøgletal!O377,1)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BS49/IF(Nøgletal!O377&gt;0,Nøgletal!O377,1)*Nøgletal!N377</f>
        <v>0</v>
      </c>
      <c r="BS49" s="292">
        <f>(Nøgletal!N$202+Nøgletal!N$273/(1-Nøgletal!N$300))*Nøgletal!N340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G$4+E49*Emissionsfaktorer!$G$3+F49*Emissionsfaktorer!$G$5+H49*Emissionsfaktorer!$G$7+I49*Emissionsfaktorer!$G$8+J49*Emissionsfaktorer!$G$9+K49*Emissionsfaktorer!$G$10+L49*Emissionsfaktorer!$G$11+M49*Emissionsfaktorer!$G$12)*-1*(1-Nøgletal!$N$336)+T49*Emissionsfaktorer!$G$13*Nøgletal!$N$336</f>
        <v>0</v>
      </c>
      <c r="CA49" s="231"/>
      <c r="CB49" s="231"/>
    </row>
    <row r="50" spans="1:80" x14ac:dyDescent="0.25">
      <c r="A50" s="231"/>
      <c r="B50" s="31"/>
      <c r="C50" s="278">
        <f>AJ50*Nøgletal!N612</f>
        <v>0</v>
      </c>
      <c r="D50" s="278"/>
      <c r="E50" s="278">
        <f>AJ50*Nøgletal!N614</f>
        <v>0</v>
      </c>
      <c r="F50" s="278"/>
      <c r="G50" s="278">
        <f t="shared" si="29"/>
        <v>0</v>
      </c>
      <c r="H50" s="278"/>
      <c r="I50" s="278">
        <f>AJ50*Nøgletal!N613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AJ50*Nøgletal!N615</f>
        <v>0</v>
      </c>
      <c r="V50" s="278">
        <f>AJ50*Nøgletal!N626</f>
        <v>0</v>
      </c>
      <c r="W50" s="278">
        <f>AJ50*Nøgletal!N617</f>
        <v>0</v>
      </c>
      <c r="X50" s="278">
        <f>AJ50*Nøgletal!N628</f>
        <v>0</v>
      </c>
      <c r="Y50" s="278">
        <f>AJ50*Nøgletal!N619</f>
        <v>0</v>
      </c>
      <c r="Z50" s="278"/>
      <c r="AA50" s="278"/>
      <c r="AB50" s="278">
        <f>AJ50*Nøgletal!N620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-AO50/IF(Nøgletal!N378+Nøgletal!O378&gt;0,Nøgletal!N378+Nøgletal!O378,1)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BS50/IF(Nøgletal!O378&gt;0,Nøgletal!O378,1)*Nøgletal!N378</f>
        <v>0</v>
      </c>
      <c r="BS50" s="292">
        <f>(Nøgletal!N$202+Nøgletal!N$273/(1-Nøgletal!N$300))*Nøgletal!N341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G$4+E50*Emissionsfaktorer!$G$3+F50*Emissionsfaktorer!$G$5+H50*Emissionsfaktorer!$G$7+I50*Emissionsfaktorer!$G$8+J50*Emissionsfaktorer!$G$9+K50*Emissionsfaktorer!$G$10+L50*Emissionsfaktorer!$G$11+M50*Emissionsfaktorer!$G$12)*-1*(1-Nøgletal!$N$336)+T50*Emissionsfaktorer!$G$13*Nøgletal!$N$336</f>
        <v>0</v>
      </c>
      <c r="CA50" s="231"/>
      <c r="CB50" s="231"/>
    </row>
    <row r="51" spans="1:80" x14ac:dyDescent="0.25">
      <c r="A51" s="231"/>
      <c r="B51" s="31"/>
      <c r="C51" s="278">
        <f>AJ51*Nøgletal!N622</f>
        <v>0</v>
      </c>
      <c r="D51" s="278"/>
      <c r="E51" s="278">
        <f>AJ51*Nøgletal!N624</f>
        <v>0</v>
      </c>
      <c r="F51" s="278"/>
      <c r="G51" s="278">
        <f t="shared" si="29"/>
        <v>0</v>
      </c>
      <c r="H51" s="278"/>
      <c r="I51" s="278">
        <f>AJ51*Nøgletal!N623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AJ51*Nøgletal!N625</f>
        <v>0</v>
      </c>
      <c r="V51" s="278">
        <f>AJ51*Nøgletal!N626</f>
        <v>0</v>
      </c>
      <c r="W51" s="278">
        <f>AJ51*Nøgletal!N627</f>
        <v>0</v>
      </c>
      <c r="X51" s="278">
        <f>AJ51*Nøgletal!N628</f>
        <v>0</v>
      </c>
      <c r="Y51" s="278">
        <f>AJ51*Nøgletal!N629</f>
        <v>0</v>
      </c>
      <c r="Z51" s="278"/>
      <c r="AA51" s="278"/>
      <c r="AB51" s="278">
        <f>AJ51*Nøgletal!N630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-AO51/IF(Nøgletal!N379+Nøgletal!O379&gt;0,Nøgletal!N379+Nøgletal!O379,1)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BS51/IF(Nøgletal!O379&gt;0,Nøgletal!O379,1)*Nøgletal!N379</f>
        <v>0</v>
      </c>
      <c r="BS51" s="292">
        <f>(Nøgletal!N$202+Nøgletal!N$273/(1-Nøgletal!N$300))*Nøgletal!N342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G$4+E51*Emissionsfaktorer!$G$3+F51*Emissionsfaktorer!$G$5+H51*Emissionsfaktorer!$G$7+I51*Emissionsfaktorer!$G$8+J51*Emissionsfaktorer!$G$9+K51*Emissionsfaktorer!$G$10+L51*Emissionsfaktorer!$G$11+M51*Emissionsfaktorer!$G$12)*-1*(1-Nøgletal!$N$336)+T51*Emissionsfaktorer!$G$13*Nøgletal!$N$336</f>
        <v>0</v>
      </c>
      <c r="CA51" s="231"/>
      <c r="CB51" s="231"/>
    </row>
    <row r="52" spans="1:80" x14ac:dyDescent="0.25">
      <c r="A52" s="231"/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-389.51913000000008</v>
      </c>
      <c r="AG52" s="280"/>
      <c r="AH52" s="280"/>
      <c r="AI52" s="280"/>
      <c r="AJ52" s="105">
        <f>-AO52/IF(Nøgletal!N380+Nøgletal!O380&gt;0,Nøgletal!N380+Nøgletal!O380,1)</f>
        <v>-389.51913000000008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389.51913000000008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BS52/IF(Nøgletal!O380&gt;0,Nøgletal!O380,1)*Nøgletal!N380</f>
        <v>0</v>
      </c>
      <c r="BS52" s="292">
        <f>(Nøgletal!N$202+Nøgletal!N$273/(1-Nøgletal!N$300))*Nøgletal!N343</f>
        <v>389.51913000000008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G$4+E52*Emissionsfaktorer!$G$3+F52*Emissionsfaktorer!$G$5+H52*Emissionsfaktorer!$G$7+I52*Emissionsfaktorer!$G$8+J52*Emissionsfaktorer!$G$9+K52*Emissionsfaktorer!$G$10+L52*Emissionsfaktorer!$G$11+M52*Emissionsfaktorer!$G$12)*-1*(1-Nøgletal!$N$336)+T52*Emissionsfaktorer!$G$13*Nøgletal!$N$336</f>
        <v>0</v>
      </c>
      <c r="CA52" s="231"/>
      <c r="CB52" s="231"/>
    </row>
    <row r="53" spans="1:80" x14ac:dyDescent="0.25">
      <c r="A53" s="231"/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Nøgletal!N201*-1</f>
        <v>-153.1884474</v>
      </c>
      <c r="AD53" s="280"/>
      <c r="AE53" s="280"/>
      <c r="AF53" s="280"/>
      <c r="AG53" s="280"/>
      <c r="AH53" s="280"/>
      <c r="AI53" s="280"/>
      <c r="AJ53" s="105">
        <f>AC53</f>
        <v>-153.1884474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153.1884474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Nøgletal!N201</f>
        <v>153.1884474</v>
      </c>
      <c r="BX53" s="292"/>
      <c r="BY53" s="124">
        <f t="shared" si="42"/>
        <v>0</v>
      </c>
      <c r="BZ53" s="123">
        <f>(C53*Emissionsfaktorer!$G$4+E53*Emissionsfaktorer!$G$3+F53*Emissionsfaktorer!$G$5+H53*Emissionsfaktorer!$G$7+I53*Emissionsfaktorer!$G$8+J53*Emissionsfaktorer!$G$9+K53*Emissionsfaktorer!$G$10+L53*Emissionsfaktorer!$G$11+M53*Emissionsfaktorer!$G$12)*-1*(1-Nøgletal!$N$336)+T53*Emissionsfaktorer!$G$13*Nøgletal!$N$336</f>
        <v>0</v>
      </c>
      <c r="CA53" s="231"/>
      <c r="CB53" s="231"/>
    </row>
    <row r="54" spans="1:80" x14ac:dyDescent="0.25">
      <c r="A54" s="231"/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Nøgletal!N202</f>
        <v>0</v>
      </c>
      <c r="BX54" s="292"/>
      <c r="BY54" s="124">
        <f t="shared" si="42"/>
        <v>0</v>
      </c>
      <c r="BZ54" s="123">
        <f>(C54*Emissionsfaktorer!$G$4+E54*Emissionsfaktorer!$G$3+F54*Emissionsfaktorer!$G$5+H54*Emissionsfaktorer!$G$7+I54*Emissionsfaktorer!$G$8+J54*Emissionsfaktorer!$G$9+K54*Emissionsfaktorer!$G$10+L54*Emissionsfaktorer!$G$11+M54*Emissionsfaktorer!$G$12)*-1*(1-Nøgletal!$N$336)+T54*Emissionsfaktorer!$G$13*Nøgletal!$N$336</f>
        <v>0</v>
      </c>
      <c r="CA54" s="231"/>
      <c r="CB54" s="231"/>
    </row>
    <row r="55" spans="1:80" x14ac:dyDescent="0.25">
      <c r="A55" s="231"/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G$4+E55*Emissionsfaktorer!$G$3+F55*Emissionsfaktorer!$G$5+H55*Emissionsfaktorer!$G$7+I55*Emissionsfaktorer!$G$8+J55*Emissionsfaktorer!$G$9+K55*Emissionsfaktorer!$G$10+L55*Emissionsfaktorer!$G$11+M55*Emissionsfaktorer!$G$12)*-1*(1-Nøgletal!$N$336)+T55*Emissionsfaktorer!$G$13*Nøgletal!$N$336</f>
        <v>0</v>
      </c>
      <c r="CA55" s="40"/>
      <c r="CB55" s="231"/>
    </row>
    <row r="56" spans="1:80" x14ac:dyDescent="0.25">
      <c r="A56" s="231"/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1:80" x14ac:dyDescent="0.25">
      <c r="A57" s="231"/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-2502.5000000000014</v>
      </c>
      <c r="F57" s="20">
        <f t="shared" si="43"/>
        <v>-230.22544545000008</v>
      </c>
      <c r="G57" s="20">
        <f t="shared" si="43"/>
        <v>-8.7396309000000034</v>
      </c>
      <c r="H57" s="20">
        <f t="shared" si="43"/>
        <v>0</v>
      </c>
      <c r="I57" s="20">
        <f t="shared" si="43"/>
        <v>0</v>
      </c>
      <c r="J57" s="20">
        <f t="shared" si="43"/>
        <v>-8.7396309000000034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-497.42928235000028</v>
      </c>
      <c r="U57" s="20">
        <f t="shared" si="43"/>
        <v>0</v>
      </c>
      <c r="V57" s="20">
        <f t="shared" si="43"/>
        <v>0</v>
      </c>
      <c r="W57" s="20">
        <f t="shared" si="43"/>
        <v>0</v>
      </c>
      <c r="X57" s="20">
        <f t="shared" si="43"/>
        <v>-1.3093080000000006</v>
      </c>
      <c r="Y57" s="20">
        <f t="shared" si="43"/>
        <v>-200.20000000000007</v>
      </c>
      <c r="Z57" s="20">
        <f t="shared" si="43"/>
        <v>0</v>
      </c>
      <c r="AA57" s="20">
        <f t="shared" si="43"/>
        <v>-281.38665555000017</v>
      </c>
      <c r="AB57" s="20">
        <f t="shared" si="43"/>
        <v>-14.533318800000007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-3238.8943587000022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2319.0483608292006</v>
      </c>
      <c r="AP57" s="37">
        <f t="shared" ref="AP57:AP64" si="44">IF(AJ57=0,0,AO57/AJ57*-1)</f>
        <v>0.71599999999999975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667.21223789220016</v>
      </c>
      <c r="BS57" s="20">
        <f>Nøgletal!N272/(1-Nøgletal!N299)</f>
        <v>1651.8361229370003</v>
      </c>
      <c r="BT57" s="20">
        <f>Nøgletal!O272/(1-Nøgletal!O299)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919.8459978708006</v>
      </c>
      <c r="BZ57" s="126">
        <f t="shared" si="47"/>
        <v>163.71986881149905</v>
      </c>
      <c r="CA57" s="231"/>
      <c r="CB57" s="40"/>
    </row>
    <row r="58" spans="1:80" x14ac:dyDescent="0.25">
      <c r="A58" s="231"/>
      <c r="B58" s="31"/>
      <c r="C58" s="23">
        <f>AJ58*Nøgletal!N551</f>
        <v>0</v>
      </c>
      <c r="D58" s="23"/>
      <c r="E58" s="23">
        <f>AJ58*Nøgletal!N553</f>
        <v>0</v>
      </c>
      <c r="F58" s="23"/>
      <c r="G58" s="23">
        <f t="shared" ref="G58:G64" si="48">SUM(H58:M58)</f>
        <v>0</v>
      </c>
      <c r="H58" s="23"/>
      <c r="I58" s="23">
        <f>AJ58*Nøgletal!N552</f>
        <v>0</v>
      </c>
      <c r="J58" s="23">
        <f>AJ58*Nøgletal!N557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AJ58*Nøgletal!N554</f>
        <v>0</v>
      </c>
      <c r="V58" s="23">
        <f>AJ58*Nøgletal!N555</f>
        <v>0</v>
      </c>
      <c r="W58" s="23">
        <f>AJ58*Nøgletal!N556</f>
        <v>0</v>
      </c>
      <c r="X58" s="23">
        <f>AJ58*Nøgletal!N558</f>
        <v>0</v>
      </c>
      <c r="Y58" s="23">
        <f>AJ58*Nøgletal!N559</f>
        <v>0</v>
      </c>
      <c r="Z58" s="23"/>
      <c r="AA58" s="23"/>
      <c r="AB58" s="23">
        <f>AJ58*Nøgletal!N560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-AO58/IF(Nøgletal!O369+Nøgletal!N369&gt;0,Nøgletal!O369+Nøgletal!N369,1)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BS58/IF(Nøgletal!O369&gt;0,Nøgletal!O369,1)*Nøgletal!N369</f>
        <v>0</v>
      </c>
      <c r="BS58" s="78">
        <f>BS$57*Nøgletal!N331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G$4+E58*Emissionsfaktorer!$G$3+F58*Emissionsfaktorer!$G$5+H58*Emissionsfaktorer!$G$7+I58*Emissionsfaktorer!$G$8+J58*Emissionsfaktorer!$G$9+K58*Emissionsfaktorer!$G$10+L58*Emissionsfaktorer!$G$11+M58*Emissionsfaktorer!$G$12)*-1*(1-Nøgletal!$N$329)+T58*Emissionsfaktorer!$G$13*Nøgletal!$N$329</f>
        <v>0</v>
      </c>
      <c r="CA58" s="231"/>
      <c r="CB58" s="231"/>
    </row>
    <row r="59" spans="1:80" x14ac:dyDescent="0.25">
      <c r="A59" s="231"/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-AO59*(1-1/IF(Nøgletal!O370&gt;0,Nøgletal!O370,1))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-AO59/IF(Nøgletal!O514&gt;0,Nøgletal!O514,1)/(1-Nøgletal!N294)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BS59/IF(Nøgletal!O370&gt;0,Nøgletal!O370,1)*Nøgletal!N370</f>
        <v>0</v>
      </c>
      <c r="BS59" s="78">
        <f>BS$57*Nøgletal!N332</f>
        <v>0</v>
      </c>
      <c r="BT59" s="32"/>
      <c r="BU59" s="32"/>
      <c r="BV59" s="32"/>
      <c r="BW59" s="32"/>
      <c r="BX59" s="32"/>
      <c r="BY59" s="124"/>
      <c r="BZ59" s="123">
        <f>(C59*Emissionsfaktorer!$G$4+E59*Emissionsfaktorer!$G$3+F59*Emissionsfaktorer!$G$5+H59*Emissionsfaktorer!$G$7+I59*Emissionsfaktorer!$G$8+J59*Emissionsfaktorer!$G$9+K59*Emissionsfaktorer!$G$10+L59*Emissionsfaktorer!$G$11+M59*Emissionsfaktorer!$G$12)*-1*(1-Nøgletal!$N$329)+T59*Emissionsfaktorer!$G$13*Nøgletal!$N$329</f>
        <v>0</v>
      </c>
      <c r="CA59" s="231"/>
      <c r="CB59" s="231"/>
    </row>
    <row r="60" spans="1:80" x14ac:dyDescent="0.25">
      <c r="A60" s="231"/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-AO60/IF(Nøgletal!O371+Nøgletal!N371&gt;0,Nøgletal!O371+Nøgletal!N371,1)/(1-Nøgletal!N294)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BS$57*Nøgletal!N333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G$4+E60*Emissionsfaktorer!$G$3+F60*Emissionsfaktorer!$G$5+H60*Emissionsfaktorer!$G$7+I60*Emissionsfaktorer!$G$8+J60*Emissionsfaktorer!$G$9+K60*Emissionsfaktorer!$G$10+L60*Emissionsfaktorer!$G$11+M60*Emissionsfaktorer!$G$12)*-1*(1-Nøgletal!$N$329)+T60*Emissionsfaktorer!$G$13*Nøgletal!$N$329</f>
        <v>0</v>
      </c>
      <c r="CA60" s="231"/>
      <c r="CB60" s="231"/>
    </row>
    <row r="61" spans="1:80" x14ac:dyDescent="0.25">
      <c r="A61" s="231"/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-AO61/IF(Nøgletal!O372+Nøgletal!N372&gt;0,Nøgletal!O372+Nøgletal!N372,1)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BS61/IF(Nøgletal!O372&gt;0,Nøgletal!O372,1)*Nøgletal!N372</f>
        <v>0</v>
      </c>
      <c r="BS61" s="78">
        <f>BS$57*Nøgletal!N334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G$4+E61*Emissionsfaktorer!$G$3+F61*Emissionsfaktorer!$G$5+H61*Emissionsfaktorer!$G$7+I61*Emissionsfaktorer!$G$8+J61*Emissionsfaktorer!$G$9+K61*Emissionsfaktorer!$G$10+L61*Emissionsfaktorer!$G$11+M61*Emissionsfaktorer!$G$12)*-1*(1-Nøgletal!$N$329)+T61*Emissionsfaktorer!$G$13*Nøgletal!$N$329</f>
        <v>0</v>
      </c>
      <c r="CA61" s="231"/>
      <c r="CB61" s="231"/>
    </row>
    <row r="62" spans="1:80" x14ac:dyDescent="0.25">
      <c r="A62" s="231"/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-AO62/IF(Nøgletal!O373+Nøgletal!N373&gt;0,Nøgletal!O373+Nøgletal!N373,1)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BS62/IF(Nøgletal!O373&gt;0,Nøgletal!O373,1)*Nøgletal!N373</f>
        <v>0</v>
      </c>
      <c r="BS62" s="78">
        <f>BS$57*Nøgletal!N335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G$4+E62*Emissionsfaktorer!$G$3+F62*Emissionsfaktorer!$G$5+H62*Emissionsfaktorer!$G$7+I62*Emissionsfaktorer!$G$8+J62*Emissionsfaktorer!$G$9+K62*Emissionsfaktorer!$G$10+L62*Emissionsfaktorer!$G$11+M62*Emissionsfaktorer!$G$12)*-1*(1-Nøgletal!$N$329)+T62*Emissionsfaktorer!$G$13*Nøgletal!$N$329</f>
        <v>0</v>
      </c>
      <c r="CA62" s="231"/>
      <c r="CB62" s="231"/>
    </row>
    <row r="63" spans="1:80" x14ac:dyDescent="0.25">
      <c r="A63" s="231"/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BS63/IF(Nøgletal!O351&gt;0,Nøgletal!O351,1)*Nøgletal!N351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G$4+E63*Emissionsfaktorer!$G$3+F63*Emissionsfaktorer!$G$5+H63*Emissionsfaktorer!$G$7+I63*Emissionsfaktorer!$G$8+J63*Emissionsfaktorer!$G$9+K63*Emissionsfaktorer!$G$10+L63*Emissionsfaktorer!$G$11+M63*Emissionsfaktorer!$G$12)*-1*(1-Nøgletal!$N$329)+T63*Emissionsfaktorer!$G$13*Nøgletal!$N$329</f>
        <v>0</v>
      </c>
      <c r="CA63" s="231"/>
      <c r="CB63" s="231"/>
    </row>
    <row r="64" spans="1:80" x14ac:dyDescent="0.25">
      <c r="A64" s="231"/>
      <c r="B64" s="31"/>
      <c r="C64" s="23">
        <f>AJ64*Nøgletal!N567</f>
        <v>0</v>
      </c>
      <c r="D64" s="23"/>
      <c r="E64" s="23">
        <f>AJ64*Nøgletal!N572</f>
        <v>-2502.5000000000014</v>
      </c>
      <c r="F64" s="23">
        <f>AJ64*Nøgletal!N584</f>
        <v>-230.22544545000008</v>
      </c>
      <c r="G64" s="23">
        <f t="shared" si="48"/>
        <v>-8.7396309000000034</v>
      </c>
      <c r="H64" s="23">
        <f>AJ64*Nøgletal!N566</f>
        <v>0</v>
      </c>
      <c r="I64" s="23">
        <f>AJ64*Nøgletal!N568</f>
        <v>0</v>
      </c>
      <c r="J64" s="23">
        <f>AJ64*Nøgletal!N569</f>
        <v>-8.7396309000000034</v>
      </c>
      <c r="K64" s="23">
        <f>AJ64*Nøgletal!N570</f>
        <v>0</v>
      </c>
      <c r="L64" s="23"/>
      <c r="M64" s="23">
        <f>AJ64*Nøgletal!N571</f>
        <v>0</v>
      </c>
      <c r="N64" s="23">
        <f t="shared" si="49"/>
        <v>0</v>
      </c>
      <c r="O64" s="23"/>
      <c r="P64" s="23"/>
      <c r="Q64" s="23">
        <f>AJ64*Nøgletal!N573</f>
        <v>0</v>
      </c>
      <c r="R64" s="23">
        <f>AJ64*Nøgletal!N574</f>
        <v>0</v>
      </c>
      <c r="S64" s="23">
        <f>AJ64*Nøgletal!N575</f>
        <v>0</v>
      </c>
      <c r="T64" s="23">
        <f t="shared" si="50"/>
        <v>-497.42928235000028</v>
      </c>
      <c r="U64" s="23">
        <f>AJ64*Nøgletal!N576</f>
        <v>0</v>
      </c>
      <c r="V64" s="23">
        <f>AJ64*Nøgletal!N577</f>
        <v>0</v>
      </c>
      <c r="W64" s="23">
        <f>AJ64*Nøgletal!N578</f>
        <v>0</v>
      </c>
      <c r="X64" s="23">
        <f>AJ64*Nøgletal!N579</f>
        <v>-1.3093080000000006</v>
      </c>
      <c r="Y64" s="23">
        <f>AJ64*Nøgletal!N580</f>
        <v>-200.20000000000007</v>
      </c>
      <c r="Z64" s="23">
        <f>AJ64*Nøgletal!N581</f>
        <v>0</v>
      </c>
      <c r="AA64" s="23">
        <f>AJ64*Nøgletal!N582</f>
        <v>-281.38665555000017</v>
      </c>
      <c r="AB64" s="23">
        <f>AJ64*Nøgletal!N583</f>
        <v>-14.533318800000007</v>
      </c>
      <c r="AC64" s="23"/>
      <c r="AD64" s="23"/>
      <c r="AE64" s="23"/>
      <c r="AF64" s="23"/>
      <c r="AG64" s="23"/>
      <c r="AH64" s="23"/>
      <c r="AI64" s="23"/>
      <c r="AJ64" s="105">
        <f>-AO64/IF(Nøgletal!O351+Nøgletal!N351&gt;0,Nøgletal!O351+Nøgletal!N351,1)</f>
        <v>-3238.8943587000012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2319.0483608292006</v>
      </c>
      <c r="AP64" s="37">
        <f t="shared" si="44"/>
        <v>0.71599999999999997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BS64/IF(Nøgletal!O351&gt;0,Nøgletal!O351,1)*Nøgletal!N351</f>
        <v>667.21223789220016</v>
      </c>
      <c r="BS64" s="78">
        <f>BS$57*Nøgletal!N309</f>
        <v>1651.8361229370003</v>
      </c>
      <c r="BT64" s="23"/>
      <c r="BU64" s="32"/>
      <c r="BV64" s="32"/>
      <c r="BW64" s="93"/>
      <c r="BX64" s="93"/>
      <c r="BY64" s="124">
        <f t="shared" si="54"/>
        <v>919.8459978708006</v>
      </c>
      <c r="BZ64" s="123">
        <f>(C64*Emissionsfaktorer!$G$4+E64*Emissionsfaktorer!$G$3+F64*Emissionsfaktorer!$G$5+H64*Emissionsfaktorer!$G$7+I64*Emissionsfaktorer!$G$8+J64*Emissionsfaktorer!$G$9+K64*Emissionsfaktorer!$G$10+L64*Emissionsfaktorer!$G$11+M64*Emissionsfaktorer!$G$12)*-1*(1-Nøgletal!$N$329)+T64*Emissionsfaktorer!$G$13*Nøgletal!$N$329</f>
        <v>163.71986881149905</v>
      </c>
      <c r="CA64" s="231"/>
      <c r="CB64" s="231"/>
    </row>
    <row r="65" spans="1:80" x14ac:dyDescent="0.25">
      <c r="A65" s="231"/>
      <c r="B65" s="31"/>
      <c r="C65" s="295"/>
      <c r="D65" s="20">
        <f>AV65/IF(Nøgletal!N708&gt;0,Nøgletal!N708,1)*-1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$BT65/IF(Nøgletal!$N$720&gt;0,Nøgletal!$N$720,1)*-Nøgletal!$N711*Nøgletal!$N710</f>
        <v>0</v>
      </c>
      <c r="V65" s="20">
        <f>$BT65/IF(Nøgletal!$N$720&gt;0,Nøgletal!$N$720,1)*-Nøgletal!$N712*Nøgletal!$N710</f>
        <v>0</v>
      </c>
      <c r="W65" s="20">
        <f>$BT65/IF(Nøgletal!$N$720&gt;0,Nøgletal!$N$720,1)*-Nøgletal!$N713*Nøgletal!$N710</f>
        <v>0</v>
      </c>
      <c r="X65" s="20">
        <f>$BT65/IF(Nøgletal!$N$720&gt;0,Nøgletal!$N$720,1)*-Nøgletal!$N714*Nøgletal!$N710</f>
        <v>0</v>
      </c>
      <c r="Y65" s="20">
        <f>$BT65/IF(Nøgletal!$N$720&gt;0,Nøgletal!$N$720,1)*-Nøgletal!$N715*Nøgletal!$N710</f>
        <v>0</v>
      </c>
      <c r="Z65" s="20">
        <f>$BT65/IF(Nøgletal!$N$720&gt;0,Nøgletal!$N$720,1)*-Nøgletal!$N716*Nøgletal!$N710</f>
        <v>0</v>
      </c>
      <c r="AA65" s="20">
        <f>$BT65/IF(Nøgletal!$N$720&gt;0,Nøgletal!$N$720,1)*-Nøgletal!$N717*Nøgletal!$N710</f>
        <v>0</v>
      </c>
      <c r="AB65" s="20">
        <f>$BT65/IF(Nøgletal!$N$720&gt;0,Nøgletal!$N$720,1)*-Nøgletal!$N718*Nøgletal!$N710</f>
        <v>0</v>
      </c>
      <c r="AC65" s="20">
        <f>BT65/IF(Nøgletal!N720&gt;0,Nøgletal!N720,1)*-Nøgletal!N719</f>
        <v>0</v>
      </c>
      <c r="AD65" s="20"/>
      <c r="AE65" s="20"/>
      <c r="AF65" s="20"/>
      <c r="AG65" s="20"/>
      <c r="AH65" s="20"/>
      <c r="AI65" s="20"/>
      <c r="AJ65" s="105">
        <f>AV65/IF(Nøgletal!N708&gt;0,Nøgletal!N708,1)+BT65/IF(Nøgletal!N720&gt;0,Nøgletal!N720,1)*-1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Nøgletal!N701</f>
        <v>0</v>
      </c>
      <c r="AW65" s="20">
        <f>$AV65*Nøgletal!N702</f>
        <v>0</v>
      </c>
      <c r="AX65" s="20">
        <f>$AV65*Nøgletal!N703</f>
        <v>0</v>
      </c>
      <c r="AY65" s="20">
        <f>$AV65*Nøgletal!N704</f>
        <v>0</v>
      </c>
      <c r="AZ65" s="20">
        <f>$AV65*Nøgletal!N705</f>
        <v>0</v>
      </c>
      <c r="BA65" s="20">
        <f>$AV65*Nøgletal!N706</f>
        <v>0</v>
      </c>
      <c r="BB65" s="20">
        <f>$AV65*Nøgletal!N707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Nøgletal!N709</f>
        <v>0</v>
      </c>
      <c r="BU65" s="21"/>
      <c r="BV65" s="21"/>
      <c r="BW65" s="86"/>
      <c r="BX65" s="86"/>
      <c r="BY65" s="124">
        <f t="shared" si="54"/>
        <v>0</v>
      </c>
      <c r="BZ65" s="300"/>
      <c r="CA65" s="231"/>
      <c r="CB65" s="231" t="e">
        <f>#REF!*#REF!/1.25/#REF!*-1</f>
        <v>#REF!</v>
      </c>
    </row>
    <row r="66" spans="1:80" x14ac:dyDescent="0.25">
      <c r="A66" s="231"/>
      <c r="B66" s="31"/>
      <c r="C66" s="80"/>
      <c r="D66" s="80"/>
      <c r="E66" s="80"/>
      <c r="F66" s="80"/>
      <c r="G66" s="81">
        <f t="shared" si="29"/>
        <v>-1936.4120444242594</v>
      </c>
      <c r="H66" s="80">
        <f t="shared" ref="H66:M66" si="55">H68</f>
        <v>-20.9</v>
      </c>
      <c r="I66" s="80">
        <f t="shared" si="55"/>
        <v>-0.39999999999999997</v>
      </c>
      <c r="J66" s="80">
        <f t="shared" si="55"/>
        <v>-84</v>
      </c>
      <c r="K66" s="80">
        <f t="shared" si="55"/>
        <v>-954.87604442425959</v>
      </c>
      <c r="L66" s="80">
        <f t="shared" si="55"/>
        <v>-348.6</v>
      </c>
      <c r="M66" s="80">
        <f t="shared" si="55"/>
        <v>-527.63599999999985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-1272.4464872064143</v>
      </c>
      <c r="AD66" s="82">
        <f>-BS9</f>
        <v>-2041.3552529370004</v>
      </c>
      <c r="AE66" s="80"/>
      <c r="AF66" s="80"/>
      <c r="AG66" s="80"/>
      <c r="AH66" s="267">
        <f>-BW9</f>
        <v>-153.1884474</v>
      </c>
      <c r="AI66" s="80"/>
      <c r="AJ66" s="105">
        <f t="shared" ref="AJ66:AJ83" si="56">SUM(C66:G66,N66,T66,AC66:AG66)</f>
        <v>-5250.2137845676734</v>
      </c>
      <c r="AK66" s="13" t="s">
        <v>233</v>
      </c>
      <c r="AL66" s="13" t="s">
        <v>234</v>
      </c>
      <c r="AM66" s="99"/>
      <c r="AN66" s="37"/>
      <c r="AO66" s="38">
        <f t="shared" si="1"/>
        <v>4836.6864939164079</v>
      </c>
      <c r="AP66" s="37">
        <f t="shared" si="6"/>
        <v>0.9212361043531645</v>
      </c>
      <c r="AQ66" s="31"/>
      <c r="AR66" s="80"/>
      <c r="AS66" s="80"/>
      <c r="AT66" s="80"/>
      <c r="AU66" s="80"/>
      <c r="AV66" s="95">
        <f t="shared" si="7"/>
        <v>1936.4120444242594</v>
      </c>
      <c r="AW66" s="80">
        <f t="shared" ref="AW66:BB66" si="57">H66*-1</f>
        <v>20.9</v>
      </c>
      <c r="AX66" s="80">
        <f t="shared" si="57"/>
        <v>0.39999999999999997</v>
      </c>
      <c r="AY66" s="80">
        <f t="shared" si="57"/>
        <v>84</v>
      </c>
      <c r="AZ66" s="80">
        <f t="shared" si="57"/>
        <v>954.87604442425959</v>
      </c>
      <c r="BA66" s="80">
        <f t="shared" si="57"/>
        <v>348.6</v>
      </c>
      <c r="BB66" s="80">
        <f t="shared" si="57"/>
        <v>527.63599999999985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1171.159746824784</v>
      </c>
      <c r="BS66" s="80">
        <f>AD68*-1</f>
        <v>1575.9262552673642</v>
      </c>
      <c r="BT66" s="80"/>
      <c r="BU66" s="80"/>
      <c r="BV66" s="80"/>
      <c r="BW66" s="267">
        <f>-AH66</f>
        <v>153.1884474</v>
      </c>
      <c r="BX66" s="80"/>
      <c r="BY66" s="124">
        <f t="shared" si="54"/>
        <v>413.5272906512655</v>
      </c>
      <c r="BZ66" s="123"/>
      <c r="CA66" s="231"/>
      <c r="CB66" s="231"/>
    </row>
    <row r="67" spans="1:80" x14ac:dyDescent="0.25">
      <c r="A67" s="231"/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3.8007534029475218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3.8007534029475218</v>
      </c>
      <c r="BD67" s="11">
        <f>-1*O68</f>
        <v>0</v>
      </c>
      <c r="BE67" s="11">
        <f>-1*P68</f>
        <v>0</v>
      </c>
      <c r="BF67" s="11">
        <f>-1*Q68</f>
        <v>3.000753402947522</v>
      </c>
      <c r="BG67" s="11">
        <f>-1*R68</f>
        <v>0</v>
      </c>
      <c r="BH67" s="11">
        <f>-1*S68</f>
        <v>0.8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(C67*Emissionsfaktorer!$G$4+E67*Emissionsfaktorer!$G$3+F67*Emissionsfaktorer!$G$5+H67*Emissionsfaktorer!$G$7+I67*Emissionsfaktorer!$G$8+J67*Emissionsfaktorer!$G$9+K67*Emissionsfaktorer!$G$10+L67*Emissionsfaktorer!$G$11+M67*Emissionsfaktorer!$G$12)*-1</f>
        <v>0</v>
      </c>
      <c r="CA67" s="2"/>
      <c r="CB67" s="231"/>
    </row>
    <row r="68" spans="1:80" x14ac:dyDescent="0.25">
      <c r="A68" s="231"/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-392.6</v>
      </c>
      <c r="F68" s="267">
        <f t="shared" si="58"/>
        <v>0</v>
      </c>
      <c r="G68" s="267">
        <f t="shared" si="58"/>
        <v>-1936.4120444242599</v>
      </c>
      <c r="H68" s="267">
        <f t="shared" si="58"/>
        <v>-20.9</v>
      </c>
      <c r="I68" s="267">
        <f t="shared" si="58"/>
        <v>-0.39999999999999997</v>
      </c>
      <c r="J68" s="267">
        <f t="shared" si="58"/>
        <v>-84</v>
      </c>
      <c r="K68" s="267">
        <f t="shared" si="58"/>
        <v>-954.87604442425959</v>
      </c>
      <c r="L68" s="267">
        <f t="shared" si="58"/>
        <v>-348.6</v>
      </c>
      <c r="M68" s="267">
        <f t="shared" si="58"/>
        <v>-527.63599999999985</v>
      </c>
      <c r="N68" s="267">
        <f t="shared" si="58"/>
        <v>-3.8007534029475218</v>
      </c>
      <c r="O68" s="267">
        <f t="shared" si="58"/>
        <v>0</v>
      </c>
      <c r="P68" s="267">
        <f t="shared" si="58"/>
        <v>0</v>
      </c>
      <c r="Q68" s="267">
        <f t="shared" si="58"/>
        <v>-3.000753402947522</v>
      </c>
      <c r="R68" s="267">
        <f t="shared" si="58"/>
        <v>0</v>
      </c>
      <c r="S68" s="267">
        <f t="shared" si="58"/>
        <v>-0.8</v>
      </c>
      <c r="T68" s="267">
        <f t="shared" si="58"/>
        <v>-330.94504999999998</v>
      </c>
      <c r="U68" s="267">
        <f t="shared" si="58"/>
        <v>0</v>
      </c>
      <c r="V68" s="267">
        <f t="shared" si="58"/>
        <v>-80.945049999999995</v>
      </c>
      <c r="W68" s="267">
        <f t="shared" si="58"/>
        <v>-22</v>
      </c>
      <c r="X68" s="267">
        <f t="shared" si="58"/>
        <v>-153</v>
      </c>
      <c r="Y68" s="267">
        <f t="shared" si="58"/>
        <v>-75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-1171.159746824784</v>
      </c>
      <c r="AD68" s="267">
        <f t="shared" si="58"/>
        <v>-1575.9262552673642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-153.1884474</v>
      </c>
      <c r="AI68" s="267">
        <f>SUM(AI69:AI70,AI79:AI80,AI84)</f>
        <v>0</v>
      </c>
      <c r="AJ68" s="105">
        <f t="shared" si="56"/>
        <v>-5410.8438499193553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3852.4621529892374</v>
      </c>
      <c r="AP68" s="37">
        <f t="shared" si="6"/>
        <v>0.71198915730060397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3852.4621529892374</v>
      </c>
      <c r="BX68" s="267">
        <f t="shared" si="59"/>
        <v>0</v>
      </c>
      <c r="BY68" s="268">
        <f t="shared" si="59"/>
        <v>1558.3816969301176</v>
      </c>
      <c r="BZ68" s="268">
        <f t="shared" si="59"/>
        <v>164.45720528739517</v>
      </c>
      <c r="CA68" s="231"/>
      <c r="CB68" s="231"/>
    </row>
    <row r="69" spans="1:80" x14ac:dyDescent="0.25">
      <c r="A69" s="231"/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IF(-($BR$11+$BR$18+$BR$57)-($AC$70+AC79+AC80+AC84)/(1-Nøgletal!$N$294)-$AC$9&lt;0,-($BR$11+$BR$18+$BR$57)-($AC$70+AC79+AC80+AC84)/(1-Nøgletal!$N$294)-$AC$9,0)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AC69*Emissionsfaktorer!G6+AE69*Emissionsfaktorer!G14</f>
        <v>0</v>
      </c>
      <c r="CA69" s="231"/>
      <c r="CB69" s="231"/>
    </row>
    <row r="70" spans="1:80" x14ac:dyDescent="0.25">
      <c r="A70" s="231"/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-1799.5920444242597</v>
      </c>
      <c r="H70" s="79">
        <f t="shared" ref="H70:M70" si="62">SUM(H71:H78)</f>
        <v>-4.18</v>
      </c>
      <c r="I70" s="79">
        <f t="shared" si="62"/>
        <v>-0.39999999999999997</v>
      </c>
      <c r="J70" s="79">
        <f t="shared" si="62"/>
        <v>0</v>
      </c>
      <c r="K70" s="79">
        <f t="shared" si="62"/>
        <v>-918.77604442425957</v>
      </c>
      <c r="L70" s="79">
        <f t="shared" si="62"/>
        <v>-348.6</v>
      </c>
      <c r="M70" s="79">
        <f t="shared" si="62"/>
        <v>-527.63599999999985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-80.945049999999995</v>
      </c>
      <c r="U70" s="79">
        <f t="shared" ref="U70:AI70" si="63">SUM(U71:U78)</f>
        <v>0</v>
      </c>
      <c r="V70" s="79">
        <f t="shared" si="63"/>
        <v>-80.945049999999995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0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-1880.5370944242597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505.78464116000566</v>
      </c>
      <c r="AP70" s="37">
        <f t="shared" si="6"/>
        <v>0.26895754551167489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505.78464116000566</v>
      </c>
      <c r="BX70" s="21">
        <f t="shared" si="64"/>
        <v>0</v>
      </c>
      <c r="BY70" s="127">
        <f t="shared" si="64"/>
        <v>1374.7524532642535</v>
      </c>
      <c r="BZ70" s="127">
        <f t="shared" si="64"/>
        <v>131.90101328739519</v>
      </c>
      <c r="CA70" s="231"/>
      <c r="CB70" s="231"/>
    </row>
    <row r="71" spans="1:80" x14ac:dyDescent="0.25">
      <c r="A71" s="231"/>
      <c r="B71" s="31"/>
      <c r="C71" s="78"/>
      <c r="D71" s="78"/>
      <c r="E71" s="78">
        <f>BW71*Nøgletal!N635*-1/Nøgletal!N401</f>
        <v>0</v>
      </c>
      <c r="F71" s="78"/>
      <c r="G71" s="23">
        <f t="shared" si="29"/>
        <v>-889.44599999999991</v>
      </c>
      <c r="H71" s="78"/>
      <c r="I71" s="78"/>
      <c r="J71" s="78"/>
      <c r="K71" s="78">
        <f>AO71*Nøgletal!N287/(Nøgletal!N286+Nøgletal!N287+Nøgletal!N284)*Nøgletal!N642/Nøgletal!N402*-1</f>
        <v>-362.31000000000006</v>
      </c>
      <c r="L71" s="78"/>
      <c r="M71" s="78">
        <f>AO71*Nøgletal!N286/(Nøgletal!N286+Nøgletal!N287+Nøgletal!N284)*Nøgletal!N634/Nøgletal!N401*-1</f>
        <v>-527.13599999999985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-44.554000000000002</v>
      </c>
      <c r="U71" s="78">
        <f>IF(Nøgletal!N636=0,0,$AO$71*Nøgletal!N636/Nøgletal!$N$401*-1)</f>
        <v>0</v>
      </c>
      <c r="V71" s="78">
        <f>AO71*(Nøgletal!N286/(Nøgletal!N286+Nøgletal!N287+Nøgletal!N284)*Nøgletal!N637/Nøgletal!N401+Nøgletal!N287/(Nøgletal!N286+Nøgletal!N287+Nøgletal!N284)*Nøgletal!N646/Nøgletal!N402)*-1</f>
        <v>-44.554000000000002</v>
      </c>
      <c r="W71" s="78"/>
      <c r="X71" s="78"/>
      <c r="Y71" s="78"/>
      <c r="Z71" s="78"/>
      <c r="AA71" s="78"/>
      <c r="AB71" s="78">
        <f>IF(Nøgletal!N638=0,0,AO71*Nøgletal!N638/Nøgletal!N401*-1)</f>
        <v>0</v>
      </c>
      <c r="AC71" s="32">
        <f>AO71*Nøgletal!N284/(Nøgletal!N284+Nøgletal!N286+Nøgletal!N287)/(Nøgletal!N410*-1)</f>
        <v>0</v>
      </c>
      <c r="AD71" s="32"/>
      <c r="AE71" s="32">
        <f>AO71*Nøgletal!N286/(Nøgletal!N286+Nøgletal!N287+Nøgletal!N284)*Nøgletal!N639/Nøgletal!N401*-1+AO71*Nøgletal!N287/(Nøgletal!N286+Nøgletal!N287+Nøgletal!N284)*Nøgletal!N647/Nøgletal!N402*-1</f>
        <v>0</v>
      </c>
      <c r="AF71" s="32"/>
      <c r="AG71" s="32"/>
      <c r="AH71" s="32"/>
      <c r="AI71" s="32"/>
      <c r="AJ71" s="105">
        <f t="shared" si="56"/>
        <v>-933.99999999999989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206.3</v>
      </c>
      <c r="AP71" s="37">
        <f t="shared" si="6"/>
        <v>0.22087794432548183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Nøgletal!N$282*(Nøgletal!N286+Nøgletal!N287+Nøgletal!N284)</f>
        <v>206.3</v>
      </c>
      <c r="BX71" s="78"/>
      <c r="BY71" s="127">
        <f t="shared" ref="BY71:BY79" si="67">(AJ71+BW71)*-1</f>
        <v>727.69999999999982</v>
      </c>
      <c r="BZ71" s="123">
        <f>(C71*Emissionsfaktorer!$G$4+E71*Emissionsfaktorer!$G$3+F71*Emissionsfaktorer!$G$5+H71*Emissionsfaktorer!$G$7+I71*Emissionsfaktorer!$G$8+J71*Emissionsfaktorer!$G$9+K71*Emissionsfaktorer!$G$10+L71*Emissionsfaktorer!$G$11+M71*Emissionsfaktorer!$G$12)*-1</f>
        <v>65.291867999999994</v>
      </c>
      <c r="CA71" s="231"/>
      <c r="CB71" s="231"/>
    </row>
    <row r="72" spans="1:80" x14ac:dyDescent="0.25">
      <c r="A72" s="231"/>
      <c r="B72" s="31"/>
      <c r="C72" s="78"/>
      <c r="D72" s="78"/>
      <c r="E72" s="149"/>
      <c r="F72" s="78"/>
      <c r="G72" s="23">
        <f>SUM(H72:M72)</f>
        <v>-4.18</v>
      </c>
      <c r="H72" s="78">
        <f>AO72/Nøgletal!N411*-1</f>
        <v>-4.18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-4.18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1.5884</v>
      </c>
      <c r="AP72" s="37">
        <f>IF(AJ72=0,0,AO72/AJ72*-1)</f>
        <v>0.38000000000000006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Nøgletal!N$282*Nøgletal!N285</f>
        <v>1.5884</v>
      </c>
      <c r="BX72" s="78"/>
      <c r="BY72" s="127">
        <f t="shared" si="67"/>
        <v>2.5915999999999997</v>
      </c>
      <c r="BZ72" s="123">
        <f>(C72*Emissionsfaktorer!$G$4+E72*Emissionsfaktorer!$G$3+F72*Emissionsfaktorer!$G$5+H72*Emissionsfaktorer!$G$7+I72*Emissionsfaktorer!$G$8+J72*Emissionsfaktorer!$G$9+K72*Emissionsfaktorer!$G$10+L72*Emissionsfaktorer!$G$11+M72*Emissionsfaktorer!$G$12)*-1</f>
        <v>0.26375799999999999</v>
      </c>
      <c r="CA72" s="231"/>
      <c r="CB72" s="231"/>
    </row>
    <row r="73" spans="1:80" x14ac:dyDescent="0.25">
      <c r="A73" s="231"/>
      <c r="B73" s="31"/>
      <c r="C73" s="78"/>
      <c r="D73" s="78"/>
      <c r="E73" s="78">
        <f>AO73*Nøgletal!N654/IF(Nøgletal!$N$403&gt;0,Nøgletal!N403,1)*-1</f>
        <v>0</v>
      </c>
      <c r="F73" s="78"/>
      <c r="G73" s="23">
        <f t="shared" si="29"/>
        <v>-151.91008000000002</v>
      </c>
      <c r="H73" s="78"/>
      <c r="I73" s="78"/>
      <c r="J73" s="78"/>
      <c r="K73" s="78">
        <f>$AO$73*Nøgletal!N650/IF(Nøgletal!N403&gt;0,Nøgletal!N403,1)*-1</f>
        <v>-151.91008000000002</v>
      </c>
      <c r="L73" s="78"/>
      <c r="M73" s="78">
        <f>AO73*Nøgletal!N651/IF(Nøgletal!N403&gt;0,Nøgletal!N403,1)*-1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-11.609919999999999</v>
      </c>
      <c r="U73" s="78">
        <f>AO73*Nøgletal!N653/IF(Nøgletal!N403&gt;0,Nøgletal!N403,1)*-1</f>
        <v>0</v>
      </c>
      <c r="V73" s="78">
        <f>AO73*Nøgletal!N655/IF(Nøgletal!N403&gt;0,Nøgletal!N403,1)*-1</f>
        <v>-11.609919999999999</v>
      </c>
      <c r="W73" s="78"/>
      <c r="X73" s="78"/>
      <c r="Y73" s="78"/>
      <c r="Z73" s="78"/>
      <c r="AA73" s="78"/>
      <c r="AB73" s="78">
        <f>AO73*Nøgletal!N652/IF(Nøgletal!N403&gt;0,Nøgletal!N403,1)*-1</f>
        <v>0</v>
      </c>
      <c r="AC73" s="32">
        <f>AO73*Nøgletal!N657/IF(Nøgletal!N410&gt;0,Nøgletal!N410,1)*-1</f>
        <v>0</v>
      </c>
      <c r="AD73" s="32"/>
      <c r="AE73" s="32">
        <f>AO73*Nøgletal!N656/IF(Nøgletal!N403&gt;0,Nøgletal!N403,1)*-1</f>
        <v>0</v>
      </c>
      <c r="AF73" s="32"/>
      <c r="AG73" s="32"/>
      <c r="AH73" s="32"/>
      <c r="AI73" s="32"/>
      <c r="AJ73" s="105">
        <f t="shared" si="56"/>
        <v>-163.52000000000001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40.880000000000003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Nøgletal!N$282*Nøgletal!N288</f>
        <v>40.880000000000003</v>
      </c>
      <c r="BX73" s="78"/>
      <c r="BY73" s="127">
        <f t="shared" si="67"/>
        <v>122.64000000000001</v>
      </c>
      <c r="BZ73" s="123">
        <f>(C73*Emissionsfaktorer!$G$4+E73*Emissionsfaktorer!$G$3+F73*Emissionsfaktorer!$G$5+H73*Emissionsfaktorer!$G$7+I73*Emissionsfaktorer!$G$8+J73*Emissionsfaktorer!$G$9+K73*Emissionsfaktorer!$G$10+L73*Emissionsfaktorer!$G$11+M73*Emissionsfaktorer!$G$12)*-1</f>
        <v>11.241345920000001</v>
      </c>
      <c r="CA73" s="231"/>
      <c r="CB73" s="231"/>
    </row>
    <row r="74" spans="1:80" x14ac:dyDescent="0.25">
      <c r="A74" s="231"/>
      <c r="B74" s="31"/>
      <c r="C74" s="78"/>
      <c r="D74" s="78"/>
      <c r="E74" s="78">
        <f>AO74*Nøgletal!N662/Nøgletal!N404*-1</f>
        <v>0</v>
      </c>
      <c r="F74" s="78"/>
      <c r="G74" s="23">
        <f t="shared" si="29"/>
        <v>-26.968870000000003</v>
      </c>
      <c r="H74" s="78"/>
      <c r="I74" s="78"/>
      <c r="J74" s="78"/>
      <c r="K74" s="78">
        <f>AO74*Nøgletal!N659/Nøgletal!N404*-1</f>
        <v>-26.968870000000003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-2.0611299999999999</v>
      </c>
      <c r="U74" s="78">
        <f>AO75*Nøgletal!N661/Nøgletal!N404*-1</f>
        <v>0</v>
      </c>
      <c r="V74" s="78">
        <f>AO74*Nøgletal!N663/Nøgletal!N404*-1</f>
        <v>-2.0611299999999999</v>
      </c>
      <c r="W74" s="78"/>
      <c r="X74" s="78"/>
      <c r="Y74" s="78"/>
      <c r="Z74" s="78"/>
      <c r="AA74" s="78"/>
      <c r="AB74" s="78">
        <f>AO74*Nøgletal!N660/Nøgletal!N404*-1</f>
        <v>0</v>
      </c>
      <c r="AC74" s="269">
        <f>AO74*Nøgletal!N665/Nøgletal!N410*-1</f>
        <v>0</v>
      </c>
      <c r="AD74" s="32"/>
      <c r="AE74" s="32">
        <f>AO74*Nøgletal!N664/Nøgletal!N404*-1</f>
        <v>0</v>
      </c>
      <c r="AF74" s="32"/>
      <c r="AG74" s="32"/>
      <c r="AH74" s="32"/>
      <c r="AI74" s="32"/>
      <c r="AJ74" s="105">
        <f t="shared" si="56"/>
        <v>-29.03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9.5799000000000003</v>
      </c>
      <c r="AP74" s="37">
        <f t="shared" ref="AP74:AP89" si="68">IF(AJ74=0,0,AO74/AJ74*-1)</f>
        <v>0.33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Nøgletal!N$282*Nøgletal!N289</f>
        <v>9.5799000000000003</v>
      </c>
      <c r="BX74" s="78"/>
      <c r="BY74" s="127">
        <f t="shared" si="67"/>
        <v>19.450099999999999</v>
      </c>
      <c r="BZ74" s="123">
        <f>(C74*Emissionsfaktorer!$G$4+E74*Emissionsfaktorer!$G$3+F74*Emissionsfaktorer!$G$5+H74*Emissionsfaktorer!$G$7+I74*Emissionsfaktorer!$G$8+J74*Emissionsfaktorer!$G$9+K74*Emissionsfaktorer!$G$10+L74*Emissionsfaktorer!$G$11+M74*Emissionsfaktorer!$G$12)*-1</f>
        <v>1.99569638</v>
      </c>
      <c r="CA74" s="231"/>
      <c r="CB74" s="231"/>
    </row>
    <row r="75" spans="1:80" x14ac:dyDescent="0.25">
      <c r="A75" s="231"/>
      <c r="B75" s="31"/>
      <c r="C75" s="78"/>
      <c r="D75" s="78"/>
      <c r="E75" s="78">
        <f>AO75*Nøgletal!N670/Nøgletal!N405*-1</f>
        <v>0</v>
      </c>
      <c r="F75" s="78"/>
      <c r="G75" s="23">
        <f t="shared" si="29"/>
        <v>-297.27999999999997</v>
      </c>
      <c r="H75" s="78"/>
      <c r="I75" s="78"/>
      <c r="J75" s="78"/>
      <c r="K75" s="78">
        <f>AO75*Nøgletal!N667/Nøgletal!N405*-1</f>
        <v>-297.27999999999997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-22.719999999999995</v>
      </c>
      <c r="U75" s="78">
        <f>AO76*Nøgletal!N669/Nøgletal!N405*-1</f>
        <v>0</v>
      </c>
      <c r="V75" s="78">
        <f>AO75*Nøgletal!N671/Nøgletal!N405*-1</f>
        <v>-22.719999999999995</v>
      </c>
      <c r="W75" s="78"/>
      <c r="X75" s="78"/>
      <c r="Y75" s="78"/>
      <c r="Z75" s="78"/>
      <c r="AA75" s="78"/>
      <c r="AB75" s="78">
        <f>AO75*Nøgletal!N668/Nøgletal!N405*-1</f>
        <v>0</v>
      </c>
      <c r="AC75" s="269">
        <f>AO75*Nøgletal!N673/Nøgletal!N410*-1</f>
        <v>0</v>
      </c>
      <c r="AD75" s="32"/>
      <c r="AE75" s="32">
        <f>AO75*Nøgletal!N672/Nøgletal!N405*-1</f>
        <v>0</v>
      </c>
      <c r="AF75" s="32"/>
      <c r="AG75" s="32"/>
      <c r="AH75" s="32"/>
      <c r="AI75" s="32"/>
      <c r="AJ75" s="105">
        <f t="shared" si="56"/>
        <v>-319.99999999999994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105.6</v>
      </c>
      <c r="AP75" s="37">
        <f t="shared" si="68"/>
        <v>0.33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Nøgletal!N$282*Nøgletal!N290</f>
        <v>105.6</v>
      </c>
      <c r="BX75" s="78"/>
      <c r="BY75" s="127">
        <f t="shared" si="67"/>
        <v>214.39999999999995</v>
      </c>
      <c r="BZ75" s="123">
        <f>(C75*Emissionsfaktorer!$G$4+E75*Emissionsfaktorer!$G$3+F75*Emissionsfaktorer!$G$5+H75*Emissionsfaktorer!$G$7+I75*Emissionsfaktorer!$G$8+J75*Emissionsfaktorer!$G$9+K75*Emissionsfaktorer!$G$10+L75*Emissionsfaktorer!$G$11+M75*Emissionsfaktorer!$G$12)*-1</f>
        <v>21.998719999999995</v>
      </c>
      <c r="CA75" s="231"/>
      <c r="CB75" s="231"/>
    </row>
    <row r="76" spans="1:80" x14ac:dyDescent="0.25">
      <c r="A76" s="231"/>
      <c r="B76" s="31"/>
      <c r="C76" s="78"/>
      <c r="D76" s="78"/>
      <c r="E76" s="78"/>
      <c r="F76" s="78"/>
      <c r="G76" s="23">
        <f t="shared" si="29"/>
        <v>-30.107094424259472</v>
      </c>
      <c r="H76" s="78"/>
      <c r="I76" s="78"/>
      <c r="J76" s="78"/>
      <c r="K76" s="78">
        <f>AO76*Nøgletal!N675/Nøgletal!N407*-1</f>
        <v>-30.107094424259472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AO76*Nøgletal!N676/Nøgletal!N407*-1</f>
        <v>0</v>
      </c>
      <c r="W76" s="78"/>
      <c r="X76" s="78"/>
      <c r="Y76" s="78"/>
      <c r="Z76" s="78"/>
      <c r="AA76" s="78"/>
      <c r="AB76" s="78"/>
      <c r="AC76" s="269">
        <f>AO76*Nøgletal!N678/Nøgletal!N410*-1</f>
        <v>0</v>
      </c>
      <c r="AD76" s="32"/>
      <c r="AE76" s="32">
        <f>AO76*Nøgletal!N677/Nøgletal!N407*-1</f>
        <v>0</v>
      </c>
      <c r="AF76" s="32"/>
      <c r="AG76" s="32"/>
      <c r="AH76" s="32"/>
      <c r="AI76" s="32"/>
      <c r="AJ76" s="105">
        <f t="shared" si="56"/>
        <v>-30.107094424259472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9.9353411600056258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Nøgletal!N$282*Nøgletal!N291</f>
        <v>9.9353411600056258</v>
      </c>
      <c r="BX76" s="78"/>
      <c r="BY76" s="127">
        <f t="shared" si="67"/>
        <v>20.171753264253844</v>
      </c>
      <c r="BZ76" s="123">
        <f>(C76*Emissionsfaktorer!$G$4+E76*Emissionsfaktorer!$G$3+F76*Emissionsfaktorer!$G$5+H76*Emissionsfaktorer!$G$7+I76*Emissionsfaktorer!$G$8+J76*Emissionsfaktorer!$G$9+K76*Emissionsfaktorer!$G$10+L76*Emissionsfaktorer!$G$11+M76*Emissionsfaktorer!$G$12)*-1</f>
        <v>2.227924987395201</v>
      </c>
      <c r="CA76" s="231"/>
      <c r="CB76" s="231"/>
    </row>
    <row r="77" spans="1:80" x14ac:dyDescent="0.25">
      <c r="A77" s="231"/>
      <c r="B77" s="31"/>
      <c r="C77" s="78"/>
      <c r="D77" s="78"/>
      <c r="E77" s="78"/>
      <c r="F77" s="78"/>
      <c r="G77" s="23">
        <f t="shared" si="29"/>
        <v>-349.1</v>
      </c>
      <c r="H77" s="78"/>
      <c r="I77" s="78"/>
      <c r="J77" s="78"/>
      <c r="K77" s="78"/>
      <c r="L77" s="78">
        <f>AO77*Nøgletal!N680/Nøgletal!N408*-1</f>
        <v>-348.6</v>
      </c>
      <c r="M77" s="78">
        <f>AO77*Nøgletal!N681/Nøgletal!N408*-1</f>
        <v>-0.5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AO77*Nøgletal!N682/Nøgletal!N407*-1</f>
        <v>0</v>
      </c>
      <c r="W77" s="78"/>
      <c r="X77" s="78"/>
      <c r="Y77" s="78"/>
      <c r="Z77" s="78"/>
      <c r="AA77" s="78"/>
      <c r="AB77" s="78"/>
      <c r="AC77" s="269">
        <f>AO77*Nøgletal!N684/Nøgletal!N410</f>
        <v>0</v>
      </c>
      <c r="AD77" s="32"/>
      <c r="AE77" s="32">
        <f>AO77*Nøgletal!N683/Nøgletal!N408*-1</f>
        <v>0</v>
      </c>
      <c r="AF77" s="32"/>
      <c r="AG77" s="32"/>
      <c r="AH77" s="32"/>
      <c r="AI77" s="32"/>
      <c r="AJ77" s="105">
        <f t="shared" si="56"/>
        <v>-349.1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115.20300000000002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Nøgletal!N$282*Nøgletal!N292</f>
        <v>115.20300000000002</v>
      </c>
      <c r="BX77" s="78"/>
      <c r="BY77" s="127">
        <f t="shared" si="67"/>
        <v>233.89699999999999</v>
      </c>
      <c r="BZ77" s="123">
        <f>(C77*Emissionsfaktorer!$G$4+E77*Emissionsfaktorer!$G$3+F77*Emissionsfaktorer!$G$5+H77*Emissionsfaktorer!$G$7+I77*Emissionsfaktorer!$G$8+J77*Emissionsfaktorer!$G$9+K77*Emissionsfaktorer!$G$10+L77*Emissionsfaktorer!$G$11+M77*Emissionsfaktorer!$G$12)*-1</f>
        <v>25.1357</v>
      </c>
      <c r="CA77" s="231"/>
      <c r="CB77" s="231"/>
    </row>
    <row r="78" spans="1:80" x14ac:dyDescent="0.25">
      <c r="A78" s="231"/>
      <c r="B78" s="31"/>
      <c r="C78" s="78"/>
      <c r="D78" s="78"/>
      <c r="E78" s="78"/>
      <c r="F78" s="78"/>
      <c r="G78" s="23">
        <f t="shared" si="29"/>
        <v>-50.6</v>
      </c>
      <c r="H78" s="78"/>
      <c r="I78" s="78">
        <f>-AO78/Nøgletal!N409*Nøgletal!N686</f>
        <v>-0.39999999999999997</v>
      </c>
      <c r="J78" s="78"/>
      <c r="K78" s="78">
        <f>AO78*Nøgletal!N687/Nøgletal!N409*-1</f>
        <v>-50.2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AO78*Nøgletal!N688/Nøgletal!N409*-1</f>
        <v>0</v>
      </c>
      <c r="W78" s="78"/>
      <c r="X78" s="78"/>
      <c r="Y78" s="78"/>
      <c r="Z78" s="78"/>
      <c r="AA78" s="78"/>
      <c r="AB78" s="78"/>
      <c r="AC78" s="269">
        <f>AO78*Nøgletal!N690/Nøgletal!N410*-1</f>
        <v>0</v>
      </c>
      <c r="AD78" s="32"/>
      <c r="AE78" s="32">
        <f>AO78*Nøgletal!N689/Nøgletal!N409*-1</f>
        <v>0</v>
      </c>
      <c r="AF78" s="32"/>
      <c r="AG78" s="32"/>
      <c r="AH78" s="32"/>
      <c r="AI78" s="32"/>
      <c r="AJ78" s="105">
        <f t="shared" si="56"/>
        <v>-50.6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16.698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Nøgletal!N$282*Nøgletal!N293</f>
        <v>16.698</v>
      </c>
      <c r="BX78" s="78"/>
      <c r="BY78" s="127">
        <f t="shared" si="67"/>
        <v>33.902000000000001</v>
      </c>
      <c r="BZ78" s="123">
        <f>(C78*Emissionsfaktorer!$G$4+E78*Emissionsfaktorer!$G$3+F78*Emissionsfaktorer!$G$5+H78*Emissionsfaktorer!$G$7+I78*Emissionsfaktorer!$G$8+J78*Emissionsfaktorer!$G$9+K78*Emissionsfaktorer!$G$10+L78*Emissionsfaktorer!$G$11+M78*Emissionsfaktorer!$G$12)*-1</f>
        <v>3.746</v>
      </c>
      <c r="CA78" s="231"/>
      <c r="CB78" s="231"/>
    </row>
    <row r="79" spans="1:80" x14ac:dyDescent="0.25">
      <c r="A79" s="231"/>
      <c r="B79" s="31"/>
      <c r="C79" s="21"/>
      <c r="D79" s="21"/>
      <c r="E79" s="21">
        <f>Nøgletal!N37*Nøgletal!N38*Nøgletal!N43/Nøgletal!O391*-1</f>
        <v>-0.6</v>
      </c>
      <c r="F79" s="21"/>
      <c r="G79" s="20">
        <f t="shared" si="29"/>
        <v>-78.180000000000007</v>
      </c>
      <c r="H79" s="21">
        <f>Nøgletal!N34/Nøgletal!O389*-1</f>
        <v>-4.18</v>
      </c>
      <c r="I79" s="21"/>
      <c r="J79" s="21">
        <f>Nøgletal!N37*Nøgletal!N38*Nøgletal!N42/Nøgletal!O390*-1</f>
        <v>-74</v>
      </c>
      <c r="K79" s="21"/>
      <c r="L79" s="21"/>
      <c r="M79" s="21"/>
      <c r="N79" s="20">
        <f t="shared" si="32"/>
        <v>-3.8007534029475218</v>
      </c>
      <c r="O79" s="21"/>
      <c r="P79" s="21"/>
      <c r="Q79" s="21">
        <f>Nøgletal!N37*Nøgletal!N38*Nøgletal!N47/Nøgletal!O395*-1</f>
        <v>-3.000753402947522</v>
      </c>
      <c r="R79" s="21"/>
      <c r="S79" s="21">
        <f>Nøgletal!N37*Nøgletal!N38*Nøgletal!N41*(1-1/Nøgletal!O388)*-1</f>
        <v>-0.8</v>
      </c>
      <c r="T79" s="20">
        <f t="shared" si="30"/>
        <v>-250</v>
      </c>
      <c r="U79" s="21"/>
      <c r="V79" s="21"/>
      <c r="W79" s="21">
        <f>Nøgletal!N37*Nøgletal!N38*Nøgletal!N46/Nøgletal!O394*-1</f>
        <v>-22</v>
      </c>
      <c r="X79" s="21">
        <f>Nøgletal!N37*Nøgletal!N38*Nøgletal!N45/Nøgletal!O393*-1</f>
        <v>-153</v>
      </c>
      <c r="Y79" s="21">
        <f>Nøgletal!N37*Nøgletal!N38*Nøgletal!N44/Nøgletal!O392*-1</f>
        <v>-75</v>
      </c>
      <c r="Z79" s="21"/>
      <c r="AA79" s="21"/>
      <c r="AB79" s="21"/>
      <c r="AC79" s="79">
        <f>-(Nøgletal!N31/Nøgletal!N$385+Nøgletal!N32/Nøgletal!N$386+Nøgletal!N33/Nøgletal!N$387+Nøgletal!N30/Nøgletal!N382+Nøgletal!N37*Nøgletal!N38*Nøgletal!N48/Nøgletal!N384+Nøgletal!N37*Nøgletal!N38*Nøgletal!N49/Nøgletal!N383+Nøgletal!N37*Nøgletal!N38*Nøgletal!N41/Nøgletal!O388)</f>
        <v>-269.63214497920382</v>
      </c>
      <c r="AD79" s="21">
        <f>Nøgletal!N37*Nøgletal!N39*-1</f>
        <v>-1013.8826257664161</v>
      </c>
      <c r="AE79" s="21"/>
      <c r="AF79" s="21"/>
      <c r="AG79" s="21"/>
      <c r="AH79" s="21"/>
      <c r="AI79" s="21"/>
      <c r="AJ79" s="105">
        <f t="shared" si="56"/>
        <v>-1616.0955241485674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1481.4817791693636</v>
      </c>
      <c r="AP79" s="37">
        <f t="shared" si="68"/>
        <v>0.91670433896528214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Nøgletal!N28</f>
        <v>1481.4817791693636</v>
      </c>
      <c r="BX79" s="79"/>
      <c r="BY79" s="127">
        <f t="shared" si="67"/>
        <v>134.61374497920383</v>
      </c>
      <c r="BZ79" s="123">
        <f>(C79*Emissionsfaktorer!$G$4+E79*Emissionsfaktorer!$G$3+F79*Emissionsfaktorer!$G$5+H79*Emissionsfaktorer!$G$7+I79*Emissionsfaktorer!$G$8+J79*Emissionsfaktorer!$G$9+K79*Emissionsfaktorer!$G$10+L79*Emissionsfaktorer!$G$11+M79*Emissionsfaktorer!$G$12)*-1</f>
        <v>5.7743180000000001</v>
      </c>
      <c r="CA79" s="231"/>
      <c r="CB79" s="231"/>
    </row>
    <row r="80" spans="1:80" x14ac:dyDescent="0.25">
      <c r="A80" s="231"/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-419.24313725490197</v>
      </c>
      <c r="AD80" s="21">
        <f>SUM(AD81:AD83)</f>
        <v>-469.15686720247203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-888.40000445737405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816.95686720247204</v>
      </c>
      <c r="AP80" s="37">
        <f t="shared" si="68"/>
        <v>0.9195822412241671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816.95686720247204</v>
      </c>
      <c r="BX80" s="79"/>
      <c r="BY80" s="230">
        <f>SUM(BY81:BY83)</f>
        <v>71.443137254901927</v>
      </c>
      <c r="BZ80" s="123">
        <f>(C80*Emissionsfaktorer!$G$4+E80*Emissionsfaktorer!$G$3+F80*Emissionsfaktorer!$G$5+H80*Emissionsfaktorer!$G$7+I80*Emissionsfaktorer!$G$8+J80*Emissionsfaktorer!$G$9+K80*Emissionsfaktorer!$G$10+L80*Emissionsfaktorer!$G$11+M80*Emissionsfaktorer!$G$12)*-1</f>
        <v>0</v>
      </c>
      <c r="CA80" s="231"/>
      <c r="CB80" s="231"/>
    </row>
    <row r="81" spans="1:80" x14ac:dyDescent="0.25">
      <c r="A81" s="231"/>
      <c r="B81" s="31"/>
      <c r="C81" s="32"/>
      <c r="D81" s="32"/>
      <c r="E81" s="32">
        <f>Nøgletal!N65*Nøgletal!N66*Nøgletal!N71/Nøgletal!O391*-1</f>
        <v>0</v>
      </c>
      <c r="F81" s="32"/>
      <c r="G81" s="23">
        <f t="shared" si="29"/>
        <v>0</v>
      </c>
      <c r="H81" s="32">
        <f>Nøgletal!N62/Nøgletal!O389*-1</f>
        <v>0</v>
      </c>
      <c r="I81" s="32"/>
      <c r="J81" s="32">
        <f>Nøgletal!N65*Nøgletal!N66*Nøgletal!N70/Nøgletal!O390*-1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Nøgletal!N65*Nøgletal!N66*Nøgletal!N75/Nøgletal!O395*-1</f>
        <v>0</v>
      </c>
      <c r="R81" s="32"/>
      <c r="S81" s="32">
        <f>Nøgletal!N65*Nøgletal!N66*Nøgletal!N69*(1-1/Nøgletal!O388)*-1</f>
        <v>0</v>
      </c>
      <c r="T81" s="23">
        <f t="shared" si="30"/>
        <v>0</v>
      </c>
      <c r="U81" s="32"/>
      <c r="V81" s="32"/>
      <c r="W81" s="32">
        <f>Nøgletal!N65*Nøgletal!N66*Nøgletal!N74/Nøgletal!O394*-1</f>
        <v>0</v>
      </c>
      <c r="X81" s="32">
        <f>Nøgletal!N65*Nøgletal!N66*Nøgletal!N73/Nøgletal!O393*-1</f>
        <v>0</v>
      </c>
      <c r="Y81" s="32">
        <f>Nøgletal!N65*Nøgletal!N66*Nøgletal!N72/Nøgletal!O392*-1</f>
        <v>0</v>
      </c>
      <c r="Z81" s="32"/>
      <c r="AA81" s="32"/>
      <c r="AB81" s="32"/>
      <c r="AC81" s="78">
        <f>-(Nøgletal!N59/Nøgletal!N$385+Nøgletal!N60/Nøgletal!N$386+Nøgletal!N61/Nøgletal!N$387+Nøgletal!N65*Nøgletal!N66*Nøgletal!N76/Nøgletal!N384+Nøgletal!N65*Nøgletal!N66*Nøgletal!N69/Nøgletal!O388+Nøgletal!N77*Nøgletal!N65*Nøgletal!N66/Nøgletal!N383)</f>
        <v>-254.56470588235294</v>
      </c>
      <c r="AD81" s="32">
        <f>Nøgletal!N65*Nøgletal!N67*-1</f>
        <v>-154.286486529672</v>
      </c>
      <c r="AE81" s="32"/>
      <c r="AF81" s="32"/>
      <c r="AG81" s="32"/>
      <c r="AH81" s="32"/>
      <c r="AI81" s="32"/>
      <c r="AJ81" s="105">
        <f t="shared" si="56"/>
        <v>-408.85119241202494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346.58648652967202</v>
      </c>
      <c r="AP81" s="37">
        <f t="shared" si="68"/>
        <v>0.84770814653854576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Nøgletal!N57</f>
        <v>346.58648652967202</v>
      </c>
      <c r="BX81" s="78"/>
      <c r="BY81" s="127">
        <f>(AJ81+BW81)*-1</f>
        <v>62.264705882352928</v>
      </c>
      <c r="BZ81" s="123">
        <f>(C81*Emissionsfaktorer!$G$4+E81*Emissionsfaktorer!$G$3+F81*Emissionsfaktorer!$G$5+H81*Emissionsfaktorer!$G$7+I81*Emissionsfaktorer!$G$8+J81*Emissionsfaktorer!$G$9+K81*Emissionsfaktorer!$G$10+L81*Emissionsfaktorer!$G$11+M81*Emissionsfaktorer!$G$12)*-1</f>
        <v>0</v>
      </c>
      <c r="CA81" s="231"/>
      <c r="CB81" s="231"/>
    </row>
    <row r="82" spans="1:80" x14ac:dyDescent="0.25">
      <c r="A82" s="231"/>
      <c r="B82" s="31"/>
      <c r="C82" s="32"/>
      <c r="D82" s="32"/>
      <c r="E82" s="32">
        <f>Nøgletal!N93*Nøgletal!N94*Nøgletal!N99/Nøgletal!O391*-1</f>
        <v>0</v>
      </c>
      <c r="F82" s="32"/>
      <c r="G82" s="23">
        <f t="shared" si="29"/>
        <v>0</v>
      </c>
      <c r="H82" s="32">
        <f>Nøgletal!N90/Nøgletal!O389*-1</f>
        <v>0</v>
      </c>
      <c r="I82" s="32"/>
      <c r="J82" s="32">
        <f>Nøgletal!N93*Nøgletal!N94*Nøgletal!N98/Nøgletal!O390*-1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Nøgletal!N93*Nøgletal!N94*Nøgletal!N103/Nøgletal!O395*-1</f>
        <v>0</v>
      </c>
      <c r="R82" s="32"/>
      <c r="S82" s="32">
        <f>Nøgletal!N93*Nøgletal!N94*Nøgletal!N97*(1-1/Nøgletal!O388)*-1</f>
        <v>0</v>
      </c>
      <c r="T82" s="23">
        <f t="shared" si="30"/>
        <v>0</v>
      </c>
      <c r="U82" s="32"/>
      <c r="V82" s="32"/>
      <c r="W82" s="32">
        <f>Nøgletal!N93*Nøgletal!N94*Nøgletal!N102/Nøgletal!O394*-1</f>
        <v>0</v>
      </c>
      <c r="X82" s="32">
        <f>Nøgletal!N93*Nøgletal!N94*Nøgletal!N101/Nøgletal!O393*-1</f>
        <v>0</v>
      </c>
      <c r="Y82" s="32">
        <f>Nøgletal!N93*Nøgletal!N94*Nøgletal!N100/Nøgletal!O392*-1</f>
        <v>0</v>
      </c>
      <c r="Z82" s="32"/>
      <c r="AA82" s="32"/>
      <c r="AB82" s="32"/>
      <c r="AC82" s="78">
        <f>-(Nøgletal!N87/Nøgletal!N$385+Nøgletal!N88/Nøgletal!N$386+Nøgletal!N89/Nøgletal!N$387+Nøgletal!N93*Nøgletal!N94*(Nøgletal!N97/Nøgletal!O388+Nøgletal!N104/Nøgletal!N384+Nøgletal!N105/Nøgletal!N383))</f>
        <v>-85.568627450980387</v>
      </c>
      <c r="AD82" s="32">
        <f>Nøgletal!N93*Nøgletal!N95*-1</f>
        <v>-206.24009934068403</v>
      </c>
      <c r="AE82" s="32"/>
      <c r="AF82" s="32"/>
      <c r="AG82" s="32"/>
      <c r="AH82" s="32"/>
      <c r="AI82" s="32"/>
      <c r="AJ82" s="105">
        <f t="shared" si="56"/>
        <v>-291.80872679166441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287.04009934068404</v>
      </c>
      <c r="AP82" s="37">
        <f t="shared" si="68"/>
        <v>0.983658379571407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Nøgletal!N85</f>
        <v>287.04009934068404</v>
      </c>
      <c r="BX82" s="78"/>
      <c r="BY82" s="127">
        <f>(AJ82+BW82)*-1</f>
        <v>4.7686274509803752</v>
      </c>
      <c r="BZ82" s="123">
        <f>(C82*Emissionsfaktorer!$G$4+E82*Emissionsfaktorer!$G$3+F82*Emissionsfaktorer!$G$5+H82*Emissionsfaktorer!$G$7+I82*Emissionsfaktorer!$G$8+J82*Emissionsfaktorer!$G$9+K82*Emissionsfaktorer!$G$10+L82*Emissionsfaktorer!$G$11+M82*Emissionsfaktorer!$G$12)*-1</f>
        <v>0</v>
      </c>
      <c r="CA82" s="231"/>
      <c r="CB82" s="231"/>
    </row>
    <row r="83" spans="1:80" x14ac:dyDescent="0.25">
      <c r="A83" s="231"/>
      <c r="B83" s="31"/>
      <c r="C83" s="32"/>
      <c r="D83" s="32"/>
      <c r="E83" s="32">
        <f>Nøgletal!N121*Nøgletal!N122*Nøgletal!N127/Nøgletal!O391*-1</f>
        <v>0</v>
      </c>
      <c r="F83" s="32"/>
      <c r="G83" s="23">
        <f t="shared" si="29"/>
        <v>0</v>
      </c>
      <c r="H83" s="32">
        <f>Nøgletal!N118/Nøgletal!O389*-1</f>
        <v>0</v>
      </c>
      <c r="I83" s="32"/>
      <c r="J83" s="32">
        <f>Nøgletal!N121*Nøgletal!N122*Nøgletal!N126/Nøgletal!O390*-1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Nøgletal!N121*Nøgletal!N122*Nøgletal!N131/Nøgletal!O395*-1</f>
        <v>0</v>
      </c>
      <c r="R83" s="32"/>
      <c r="S83" s="32">
        <f>Nøgletal!N121*Nøgletal!N122*Nøgletal!N125*(1-1/Nøgletal!O388)*-1</f>
        <v>0</v>
      </c>
      <c r="T83" s="23">
        <f t="shared" si="30"/>
        <v>0</v>
      </c>
      <c r="U83" s="32"/>
      <c r="V83" s="32"/>
      <c r="W83" s="32">
        <f>Nøgletal!N121*Nøgletal!N122*Nøgletal!N130/Nøgletal!O394*-1</f>
        <v>0</v>
      </c>
      <c r="X83" s="32">
        <f>Nøgletal!N121*Nøgletal!N122*Nøgletal!N129/Nøgletal!O392*-1</f>
        <v>0</v>
      </c>
      <c r="Y83" s="32">
        <f>Nøgletal!N121*Nøgletal!N122*Nøgletal!N128/Nøgletal!O392*-1</f>
        <v>0</v>
      </c>
      <c r="Z83" s="32"/>
      <c r="AA83" s="32"/>
      <c r="AB83" s="32"/>
      <c r="AC83" s="78">
        <f>-(Nøgletal!N115/Nøgletal!N$385+Nøgletal!N116/Nøgletal!N$386+Nøgletal!N117/Nøgletal!N$387+Nøgletal!N121*Nøgletal!N122*(Nøgletal!N125/Nøgletal!O388+Nøgletal!N132/Nøgletal!N384+Nøgletal!N133/Nøgletal!N383))</f>
        <v>-79.109803921568641</v>
      </c>
      <c r="AD83" s="32">
        <f>Nøgletal!N121*Nøgletal!N123*-1</f>
        <v>-108.63028133211601</v>
      </c>
      <c r="AE83" s="32"/>
      <c r="AF83" s="32"/>
      <c r="AG83" s="32"/>
      <c r="AH83" s="32"/>
      <c r="AI83" s="32"/>
      <c r="AJ83" s="105">
        <f t="shared" si="56"/>
        <v>-187.74008525368464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183.33028133211602</v>
      </c>
      <c r="AP83" s="37">
        <f t="shared" si="68"/>
        <v>0.97651112219529534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Nøgletal!N113</f>
        <v>183.33028133211602</v>
      </c>
      <c r="BX83" s="78"/>
      <c r="BY83" s="127">
        <f>(AJ83+BW83)*-1</f>
        <v>4.4098039215686242</v>
      </c>
      <c r="BZ83" s="123">
        <f>(C83*Emissionsfaktorer!$G$4+E83*Emissionsfaktorer!$G$3+F83*Emissionsfaktorer!$G$5+H83*Emissionsfaktorer!$G$7+I83*Emissionsfaktorer!$G$8+J83*Emissionsfaktorer!$G$9+K83*Emissionsfaktorer!$G$10+L83*Emissionsfaktorer!$G$11+M83*Emissionsfaktorer!$G$12)*-1</f>
        <v>0</v>
      </c>
      <c r="CA83" s="231"/>
      <c r="CB83" s="231"/>
    </row>
    <row r="84" spans="1:80" x14ac:dyDescent="0.25">
      <c r="A84" s="231"/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-392</v>
      </c>
      <c r="F84" s="266">
        <f t="shared" si="71"/>
        <v>0</v>
      </c>
      <c r="G84" s="266">
        <f t="shared" si="71"/>
        <v>-58.64</v>
      </c>
      <c r="H84" s="266">
        <f t="shared" si="71"/>
        <v>-12.539999999999997</v>
      </c>
      <c r="I84" s="266">
        <f t="shared" si="71"/>
        <v>0</v>
      </c>
      <c r="J84" s="266">
        <f t="shared" si="71"/>
        <v>-10</v>
      </c>
      <c r="K84" s="266">
        <f t="shared" si="71"/>
        <v>-36.1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0</v>
      </c>
      <c r="U84" s="266">
        <f t="shared" si="71"/>
        <v>0</v>
      </c>
      <c r="V84" s="266">
        <f t="shared" si="71"/>
        <v>0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-482.28446459067828</v>
      </c>
      <c r="AD84" s="266">
        <f t="shared" si="71"/>
        <v>-92.886762298476015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-153.1884474</v>
      </c>
      <c r="AI84" s="266">
        <f t="shared" si="71"/>
        <v>0</v>
      </c>
      <c r="AJ84" s="105">
        <f>SUM(AJ85:AJ88)</f>
        <v>-1025.8112268891543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1048.2388654573961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1048.2388654573961</v>
      </c>
      <c r="BX84" s="266">
        <f t="shared" si="72"/>
        <v>0</v>
      </c>
      <c r="BY84" s="123">
        <f t="shared" si="72"/>
        <v>-22.427638568241758</v>
      </c>
      <c r="BZ84" s="123">
        <f t="shared" si="72"/>
        <v>26.781873999999998</v>
      </c>
      <c r="CA84" s="231"/>
      <c r="CB84" s="231"/>
    </row>
    <row r="85" spans="1:80" x14ac:dyDescent="0.25">
      <c r="A85" s="231"/>
      <c r="B85" s="31"/>
      <c r="C85" s="32"/>
      <c r="D85" s="32"/>
      <c r="E85" s="32">
        <f>Nøgletal!N149*Nøgletal!N150*Nøgletal!N155/Nøgletal!O391*-1</f>
        <v>0</v>
      </c>
      <c r="F85" s="32"/>
      <c r="G85" s="23">
        <f>SUM(H85:M85)</f>
        <v>0</v>
      </c>
      <c r="H85" s="32">
        <f>Nøgletal!N146/Nøgletal!O389*-1</f>
        <v>0</v>
      </c>
      <c r="I85" s="32"/>
      <c r="J85" s="32">
        <f>Nøgletal!N149*Nøgletal!N150*Nøgletal!N154/Nøgletal!O390*-1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Nøgletal!N149*Nøgletal!N150*Nøgletal!N159/Nøgletal!O395*-1</f>
        <v>0</v>
      </c>
      <c r="R85" s="32"/>
      <c r="S85" s="32">
        <f>Nøgletal!N149*Nøgletal!N150*Nøgletal!N153*(1-1/Nøgletal!O388)*-1</f>
        <v>0</v>
      </c>
      <c r="T85" s="23">
        <f>SUM(U85:AB85)</f>
        <v>0</v>
      </c>
      <c r="U85" s="32"/>
      <c r="V85" s="32"/>
      <c r="W85" s="32">
        <f>Nøgletal!N149*Nøgletal!N150*Nøgletal!N158/Nøgletal!O394*-1</f>
        <v>0</v>
      </c>
      <c r="X85" s="32">
        <f>Nøgletal!N149*Nøgletal!N150*Nøgletal!N157/Nøgletal!O393*-1</f>
        <v>0</v>
      </c>
      <c r="Y85" s="32">
        <f>Nøgletal!N149*Nøgletal!N150*Nøgletal!N156/Nøgletal!O392*-1</f>
        <v>0</v>
      </c>
      <c r="Z85" s="32"/>
      <c r="AA85" s="32"/>
      <c r="AB85" s="32"/>
      <c r="AC85" s="78">
        <f>-(Nøgletal!N143/Nøgletal!N$385+Nøgletal!N144/Nøgletal!N$386+Nøgletal!N145/Nøgletal!N$387+Nøgletal!N149*Nøgletal!N150*(Nøgletal!N153/Nøgletal!O388+Nøgletal!N160/Nøgletal!N384+Nøgletal!N161/Nøgletal!N383))</f>
        <v>-8.3276018455802365</v>
      </c>
      <c r="AD85" s="32">
        <f>Nøgletal!N149*Nøgletal!N151*-1</f>
        <v>0</v>
      </c>
      <c r="AE85" s="32"/>
      <c r="AF85" s="32"/>
      <c r="AG85" s="32"/>
      <c r="AH85" s="32"/>
      <c r="AI85" s="32"/>
      <c r="AJ85" s="105">
        <f>SUM(C85:G85,N85,T85,AC85:AG85)</f>
        <v>-8.3276018455802365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7.3854557589200009</v>
      </c>
      <c r="AP85" s="37">
        <f t="shared" si="68"/>
        <v>0.88686465754120236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Nøgletal!N141</f>
        <v>7.3854557589200009</v>
      </c>
      <c r="BX85" s="78"/>
      <c r="BY85" s="127">
        <f>(AJ85+BW85)*-1</f>
        <v>0.94214608666023558</v>
      </c>
      <c r="BZ85" s="123">
        <f>(C85*Emissionsfaktorer!$G$4+E85*Emissionsfaktorer!$G$3+F85*Emissionsfaktorer!$G$5+H85*Emissionsfaktorer!$G$7+I85*Emissionsfaktorer!$G$8+J85*Emissionsfaktorer!$G$9+K85*Emissionsfaktorer!$G$10+L85*Emissionsfaktorer!$G$11+M85*Emissionsfaktorer!$G$12)*-1</f>
        <v>0</v>
      </c>
      <c r="CA85" s="231"/>
      <c r="CB85" s="231"/>
    </row>
    <row r="86" spans="1:80" x14ac:dyDescent="0.25">
      <c r="A86" s="231"/>
      <c r="B86" s="31"/>
      <c r="C86" s="32"/>
      <c r="D86" s="32"/>
      <c r="E86" s="78">
        <f>Nøgletal!N181*Nøgletal!N182*Nøgletal!N187/Nøgletal!O391*-1+Nøgletal!N177/Nøgletal!O397*Nøgletal!N413*-1+Nøgletal!N178/Nøgletal!O398*Nøgletal!N424*-1</f>
        <v>-392</v>
      </c>
      <c r="F86" s="32">
        <f>Nøgletal!N178/Nøgletal!O398*Nøgletal!N427*-1</f>
        <v>0</v>
      </c>
      <c r="G86" s="23">
        <f>SUM(H86:M86)</f>
        <v>-22.54</v>
      </c>
      <c r="H86" s="32">
        <f>Nøgletal!N175/Nøgletal!O389*-1</f>
        <v>-12.539999999999997</v>
      </c>
      <c r="I86" s="32">
        <f>Nøgletal!N178/Nøgletal!O398*Nøgletal!N425*-1</f>
        <v>0</v>
      </c>
      <c r="J86" s="32">
        <f>Nøgletal!N181*Nøgletal!N182*Nøgletal!N186/Nøgletal!O390*-1+Nøgletal!N176/Nøgletal!O396*Nøgletal!N416*-1</f>
        <v>-10</v>
      </c>
      <c r="K86" s="32"/>
      <c r="L86" s="32"/>
      <c r="M86" s="32"/>
      <c r="N86" s="23">
        <f>SUM(O86:S86)</f>
        <v>0</v>
      </c>
      <c r="O86" s="32"/>
      <c r="P86" s="32"/>
      <c r="Q86" s="32">
        <f>Nøgletal!N181*Nøgletal!N182*Nøgletal!N191/Nøgletal!O395*-1</f>
        <v>0</v>
      </c>
      <c r="R86" s="32"/>
      <c r="S86" s="32">
        <f>Nøgletal!N181*Nøgletal!N182*Nøgletal!N185*(1-1/Nøgletal!O388)*-1</f>
        <v>0</v>
      </c>
      <c r="T86" s="23">
        <f>SUM(U86:AB86)</f>
        <v>0</v>
      </c>
      <c r="U86" s="32"/>
      <c r="V86" s="32"/>
      <c r="W86" s="32">
        <f>Nøgletal!N181*Nøgletal!N182*Nøgletal!N190/Nøgletal!O394*-1</f>
        <v>0</v>
      </c>
      <c r="X86" s="32">
        <f>Nøgletal!$N$177/Nøgletal!$O$397*Nøgletal!$N$414*-1+Nøgletal!N176/Nøgletal!O396*Nøgletal!N417*-1</f>
        <v>0</v>
      </c>
      <c r="Y86" s="32">
        <f>Nøgletal!N178/Nøgletal!O398*Nøgletal!N426*-1</f>
        <v>0</v>
      </c>
      <c r="Z86" s="32"/>
      <c r="AA86" s="32"/>
      <c r="AB86" s="32"/>
      <c r="AC86" s="78">
        <f>-(Nøgletal!N171/Nøgletal!N$385+Nøgletal!N172/Nøgletal!N$386+Nøgletal!N173/Nøgletal!N$387+Nøgletal!N181*Nøgletal!N182*(Nøgletal!N185/Nøgletal!O388+Nøgletal!N192/Nøgletal!N384+Nøgletal!N193/Nøgletal!N383))</f>
        <v>-454.12156862745098</v>
      </c>
      <c r="AD86" s="32">
        <f>(Nøgletal!N181*Nøgletal!N183+Nøgletal!N202)*-1</f>
        <v>-69.27148374801601</v>
      </c>
      <c r="AE86" s="32"/>
      <c r="AF86" s="32"/>
      <c r="AG86" s="32"/>
      <c r="AH86" s="269">
        <f>AH68</f>
        <v>-153.1884474</v>
      </c>
      <c r="AI86" s="32"/>
      <c r="AJ86" s="105">
        <f>SUM(C86:G86,N86,T86,AC86:AG86)</f>
        <v>-937.93305237546701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989.12513114801607</v>
      </c>
      <c r="AP86" s="37">
        <f t="shared" si="68"/>
        <v>1.0545796724434615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Nøgletal!N169</f>
        <v>989.12513114801607</v>
      </c>
      <c r="BX86" s="78"/>
      <c r="BY86" s="127">
        <f>(AJ86+BW86)*-1</f>
        <v>-51.192078772549053</v>
      </c>
      <c r="BZ86" s="123">
        <f>(C86*Emissionsfaktorer!$G$4+E86*Emissionsfaktorer!$G$3+F86*Emissionsfaktorer!$G$5+H86*Emissionsfaktorer!$G$7+I86*Emissionsfaktorer!$G$8+J86*Emissionsfaktorer!$G$9+K86*Emissionsfaktorer!$G$10+L86*Emissionsfaktorer!$G$11+M86*Emissionsfaktorer!$G$12)*-1</f>
        <v>24.110474</v>
      </c>
      <c r="CA86" s="231"/>
      <c r="CB86" s="231"/>
    </row>
    <row r="87" spans="1:80" x14ac:dyDescent="0.25">
      <c r="A87" s="231"/>
      <c r="B87" s="31"/>
      <c r="C87" s="32"/>
      <c r="D87" s="32"/>
      <c r="E87" s="32">
        <f>Nøgletal!N211*Nøgletal!N212*Nøgletal!N217/Nøgletal!O391*-1</f>
        <v>0</v>
      </c>
      <c r="F87" s="32"/>
      <c r="G87" s="23">
        <f>SUM(H87:M87)</f>
        <v>0</v>
      </c>
      <c r="H87" s="32">
        <f>Nøgletal!N208/Nøgletal!O389*-1</f>
        <v>0</v>
      </c>
      <c r="I87" s="149"/>
      <c r="J87" s="32">
        <f>Nøgletal!N211*Nøgletal!N212*Nøgletal!N216/Nøgletal!O390*-1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Nøgletal!N211*Nøgletal!N212*Nøgletal!N221/Nøgletal!O395*-1</f>
        <v>0</v>
      </c>
      <c r="R87" s="32"/>
      <c r="S87" s="32">
        <f>Nøgletal!N211*Nøgletal!N212*Nøgletal!N215*(1-1/Nøgletal!O388)*-1</f>
        <v>0</v>
      </c>
      <c r="T87" s="23">
        <f>SUM(U87:AB87)</f>
        <v>0</v>
      </c>
      <c r="U87" s="32"/>
      <c r="V87" s="32"/>
      <c r="W87" s="32">
        <f>Nøgletal!N211*Nøgletal!N212*Nøgletal!N220/Nøgletal!O394*-1</f>
        <v>0</v>
      </c>
      <c r="X87" s="32">
        <f>Nøgletal!N211*Nøgletal!N212*Nøgletal!N219/Nøgletal!O393*-1</f>
        <v>0</v>
      </c>
      <c r="Y87" s="32">
        <f>Nøgletal!N211*Nøgletal!N212*Nøgletal!N218/Nøgletal!O392*-1</f>
        <v>0</v>
      </c>
      <c r="Z87" s="32"/>
      <c r="AA87" s="32"/>
      <c r="AB87" s="32"/>
      <c r="AC87" s="78">
        <f>-(Nøgletal!N205/Nøgletal!N$385+Nøgletal!N206/Nøgletal!N$386+Nøgletal!N207/Nøgletal!N$387+Nøgletal!N211*Nøgletal!N212*(Nøgletal!N215/Nøgletal!O388+Nøgletal!N222/Nøgletal!N384+Nøgletal!N223/Nøgletal!N383))</f>
        <v>-1.3254901960784313</v>
      </c>
      <c r="AD87" s="32">
        <f>Nøgletal!N211*Nøgletal!N213*-1</f>
        <v>-23.615278550459998</v>
      </c>
      <c r="AE87" s="32"/>
      <c r="AF87" s="32"/>
      <c r="AG87" s="32"/>
      <c r="AH87" s="32"/>
      <c r="AI87" s="32"/>
      <c r="AJ87" s="105">
        <f>SUM(C87:G87,N87,T87,AC87:AG87)</f>
        <v>-24.940768746538428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24.715278550459999</v>
      </c>
      <c r="AP87" s="37">
        <f t="shared" si="68"/>
        <v>0.99095897169930958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Nøgletal!N203</f>
        <v>24.715278550459999</v>
      </c>
      <c r="BX87" s="78"/>
      <c r="BY87" s="127">
        <f>(AJ87+BW87)*-1</f>
        <v>0.2254901960784288</v>
      </c>
      <c r="BZ87" s="123">
        <f>(C87*Emissionsfaktorer!$G$4+E87*Emissionsfaktorer!$G$3+F87*Emissionsfaktorer!$G$5+H87*Emissionsfaktorer!$G$7+I87*Emissionsfaktorer!$G$8+J87*Emissionsfaktorer!$G$9+K87*Emissionsfaktorer!$G$10+L87*Emissionsfaktorer!$G$11+M87*Emissionsfaktorer!$G$12)*-1</f>
        <v>0</v>
      </c>
      <c r="CA87" s="231"/>
      <c r="CB87" s="231"/>
    </row>
    <row r="88" spans="1:80" x14ac:dyDescent="0.25">
      <c r="A88" s="231"/>
      <c r="B88" s="31"/>
      <c r="C88" s="32"/>
      <c r="D88" s="32"/>
      <c r="E88" s="32">
        <f>(Nøgletal!N236/Nøgletal!N406*Nøgletal!N696+Nøgletal!N240*Nøgletal!N241*Nøgletal!N246/Nøgletal!O391)*-1</f>
        <v>0</v>
      </c>
      <c r="F88" s="32"/>
      <c r="G88" s="23">
        <f>SUM(H88:M88)</f>
        <v>-36.1</v>
      </c>
      <c r="H88" s="32">
        <f>Nøgletal!N237/Nøgletal!O389*-1</f>
        <v>0</v>
      </c>
      <c r="I88" s="32"/>
      <c r="J88" s="32">
        <f>Nøgletal!N240*Nøgletal!N241*Nøgletal!N245/Nøgletal!O390*-1</f>
        <v>0</v>
      </c>
      <c r="K88" s="78">
        <f>Nøgletal!N236/Nøgletal!N406*Nøgletal!N692*-1</f>
        <v>-36.1</v>
      </c>
      <c r="L88" s="32"/>
      <c r="M88" s="32">
        <f>Nøgletal!N236/Nøgletal!N406*Nøgletal!N693*-1</f>
        <v>0</v>
      </c>
      <c r="N88" s="23">
        <f>SUM(O88:S88)</f>
        <v>0</v>
      </c>
      <c r="O88" s="32"/>
      <c r="P88" s="32"/>
      <c r="Q88" s="32">
        <f>Nøgletal!N240*Nøgletal!N241*Nøgletal!N250/Nøgletal!O395*-1</f>
        <v>0</v>
      </c>
      <c r="R88" s="32"/>
      <c r="S88" s="32">
        <f>Nøgletal!N240*Nøgletal!N241*Nøgletal!N244*(1-1/Nøgletal!O388)*-1</f>
        <v>0</v>
      </c>
      <c r="T88" s="23">
        <f>SUM(U88:AB88)</f>
        <v>0</v>
      </c>
      <c r="U88" s="32">
        <f>Nøgletal!N236*Nøgletal!N695/Nøgletal!N406*-1</f>
        <v>0</v>
      </c>
      <c r="V88" s="32">
        <f>Nøgletal!N236*Nøgletal!N697/Nøgletal!N406*-1</f>
        <v>0</v>
      </c>
      <c r="W88" s="32">
        <f>Nøgletal!N240*Nøgletal!N241*Nøgletal!N249/Nøgletal!O394*-1</f>
        <v>0</v>
      </c>
      <c r="X88" s="32">
        <f>Nøgletal!N240*Nøgletal!N241*Nøgletal!N248/Nøgletal!O393*-1</f>
        <v>0</v>
      </c>
      <c r="Y88" s="32">
        <f>Nøgletal!N240*Nøgletal!N241*Nøgletal!N247/Nøgletal!O392*-1</f>
        <v>0</v>
      </c>
      <c r="Z88" s="32"/>
      <c r="AA88" s="32"/>
      <c r="AB88" s="32">
        <f>Nøgletal!N236*Nøgletal!N694/Nøgletal!N406*-1</f>
        <v>0</v>
      </c>
      <c r="AC88" s="78">
        <f>-(Nøgletal!N233/Nøgletal!N$385+Nøgletal!N234/Nøgletal!N$386+Nøgletal!N235/Nøgletal!N$387+Nøgletal!N236*Nøgletal!N698/Nøgletal!N406+Nøgletal!N240*Nøgletal!N241*(Nøgletal!N244/Nøgletal!O388+Nøgletal!N251/Nøgletal!N384+Nøgletal!N252/Nøgletal!N383))</f>
        <v>-18.509803921568629</v>
      </c>
      <c r="AD88" s="32">
        <f>Nøgletal!N240*Nøgletal!N242</f>
        <v>0</v>
      </c>
      <c r="AE88" s="32"/>
      <c r="AF88" s="32"/>
      <c r="AG88" s="32"/>
      <c r="AH88" s="32"/>
      <c r="AI88" s="32"/>
      <c r="AJ88" s="105">
        <f>SUM(C88:G88,N88,T88,AC88:AG88)</f>
        <v>-54.609803921568627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27.013000000000002</v>
      </c>
      <c r="AP88" s="37">
        <f t="shared" si="68"/>
        <v>0.49465477002621094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Nøgletal!N231</f>
        <v>27.013000000000002</v>
      </c>
      <c r="BX88" s="78"/>
      <c r="BY88" s="127">
        <f>(AJ88+BW88)*-1</f>
        <v>27.596803921568625</v>
      </c>
      <c r="BZ88" s="123">
        <f>(C88*Emissionsfaktorer!$G$4+E88*Emissionsfaktorer!$G$3+F88*Emissionsfaktorer!$G$5+H88*Emissionsfaktorer!$G$7+I88*Emissionsfaktorer!$G$8+J88*Emissionsfaktorer!$G$9+K88*Emissionsfaktorer!$G$10+L88*Emissionsfaktorer!$G$11+M88*Emissionsfaktorer!$G$12)*-1</f>
        <v>2.6713999999999998</v>
      </c>
      <c r="CA88" s="231"/>
      <c r="CB88" s="231"/>
    </row>
    <row r="89" spans="1:80" x14ac:dyDescent="0.25">
      <c r="A89" s="231"/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-5564.0322973193552</v>
      </c>
      <c r="AJ89" s="155">
        <f>AJ90+AJ101+AJ112+AJ117</f>
        <v>-5564.0322973193552</v>
      </c>
      <c r="AK89" s="88" t="s">
        <v>274</v>
      </c>
      <c r="AL89" s="89" t="s">
        <v>275</v>
      </c>
      <c r="AM89" s="89"/>
      <c r="AN89" s="37"/>
      <c r="AO89" s="38">
        <f t="shared" si="61"/>
        <v>3852.4621529892374</v>
      </c>
      <c r="AP89" s="37">
        <f t="shared" si="68"/>
        <v>0.69238673449923727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3852.4621529892374</v>
      </c>
      <c r="BX89" s="82"/>
      <c r="BY89" s="128">
        <f>BY90+BY101+BY112+BY117</f>
        <v>1727.1452109967845</v>
      </c>
      <c r="BZ89" s="128">
        <f>BZ90+BZ101+BZ112+BZ117</f>
        <v>0</v>
      </c>
      <c r="CA89" s="231"/>
      <c r="CB89" s="231"/>
    </row>
    <row r="90" spans="1:80" x14ac:dyDescent="0.25">
      <c r="A90" s="231"/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-1880.5370944242593</v>
      </c>
      <c r="AJ90" s="156">
        <f>SUM(AJ91:AJ100)</f>
        <v>-1880.5370944242593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505.78464116000566</v>
      </c>
      <c r="AP90" s="146">
        <f t="shared" ref="AP90:AP127" si="73">BW90/IF(AJ90&lt;0,AJ90,1)*-1</f>
        <v>0.26895754551167494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505.78464116000566</v>
      </c>
      <c r="BX90" s="108"/>
      <c r="BY90" s="129">
        <f>SUM(BY91:BY100)</f>
        <v>1372.1608532642538</v>
      </c>
      <c r="BZ90" s="129">
        <f>SUM(BZ91:BZ100)</f>
        <v>0</v>
      </c>
      <c r="CA90" s="231"/>
      <c r="CB90" s="231"/>
    </row>
    <row r="91" spans="1:80" x14ac:dyDescent="0.25">
      <c r="A91" s="231"/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-544</v>
      </c>
      <c r="AJ91" s="156">
        <f>AO91/Nøgletal!N401*-1</f>
        <v>-544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108.8</v>
      </c>
      <c r="AP91" s="146">
        <f t="shared" si="73"/>
        <v>0.19999999999999998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231"/>
      <c r="BW91" s="78">
        <f>Nøgletal!N$282*Nøgletal!N286</f>
        <v>108.8</v>
      </c>
      <c r="BX91" s="119"/>
      <c r="BY91" s="127">
        <f t="shared" ref="BY91:BY98" si="76">(AJ91+BW91)*-1</f>
        <v>435.2</v>
      </c>
      <c r="BZ91" s="125">
        <v>0</v>
      </c>
      <c r="CA91" s="231"/>
      <c r="CB91" s="151"/>
    </row>
    <row r="92" spans="1:80" x14ac:dyDescent="0.25">
      <c r="A92" s="231"/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-390</v>
      </c>
      <c r="AJ92" s="156">
        <f>AO92/Nøgletal!N402*-1</f>
        <v>-390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97.5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231"/>
      <c r="BW92" s="78">
        <f>Nøgletal!N$282*Nøgletal!N287</f>
        <v>97.5</v>
      </c>
      <c r="BX92" s="119"/>
      <c r="BY92" s="127">
        <f t="shared" si="76"/>
        <v>292.5</v>
      </c>
      <c r="BZ92" s="125">
        <v>0</v>
      </c>
      <c r="CA92" s="231"/>
      <c r="CB92" s="151"/>
    </row>
    <row r="93" spans="1:80" x14ac:dyDescent="0.25">
      <c r="A93" s="231"/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-163.52000000000001</v>
      </c>
      <c r="AJ93" s="156">
        <f>AO93/IF(Nøgletal!N403&gt;0,Nøgletal!N403,1)*-1</f>
        <v>-163.52000000000001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40.880000000000003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231"/>
      <c r="BW93" s="78">
        <f>Nøgletal!N$282*Nøgletal!N288</f>
        <v>40.880000000000003</v>
      </c>
      <c r="BX93" s="119"/>
      <c r="BY93" s="127">
        <f t="shared" si="76"/>
        <v>122.64000000000001</v>
      </c>
      <c r="BZ93" s="125">
        <v>0</v>
      </c>
      <c r="CA93" s="231"/>
      <c r="CB93" s="151"/>
    </row>
    <row r="94" spans="1:80" x14ac:dyDescent="0.25">
      <c r="A94" s="231"/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-29.03</v>
      </c>
      <c r="AJ94" s="156">
        <f>AO94/Nøgletal!N404*-1</f>
        <v>-29.03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9.5799000000000003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231"/>
      <c r="BW94" s="78">
        <f>Nøgletal!N$282*Nøgletal!N289</f>
        <v>9.5799000000000003</v>
      </c>
      <c r="BX94" s="119"/>
      <c r="BY94" s="127">
        <f t="shared" si="76"/>
        <v>19.450099999999999</v>
      </c>
      <c r="BZ94" s="125">
        <v>0</v>
      </c>
      <c r="CA94" s="231"/>
      <c r="CB94" s="151"/>
    </row>
    <row r="95" spans="1:80" x14ac:dyDescent="0.25">
      <c r="A95" s="231"/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-319.99999999999994</v>
      </c>
      <c r="AJ95" s="156">
        <f>AO95/Nøgletal!N405*-1</f>
        <v>-319.99999999999994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105.6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231"/>
      <c r="BW95" s="78">
        <f>Nøgletal!N$282*Nøgletal!N290</f>
        <v>105.6</v>
      </c>
      <c r="BX95" s="119"/>
      <c r="BY95" s="127">
        <f t="shared" si="76"/>
        <v>214.39999999999995</v>
      </c>
      <c r="BZ95" s="125">
        <v>0</v>
      </c>
      <c r="CA95" s="231"/>
      <c r="CB95" s="151"/>
    </row>
    <row r="96" spans="1:80" x14ac:dyDescent="0.25">
      <c r="A96" s="231"/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-30.107094424259472</v>
      </c>
      <c r="AJ96" s="156">
        <f>AO96/Nøgletal!N407*-1</f>
        <v>-30.107094424259472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9.9353411600056258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231"/>
      <c r="BW96" s="78">
        <f>Nøgletal!N$282*Nøgletal!N291</f>
        <v>9.9353411600056258</v>
      </c>
      <c r="BX96" s="119"/>
      <c r="BY96" s="127">
        <f t="shared" si="76"/>
        <v>20.171753264253844</v>
      </c>
      <c r="BZ96" s="125">
        <v>0</v>
      </c>
      <c r="CA96" s="231"/>
      <c r="CB96" s="151"/>
    </row>
    <row r="97" spans="1:80" x14ac:dyDescent="0.25">
      <c r="A97" s="231"/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-349.1</v>
      </c>
      <c r="AJ97" s="156">
        <f>AO97/Nøgletal!N408*-1</f>
        <v>-349.1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115.20300000000002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231"/>
      <c r="BW97" s="78">
        <f>Nøgletal!N$282*Nøgletal!N292</f>
        <v>115.20300000000002</v>
      </c>
      <c r="BX97" s="119"/>
      <c r="BY97" s="127">
        <f t="shared" si="76"/>
        <v>233.89699999999999</v>
      </c>
      <c r="BZ97" s="125">
        <v>0</v>
      </c>
      <c r="CA97" s="231"/>
      <c r="CB97" s="151"/>
    </row>
    <row r="98" spans="1:80" x14ac:dyDescent="0.25">
      <c r="A98" s="231"/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-50.6</v>
      </c>
      <c r="AJ98" s="156">
        <f>AO98/Nøgletal!N409*-1</f>
        <v>-50.6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16.698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231"/>
      <c r="BW98" s="78">
        <f>Nøgletal!N$282*Nøgletal!N293</f>
        <v>16.698</v>
      </c>
      <c r="BX98" s="119"/>
      <c r="BY98" s="127">
        <f t="shared" si="76"/>
        <v>33.902000000000001</v>
      </c>
      <c r="BZ98" s="125">
        <v>0</v>
      </c>
      <c r="CA98" s="231"/>
      <c r="CB98" s="151"/>
    </row>
    <row r="99" spans="1:80" x14ac:dyDescent="0.25">
      <c r="A99" s="231"/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0</v>
      </c>
      <c r="AJ99" s="156">
        <f>AO99/Nøgletal!N410*-1</f>
        <v>0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0</v>
      </c>
      <c r="AP99" s="146">
        <f t="shared" si="73"/>
        <v>0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231"/>
      <c r="BW99" s="78">
        <f>Nøgletal!N$282*Nøgletal!N284</f>
        <v>0</v>
      </c>
      <c r="BX99" s="119"/>
      <c r="BY99" s="147">
        <v>0</v>
      </c>
      <c r="BZ99" s="125">
        <v>0</v>
      </c>
      <c r="CA99" s="231"/>
      <c r="CB99" s="151"/>
    </row>
    <row r="100" spans="1:80" x14ac:dyDescent="0.25">
      <c r="A100" s="231"/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-4.18</v>
      </c>
      <c r="AJ100" s="156">
        <f>AO100/Nøgletal!N411*-1</f>
        <v>-4.18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1.5884</v>
      </c>
      <c r="AP100" s="146">
        <f t="shared" si="73"/>
        <v>0.38000000000000006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231"/>
      <c r="BW100" s="78">
        <f>Nøgletal!N$282*Nøgletal!N285</f>
        <v>1.5884</v>
      </c>
      <c r="BX100" s="119"/>
      <c r="BY100" s="147">
        <v>0</v>
      </c>
      <c r="BZ100" s="125">
        <v>0</v>
      </c>
      <c r="CA100" s="231"/>
      <c r="CB100" s="151"/>
    </row>
    <row r="101" spans="1:80" x14ac:dyDescent="0.25">
      <c r="A101" s="231"/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-1034.9300160274508</v>
      </c>
      <c r="AJ101" s="156">
        <f>SUM(AJ102:AJ111)</f>
        <v>-1034.9300160274508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919.75504739999997</v>
      </c>
      <c r="AP101" s="146">
        <f t="shared" si="73"/>
        <v>0.88871231209473789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919.75504739999997</v>
      </c>
      <c r="BX101" s="108"/>
      <c r="BY101" s="129">
        <f>SUM(BY102:BY111)</f>
        <v>133.34163529411768</v>
      </c>
      <c r="BZ101" s="129">
        <f>SUM(BZ102:BZ111)</f>
        <v>0</v>
      </c>
      <c r="CA101" s="231"/>
      <c r="CB101" s="19"/>
    </row>
    <row r="102" spans="1:80" x14ac:dyDescent="0.25">
      <c r="A102" s="231"/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-36.333333333333336</v>
      </c>
      <c r="AJ102" s="156">
        <f>AO102/Nøgletal!N386*-1</f>
        <v>-36.333333333333336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54.5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Nøgletal!N172</f>
        <v>54.5</v>
      </c>
      <c r="BX102" s="119"/>
      <c r="BY102" s="127">
        <v>0</v>
      </c>
      <c r="BZ102" s="125">
        <v>0</v>
      </c>
      <c r="CA102" s="231"/>
      <c r="CB102" s="19"/>
    </row>
    <row r="103" spans="1:80" x14ac:dyDescent="0.25">
      <c r="A103" s="231"/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-390.58823529411768</v>
      </c>
      <c r="AJ103" s="156">
        <f>AO103/Nøgletal!N387*-1</f>
        <v>-390.58823529411768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332</v>
      </c>
      <c r="AP103" s="146">
        <f t="shared" si="73"/>
        <v>0.85</v>
      </c>
      <c r="AQ103" s="49"/>
      <c r="AR103" s="19"/>
      <c r="AS103" s="19"/>
      <c r="AT103" s="19"/>
      <c r="AU103" s="19"/>
      <c r="AV103" s="19"/>
      <c r="AW103" s="231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Nøgletal!N173</f>
        <v>332</v>
      </c>
      <c r="BX103" s="119"/>
      <c r="BY103" s="127">
        <f t="shared" ref="BY103:BY111" si="77">(AJ103+BW103)*-1</f>
        <v>58.58823529411768</v>
      </c>
      <c r="BZ103" s="125">
        <v>0</v>
      </c>
      <c r="CA103" s="231"/>
      <c r="CB103" s="19"/>
    </row>
    <row r="104" spans="1:80" x14ac:dyDescent="0.25">
      <c r="A104" s="231"/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-10</v>
      </c>
      <c r="AJ104" s="156">
        <f>AO104/Nøgletal!O396*-1</f>
        <v>-10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9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W104" s="231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Nøgletal!N176</f>
        <v>9</v>
      </c>
      <c r="BX104" s="119"/>
      <c r="BY104" s="127">
        <f t="shared" si="77"/>
        <v>1</v>
      </c>
      <c r="BZ104" s="125">
        <v>0</v>
      </c>
      <c r="CA104" s="231"/>
      <c r="CB104" s="19"/>
    </row>
    <row r="105" spans="1:80" x14ac:dyDescent="0.25">
      <c r="A105" s="231"/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-392</v>
      </c>
      <c r="AJ105" s="156">
        <f>AO105/IF(Nøgletal!O397&gt;0,Nøgletal!O397,1)*-1</f>
        <v>-392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352.8</v>
      </c>
      <c r="AP105" s="146">
        <f t="shared" si="73"/>
        <v>0.9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Nøgletal!N177</f>
        <v>352.8</v>
      </c>
      <c r="BX105" s="119"/>
      <c r="BY105" s="127">
        <f t="shared" si="77"/>
        <v>39.199999999999989</v>
      </c>
      <c r="BZ105" s="125">
        <v>0</v>
      </c>
      <c r="CA105" s="231"/>
      <c r="CB105" s="19"/>
    </row>
    <row r="106" spans="1:80" x14ac:dyDescent="0.25">
      <c r="A106" s="231"/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'2025'!AO106/Nøgletal!O398*-1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Nøgletal!N178</f>
        <v>0</v>
      </c>
      <c r="BX106" s="119"/>
      <c r="BY106" s="127">
        <f t="shared" si="77"/>
        <v>0</v>
      </c>
      <c r="BZ106" s="125">
        <v>0</v>
      </c>
      <c r="CA106" s="231"/>
      <c r="CB106" s="19"/>
    </row>
    <row r="107" spans="1:80" x14ac:dyDescent="0.25">
      <c r="A107" s="231"/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-4.18</v>
      </c>
      <c r="AJ107" s="156">
        <f>AO107/Nøgletal!O389*-1</f>
        <v>-4.18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1.5884</v>
      </c>
      <c r="AP107" s="146">
        <f t="shared" si="73"/>
        <v>0.38000000000000006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Nøgletal!N34+Nøgletal!N62+Nøgletal!N90+Nøgletal!N118+Nøgletal!N146+Nøgletal!N208+Nøgletal!N237</f>
        <v>1.5884</v>
      </c>
      <c r="BX107" s="119"/>
      <c r="BY107" s="127">
        <f t="shared" si="77"/>
        <v>2.5915999999999997</v>
      </c>
      <c r="BZ107" s="125">
        <v>0</v>
      </c>
      <c r="CA107" s="231"/>
      <c r="CB107" s="19"/>
    </row>
    <row r="108" spans="1:80" x14ac:dyDescent="0.25">
      <c r="A108" s="231"/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-12.539999999999997</v>
      </c>
      <c r="AJ108" s="156">
        <f>AO108/Nøgletal!O389*-1</f>
        <v>-12.539999999999997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4.7651999999999992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Nøgletal!N175</f>
        <v>4.7651999999999992</v>
      </c>
      <c r="BX108" s="119"/>
      <c r="BY108" s="127">
        <f t="shared" si="77"/>
        <v>7.7747999999999982</v>
      </c>
      <c r="BZ108" s="125">
        <v>0</v>
      </c>
      <c r="CA108" s="231"/>
      <c r="CB108" s="19"/>
    </row>
    <row r="109" spans="1:80" x14ac:dyDescent="0.25">
      <c r="A109" s="231"/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-153.1884474</v>
      </c>
      <c r="AJ109" s="156">
        <f>AO109*-1</f>
        <v>-153.1884474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153.1884474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Nøgletal!N201</f>
        <v>153.1884474</v>
      </c>
      <c r="BX109" s="119"/>
      <c r="BY109" s="127">
        <f t="shared" si="77"/>
        <v>0</v>
      </c>
      <c r="BZ109" s="125">
        <v>0</v>
      </c>
      <c r="CA109" s="231"/>
      <c r="CB109" s="19"/>
    </row>
    <row r="110" spans="1:80" x14ac:dyDescent="0.25">
      <c r="A110" s="231"/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-36.1</v>
      </c>
      <c r="AJ110" s="156">
        <f>AO110/Nøgletal!N406*-1</f>
        <v>-36.1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11.913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231"/>
      <c r="BW110" s="78">
        <f>Nøgletal!N236</f>
        <v>11.913</v>
      </c>
      <c r="BX110" s="119"/>
      <c r="BY110" s="127">
        <f t="shared" si="77"/>
        <v>24.187000000000001</v>
      </c>
      <c r="BZ110" s="125">
        <v>0</v>
      </c>
      <c r="CA110" s="231"/>
      <c r="CB110" s="151"/>
    </row>
    <row r="111" spans="1:80" x14ac:dyDescent="0.25">
      <c r="A111" s="231"/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Nøgletal!N202</f>
        <v>0</v>
      </c>
      <c r="BX111" s="119"/>
      <c r="BY111" s="127">
        <f t="shared" si="77"/>
        <v>0</v>
      </c>
      <c r="BZ111" s="125">
        <v>0</v>
      </c>
      <c r="CA111" s="231"/>
      <c r="CB111" s="19"/>
    </row>
    <row r="112" spans="1:80" x14ac:dyDescent="0.25">
      <c r="A112" s="231"/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-720.69373375288853</v>
      </c>
      <c r="AJ112" s="157">
        <f>SUM(AJ113:AJ116)</f>
        <v>-720.69373375288853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594.38545575891999</v>
      </c>
      <c r="AP112" s="146">
        <f t="shared" si="73"/>
        <v>0.82474070180097181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594.38545575891999</v>
      </c>
      <c r="BX112" s="108"/>
      <c r="BY112" s="129">
        <f>SUM(BY113:BY116)</f>
        <v>126.30827799396857</v>
      </c>
      <c r="BZ112" s="129">
        <f>SUM(BZ113:BZ116)</f>
        <v>0</v>
      </c>
      <c r="CA112" s="231"/>
      <c r="CB112" s="231"/>
    </row>
    <row r="113" spans="1:80" x14ac:dyDescent="0.25">
      <c r="A113" s="231"/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-178.99418230356801</v>
      </c>
      <c r="AJ113" s="157">
        <f>AO113/Nøgletal!N385*-1</f>
        <v>-178.99418230356801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89.497091151784005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Nøgletal!N31+Nøgletal!N59+Nøgletal!N87+Nøgletal!N115+Nøgletal!N143+Nøgletal!N171+Nøgletal!N205+Nøgletal!N233</f>
        <v>89.497091151784005</v>
      </c>
      <c r="BX113" s="119"/>
      <c r="BY113" s="127">
        <f>(AJ113+BW113)*-1</f>
        <v>89.497091151784005</v>
      </c>
      <c r="BZ113" s="125">
        <v>0</v>
      </c>
      <c r="CA113" s="231"/>
      <c r="CB113" s="231"/>
    </row>
    <row r="114" spans="1:80" x14ac:dyDescent="0.25">
      <c r="A114" s="231"/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-38.18181818181818</v>
      </c>
      <c r="AJ114" s="157">
        <f>AO114/Nøgletal!N382*-1</f>
        <v>-38.18181818181818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16.8</v>
      </c>
      <c r="AP114" s="146">
        <f t="shared" si="73"/>
        <v>0.44000000000000006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Nøgletal!N30</f>
        <v>16.8</v>
      </c>
      <c r="BX114" s="119"/>
      <c r="BY114" s="127">
        <f>(AJ114+BW114)*-1</f>
        <v>21.381818181818179</v>
      </c>
      <c r="BZ114" s="125">
        <v>0</v>
      </c>
      <c r="CA114" s="231"/>
      <c r="CB114" s="231"/>
    </row>
    <row r="115" spans="1:80" x14ac:dyDescent="0.25">
      <c r="A115" s="231"/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-92.458909738090696</v>
      </c>
      <c r="AJ115" s="157">
        <f>AO115/Nøgletal!N386*-1</f>
        <v>-92.458909738090696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138.68836460713604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Nøgletal!N32+Nøgletal!N60+Nøgletal!N88+Nøgletal!N116+Nøgletal!N144+Nøgletal!N206+Nøgletal!N234</f>
        <v>138.68836460713604</v>
      </c>
      <c r="BX115" s="119"/>
      <c r="BY115" s="127">
        <f>(AJ115+BW115)*-1</f>
        <v>-46.229454869045341</v>
      </c>
      <c r="BZ115" s="125">
        <v>0</v>
      </c>
      <c r="CA115" s="231"/>
      <c r="CB115" s="231"/>
    </row>
    <row r="116" spans="1:80" x14ac:dyDescent="0.25">
      <c r="A116" s="231"/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-411.05882352941165</v>
      </c>
      <c r="AJ116" s="157">
        <f>AO116/Nøgletal!N387*-1</f>
        <v>-411.05882352941165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349.39999999999992</v>
      </c>
      <c r="AP116" s="146">
        <f t="shared" si="73"/>
        <v>0.85000000000000009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Nøgletal!N33+Nøgletal!N61+Nøgletal!N89+Nøgletal!N117+Nøgletal!N145+Nøgletal!N207+Nøgletal!N235</f>
        <v>349.39999999999992</v>
      </c>
      <c r="BX116" s="119"/>
      <c r="BY116" s="127">
        <f>(AJ116+BW116)*-1</f>
        <v>61.658823529411734</v>
      </c>
      <c r="BZ116" s="125">
        <v>0</v>
      </c>
      <c r="CA116" s="231"/>
      <c r="CB116" s="231"/>
    </row>
    <row r="117" spans="1:80" x14ac:dyDescent="0.25">
      <c r="A117" s="231"/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-1927.8714531147564</v>
      </c>
      <c r="AJ117" s="157">
        <f>SUM(AJ118:AJ127)</f>
        <v>-1927.8714531147564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1832.5370086703117</v>
      </c>
      <c r="AP117" s="146">
        <f t="shared" si="73"/>
        <v>0.9505493769875486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1832.5370086703117</v>
      </c>
      <c r="BX117" s="108"/>
      <c r="BY117" s="129">
        <f>SUM(BY118:BY127)</f>
        <v>95.334444444444443</v>
      </c>
      <c r="BZ117" s="129">
        <f>SUM(BZ118:BZ127)</f>
        <v>0</v>
      </c>
      <c r="CA117" s="231"/>
      <c r="CB117" s="231"/>
    </row>
    <row r="118" spans="1:80" x14ac:dyDescent="0.25">
      <c r="A118" s="231"/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-4.4444444444444438</v>
      </c>
      <c r="AJ118" s="157">
        <f>AO118/Nøgletal!N383*-1</f>
        <v>-4.4444444444444438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3.9999999999999996</v>
      </c>
      <c r="AP118" s="146">
        <f t="shared" si="73"/>
        <v>0.9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N49*Nøgletal!N38*Nøgletal!N37+Nøgletal!N65*Nøgletal!N66*Nøgletal!N77+Nøgletal!N93*Nøgletal!N94*Nøgletal!N105+Nøgletal!N121*Nøgletal!N122*Nøgletal!N133+Nøgletal!N149*Nøgletal!N150*Nøgletal!N161+Nøgletal!N181*Nøgletal!N182*Nøgletal!N193+Nøgletal!N211*Nøgletal!N212*Nøgletal!N223+Nøgletal!N240*Nøgletal!N241*Nøgletal!N252</f>
        <v>3.9999999999999996</v>
      </c>
      <c r="BX118" s="119"/>
      <c r="BY118" s="127">
        <f t="shared" ref="BY118:BY127" si="78">(AJ118+BW118)*-1</f>
        <v>0.4444444444444442</v>
      </c>
      <c r="BZ118" s="125">
        <v>0</v>
      </c>
      <c r="CA118" s="231"/>
      <c r="CB118" s="231"/>
    </row>
    <row r="119" spans="1:80" x14ac:dyDescent="0.25">
      <c r="A119" s="231"/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-18.7</v>
      </c>
      <c r="AJ119" s="157">
        <f>AO119*Nøgletal!N384*-1</f>
        <v>-18.7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18.7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N37*Nøgletal!N38*Nøgletal!N48+Nøgletal!N65*Nøgletal!N66*Nøgletal!N76+Nøgletal!N93*Nøgletal!N94*Nøgletal!N104+Nøgletal!N121*Nøgletal!N122*Nøgletal!N132+Nøgletal!N149*Nøgletal!N150*Nøgletal!N160+Nøgletal!N181*Nøgletal!N182*Nøgletal!N192+Nøgletal!N211*Nøgletal!N212*Nøgletal!N222+Nøgletal!N240*Nøgletal!N241*Nøgletal!N251</f>
        <v>18.7</v>
      </c>
      <c r="BX119" s="119"/>
      <c r="BY119" s="127">
        <f t="shared" si="78"/>
        <v>0</v>
      </c>
      <c r="BZ119" s="125">
        <v>0</v>
      </c>
      <c r="CA119" s="231"/>
      <c r="CB119" s="231"/>
    </row>
    <row r="120" spans="1:80" x14ac:dyDescent="0.25">
      <c r="A120" s="231"/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-1.2</v>
      </c>
      <c r="AJ120" s="157">
        <f>AO120*-1</f>
        <v>-1.2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1.2</v>
      </c>
      <c r="AP120" s="146">
        <f t="shared" si="73"/>
        <v>1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N37*Nøgletal!N38*Nøgletal!N41+Nøgletal!N65*Nøgletal!N66*Nøgletal!N69+Nøgletal!N93*Nøgletal!N94*Nøgletal!N97+Nøgletal!N121*Nøgletal!N122*Nøgletal!N125+Nøgletal!N149*Nøgletal!N150*Nøgletal!N153+Nøgletal!N181*Nøgletal!N182*Nøgletal!N185+Nøgletal!N211*Nøgletal!N212*Nøgletal!N215+Nøgletal!N240*Nøgletal!N241*Nøgletal!N244</f>
        <v>1.2</v>
      </c>
      <c r="BX120" s="119"/>
      <c r="BY120" s="127">
        <f t="shared" si="78"/>
        <v>0</v>
      </c>
      <c r="BZ120" s="125">
        <v>0</v>
      </c>
      <c r="CA120" s="231"/>
      <c r="CB120" s="231"/>
    </row>
    <row r="121" spans="1:80" x14ac:dyDescent="0.25">
      <c r="A121" s="231"/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-74</v>
      </c>
      <c r="AJ121" s="157">
        <f>AO121/Nøgletal!O390*-1</f>
        <v>-74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59.2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N$37*Nøgletal!N$38*Nøgletal!N42+Nøgletal!N$65*Nøgletal!N$66*Nøgletal!N70+Nøgletal!N$93*Nøgletal!N$94*Nøgletal!N98+Nøgletal!N$121*Nøgletal!N$122*Nøgletal!N126+Nøgletal!N$149*Nøgletal!N$150*Nøgletal!N154+Nøgletal!N$181*Nøgletal!N$182*Nøgletal!N186+Nøgletal!N$211*Nøgletal!N$212*Nøgletal!N216+Nøgletal!N$240*Nøgletal!N$241*Nøgletal!N245</f>
        <v>59.2</v>
      </c>
      <c r="BX121" s="119"/>
      <c r="BY121" s="127">
        <f t="shared" si="78"/>
        <v>14.799999999999997</v>
      </c>
      <c r="BZ121" s="125">
        <v>0</v>
      </c>
      <c r="CA121" s="231"/>
      <c r="CB121" s="231"/>
    </row>
    <row r="122" spans="1:80" x14ac:dyDescent="0.25">
      <c r="A122" s="231"/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-0.6</v>
      </c>
      <c r="AJ122" s="157">
        <f>AO122/Nøgletal!O391*-1</f>
        <v>-0.6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0.51</v>
      </c>
      <c r="AP122" s="146">
        <f t="shared" si="73"/>
        <v>0.85000000000000009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N$37*Nøgletal!N$38*Nøgletal!N43+Nøgletal!N$65*Nøgletal!N$66*Nøgletal!N71+Nøgletal!N$93*Nøgletal!N$94*Nøgletal!N99+Nøgletal!N$121*Nøgletal!N$122*Nøgletal!N127+Nøgletal!N$149*Nøgletal!N$150*Nøgletal!N155+Nøgletal!N$181*Nøgletal!N$182*Nøgletal!N187+Nøgletal!N$211*Nøgletal!N$212*Nøgletal!N217+Nøgletal!N$240*Nøgletal!N$241*Nøgletal!N246</f>
        <v>0.51</v>
      </c>
      <c r="BX122" s="119"/>
      <c r="BY122" s="127">
        <f t="shared" si="78"/>
        <v>8.9999999999999969E-2</v>
      </c>
      <c r="BZ122" s="125">
        <v>0</v>
      </c>
      <c r="CA122" s="231"/>
      <c r="CB122" s="231"/>
    </row>
    <row r="123" spans="1:80" x14ac:dyDescent="0.25">
      <c r="A123" s="231"/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-75</v>
      </c>
      <c r="AJ123" s="157">
        <f>AO123/Nøgletal!O392*-1</f>
        <v>-75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56.25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N$37*Nøgletal!N$38*Nøgletal!N44+Nøgletal!N$65*Nøgletal!N$66*Nøgletal!N72+Nøgletal!N$93*Nøgletal!N$94*Nøgletal!N100+Nøgletal!N$121*Nøgletal!N$122*Nøgletal!N128+Nøgletal!N$149*Nøgletal!N$150*Nøgletal!N156+Nøgletal!N$181*Nøgletal!N$182*Nøgletal!N188+Nøgletal!N$211*Nøgletal!N$212*Nøgletal!N218+Nøgletal!N$240*Nøgletal!N$241*Nøgletal!N247</f>
        <v>56.25</v>
      </c>
      <c r="BX123" s="119"/>
      <c r="BY123" s="127">
        <f t="shared" si="78"/>
        <v>18.75</v>
      </c>
      <c r="BZ123" s="125">
        <v>0</v>
      </c>
      <c r="CA123" s="231"/>
      <c r="CB123" s="231"/>
    </row>
    <row r="124" spans="1:80" x14ac:dyDescent="0.25">
      <c r="A124" s="231"/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-153</v>
      </c>
      <c r="AJ124" s="157">
        <f>AO124/Nøgletal!O393*-1</f>
        <v>-153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99.45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N$37*Nøgletal!N$38*Nøgletal!N45+Nøgletal!N$65*Nøgletal!N$66*Nøgletal!N73+Nøgletal!N$93*Nøgletal!N$94*Nøgletal!N101+Nøgletal!N$121*Nøgletal!N$122*Nøgletal!N129+Nøgletal!N$149*Nøgletal!N$150*Nøgletal!N157+Nøgletal!N$181*Nøgletal!N$182*Nøgletal!N189+Nøgletal!N$211*Nøgletal!N$212*Nøgletal!N219+Nøgletal!N$240*Nøgletal!N$241*Nøgletal!N248</f>
        <v>99.45</v>
      </c>
      <c r="BX124" s="119"/>
      <c r="BY124" s="127">
        <f t="shared" si="78"/>
        <v>53.55</v>
      </c>
      <c r="BZ124" s="125">
        <v>0</v>
      </c>
      <c r="CA124" s="231"/>
      <c r="CB124" s="231"/>
    </row>
    <row r="125" spans="1:80" x14ac:dyDescent="0.25">
      <c r="A125" s="231"/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-22</v>
      </c>
      <c r="AJ125" s="157">
        <f>AO125/Nøgletal!O394*-1</f>
        <v>-22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14.3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N$37*Nøgletal!N$38*Nøgletal!N46+Nøgletal!N$65*Nøgletal!N$66*Nøgletal!N74+Nøgletal!N$93*Nøgletal!N$94*Nøgletal!N102+Nøgletal!N$121*Nøgletal!N$122*Nøgletal!N130+Nøgletal!N$149*Nøgletal!N$150*Nøgletal!N158+Nøgletal!N$181*Nøgletal!N$182*Nøgletal!N190+Nøgletal!N$211*Nøgletal!N$212*Nøgletal!N220+Nøgletal!N$240*Nøgletal!N$241*Nøgletal!N249</f>
        <v>14.3</v>
      </c>
      <c r="BX125" s="119"/>
      <c r="BY125" s="127">
        <f t="shared" si="78"/>
        <v>7.6999999999999993</v>
      </c>
      <c r="BZ125" s="125">
        <v>0</v>
      </c>
      <c r="CA125" s="231"/>
      <c r="CB125" s="231"/>
    </row>
    <row r="126" spans="1:80" x14ac:dyDescent="0.25">
      <c r="A126" s="23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-1575.9262552673642</v>
      </c>
      <c r="AJ126" s="157">
        <f>AO126*-1</f>
        <v>-1575.9262552673642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1575.9262552673642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Nøgletal!N37*Nøgletal!N39+Nøgletal!N65*Nøgletal!N67+Nøgletal!N93*Nøgletal!N95+Nøgletal!N121*Nøgletal!N123+Nøgletal!N149*Nøgletal!N151+Nøgletal!N181*Nøgletal!N183+Nøgletal!N211*Nøgletal!N213+Nøgletal!N240*Nøgletal!N242</f>
        <v>1575.9262552673642</v>
      </c>
      <c r="BX126" s="119"/>
      <c r="BY126" s="127">
        <f t="shared" si="78"/>
        <v>0</v>
      </c>
      <c r="BZ126" s="125">
        <v>0</v>
      </c>
      <c r="CA126" s="231"/>
      <c r="CB126" s="231"/>
    </row>
    <row r="127" spans="1:80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-3.000753402947522</v>
      </c>
      <c r="AJ127" s="157">
        <f>AO127/Nøgletal!O395*-1</f>
        <v>-3.000753402947522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3.000753402947522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N$37*Nøgletal!N$38*Nøgletal!N47+Nøgletal!N$65*Nøgletal!N$66*Nøgletal!N75+Nøgletal!N$93*Nøgletal!N$94*Nøgletal!N103+Nøgletal!N$121*Nøgletal!N$122*Nøgletal!N131+Nøgletal!N$149*Nøgletal!N$150*Nøgletal!N159+Nøgletal!N$181*Nøgletal!N$182*Nøgletal!N191+Nøgletal!N$211*Nøgletal!N$212*Nøgletal!N221+Nøgletal!N$240*Nøgletal!N$241*Nøgletal!N250</f>
        <v>3.000753402947522</v>
      </c>
      <c r="BX127" s="119"/>
      <c r="BY127" s="127">
        <f t="shared" si="78"/>
        <v>0</v>
      </c>
      <c r="BZ127" s="125">
        <v>0</v>
      </c>
      <c r="CA127" s="231"/>
      <c r="CB127" s="231"/>
    </row>
    <row r="128" spans="1:80" x14ac:dyDescent="0.25">
      <c r="A128" s="231"/>
      <c r="B128" s="231"/>
      <c r="C128" s="40">
        <f>C9+C68+' Plan Energi 2015'!C81</f>
        <v>0</v>
      </c>
      <c r="D128" s="231"/>
      <c r="E128" s="40">
        <f>E9+E68+' Plan Energi 2015'!I81</f>
        <v>-2.5000000000013642</v>
      </c>
      <c r="F128" s="40">
        <f>F9+F68+' Plan Energi 2015'!W81</f>
        <v>-0.22999545000007515</v>
      </c>
      <c r="G128" s="231"/>
      <c r="H128" s="40">
        <f>H9+H68+' Plan Energi 2015'!B81</f>
        <v>0</v>
      </c>
      <c r="I128" s="40">
        <f>I9+I68+' Plan Energi 2015'!D81</f>
        <v>0</v>
      </c>
      <c r="J128" s="40">
        <f>J9+J68+' Plan Energi 2015'!E81</f>
        <v>-8.7309000000033166E-3</v>
      </c>
      <c r="K128" s="40">
        <f>K9+K68+' Plan Energi 2015'!F81</f>
        <v>0</v>
      </c>
      <c r="L128" s="40">
        <f>L9+L68+' Plan Energi 2015'!G81</f>
        <v>0</v>
      </c>
      <c r="M128" s="40">
        <f>M9+M68+' Plan Energi 2015'!H81</f>
        <v>0</v>
      </c>
      <c r="N128" s="231"/>
      <c r="O128" s="40">
        <f>O9+O68+' Plan Energi 2015'!J81</f>
        <v>0</v>
      </c>
      <c r="P128" s="40">
        <f>P9+P68+' Plan Energi 2015'!K81</f>
        <v>0</v>
      </c>
      <c r="Q128" s="40">
        <f>Q9+Q68+' Plan Energi 2015'!L81</f>
        <v>0</v>
      </c>
      <c r="R128" s="40">
        <f>R9+R68+' Plan Energi 2015'!M81</f>
        <v>0</v>
      </c>
      <c r="S128" s="40">
        <f>S9+S68+' Plan Energi 2015'!N81</f>
        <v>0</v>
      </c>
      <c r="T128" s="231"/>
      <c r="U128" s="40">
        <f>U9+U68+' Plan Energi 2015'!O81</f>
        <v>0</v>
      </c>
      <c r="V128" s="40">
        <f>V9+V68+' Plan Energi 2015'!P81</f>
        <v>0</v>
      </c>
      <c r="W128" s="40">
        <f>W9+W68+' Plan Energi 2015'!Q81</f>
        <v>0</v>
      </c>
      <c r="X128" s="40">
        <f>X9+X68+' Plan Energi 2015'!R81</f>
        <v>-1.3079999999945358E-3</v>
      </c>
      <c r="Y128" s="40">
        <f>Y9+Y68+' Plan Energi 2015'!S81</f>
        <v>-0.20000000000004547</v>
      </c>
      <c r="Z128" s="40">
        <f>Z9+Z68+' Plan Energi 2015'!T81</f>
        <v>0</v>
      </c>
      <c r="AA128" s="40">
        <f>AA9+AA68+' Plan Energi 2015'!U81</f>
        <v>-0.28110555000012027</v>
      </c>
      <c r="AB128" s="40">
        <f>AB9+AB68+' Plan Energi 2015'!V81</f>
        <v>-1.4518800000006493E-2</v>
      </c>
      <c r="AC128" s="143">
        <f>BR10-' Plan Energi 2015'!A15</f>
        <v>-0.66654569220020221</v>
      </c>
      <c r="AD128" s="40">
        <f>AD68+SUM(' Plan Energi 2015'!AI39:AP68)+SUM(' Plan Energi 2015'!AI70:AP71)</f>
        <v>0</v>
      </c>
      <c r="AE128" s="231"/>
      <c r="AF128" s="231"/>
      <c r="AG128" s="231"/>
      <c r="AH128" s="231"/>
      <c r="AI128" s="231"/>
      <c r="AJ128" s="231"/>
      <c r="AK128" s="122"/>
      <c r="AL128" s="231"/>
      <c r="AM128" s="231"/>
      <c r="AN128" s="231"/>
      <c r="AO128" s="231"/>
      <c r="AP128" s="102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2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</row>
    <row r="129" spans="1:80" x14ac:dyDescent="0.25">
      <c r="A129" s="231"/>
      <c r="B129" s="231"/>
      <c r="C129" s="40"/>
      <c r="D129" s="40"/>
      <c r="E129" s="40"/>
      <c r="F129" s="40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 t="s">
        <v>667</v>
      </c>
      <c r="AC129" s="143">
        <f>AC69-' Plan Energi 2015'!A15</f>
        <v>-664.18924240641434</v>
      </c>
      <c r="AD129" s="143">
        <f>BS10+BS11+BS18+BS57+BS65-(SUM(' Plan Energi 2015'!AF32:AF38,' Plan Energi 2015'!AF40:AF42,' Plan Energi 2015'!AF44:AF51,' Plan Energi 2015'!AF53:AF54,' Plan Energi 2015'!AF56:AF61,' Plan Energi 2015'!AF63:AF68))</f>
        <v>2.0393159370005378</v>
      </c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2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31"/>
      <c r="BW129" s="231"/>
      <c r="BX129" s="231"/>
      <c r="BY129" s="231"/>
      <c r="BZ129" s="231"/>
      <c r="CA129" s="231"/>
      <c r="CB129" s="231"/>
    </row>
    <row r="130" spans="1:80" x14ac:dyDescent="0.25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2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B135"/>
  <sheetViews>
    <sheetView topLeftCell="AA1" workbookViewId="0">
      <selection activeCell="AK1" sqref="AK1"/>
    </sheetView>
  </sheetViews>
  <sheetFormatPr defaultRowHeight="15" x14ac:dyDescent="0.25"/>
  <cols>
    <col min="37" max="37" width="44.42578125" customWidth="1"/>
  </cols>
  <sheetData>
    <row r="1" spans="1:80" ht="157.5" x14ac:dyDescent="0.25">
      <c r="A1" s="231"/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  <c r="CA1" s="231"/>
      <c r="CB1" s="231"/>
    </row>
    <row r="2" spans="1:80" ht="36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  <c r="CA2" s="231"/>
      <c r="CB2" s="231"/>
    </row>
    <row r="3" spans="1:80" ht="37.5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  <c r="CA3" s="231"/>
      <c r="CB3" s="231"/>
    </row>
    <row r="4" spans="1:80" ht="18.75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  <c r="CA4" s="231"/>
      <c r="CB4" s="231"/>
    </row>
    <row r="5" spans="1:80" x14ac:dyDescent="0.25">
      <c r="A5" s="231"/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4761.1612362100004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3182.3288285600006</v>
      </c>
      <c r="AU5" s="11">
        <f>(F7+F5)*-1</f>
        <v>186.33089475000006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768.43739825000011</v>
      </c>
      <c r="BJ5" s="11">
        <f t="shared" ref="BJ5:BQ5" si="4">(U7+U5)*-1</f>
        <v>0</v>
      </c>
      <c r="BK5" s="11">
        <f t="shared" si="4"/>
        <v>84.465608999999986</v>
      </c>
      <c r="BL5" s="11">
        <f t="shared" si="4"/>
        <v>26.945943</v>
      </c>
      <c r="BM5" s="11">
        <f t="shared" si="4"/>
        <v>177.27625500000002</v>
      </c>
      <c r="BN5" s="11">
        <f t="shared" si="4"/>
        <v>241.81063700000004</v>
      </c>
      <c r="BO5" s="11">
        <f t="shared" si="4"/>
        <v>0</v>
      </c>
      <c r="BP5" s="11">
        <f t="shared" si="4"/>
        <v>227.73776025000006</v>
      </c>
      <c r="BQ5" s="11">
        <f t="shared" si="4"/>
        <v>10.201194000000003</v>
      </c>
      <c r="BR5" s="11"/>
      <c r="BS5" s="11"/>
      <c r="BT5" s="11"/>
      <c r="BU5" s="11">
        <f>-1*SUM(AF5,AF7,AF9,AF66,AF68)</f>
        <v>317.68721985000002</v>
      </c>
      <c r="BV5" s="11">
        <f>-1*SUM(AG5,AG7,AG9,AG66,AG68)</f>
        <v>0</v>
      </c>
      <c r="BW5" s="11">
        <f>-1*SUM(AH5,AH7,AH9,AH66,AH68)</f>
        <v>306.3768948</v>
      </c>
      <c r="BX5" s="11"/>
      <c r="BY5" s="123">
        <v>0</v>
      </c>
      <c r="BZ5" s="123">
        <f>(C5*Emissionsfaktorer!$F$4+E5*Emissionsfaktorer!$F$3+F5*Emissionsfaktorer!$F$5+H5*Emissionsfaktorer!$F$7+I5*Emissionsfaktorer!$F$8+J5*Emissionsfaktorer!$F$9+K5*Emissionsfaktorer!$F$10+L5*Emissionsfaktorer!$F$11+M5*Emissionsfaktorer!$F$12)*-1</f>
        <v>0</v>
      </c>
      <c r="CA5" s="231"/>
      <c r="CB5" s="231"/>
    </row>
    <row r="6" spans="1:80" x14ac:dyDescent="0.25">
      <c r="A6" s="231"/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Nøgletal!$L$283/IF(Nøgletal!$M$399=0,1,Nøgletal!$M$399)*Nøgletal!$L419*-1</f>
        <v>0</v>
      </c>
      <c r="V6" s="84"/>
      <c r="W6" s="84"/>
      <c r="X6" s="84"/>
      <c r="Y6" s="84"/>
      <c r="Z6" s="84">
        <f>Nøgletal!$L$283/IF(Nøgletal!$M$399=0,1,Nøgletal!$M$399)*Nøgletal!$L420*-1</f>
        <v>0</v>
      </c>
      <c r="AA6" s="84">
        <f>Nøgletal!$L$283/IF(Nøgletal!$M$399=0,1,Nøgletal!$M$399)*Nøgletal!$L421*-1</f>
        <v>0</v>
      </c>
      <c r="AB6" s="84">
        <f>Nøgletal!$L$283/IF(Nøgletal!$M$399=0,1,Nøgletal!$M$399)*Nøgletal!$L422*-1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Nøgletal!L283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(C6*Emissionsfaktorer!$F$4+E6*Emissionsfaktorer!$F$3+F6*Emissionsfaktorer!$F$5+H6*Emissionsfaktorer!$F$7+I6*Emissionsfaktorer!$F$8+J6*Emissionsfaktorer!$F$9+K6*Emissionsfaktorer!$F$10+L6*Emissionsfaktorer!$F$11+M6*Emissionsfaktorer!$F$12)*-1</f>
        <v>0</v>
      </c>
      <c r="CA6" s="231"/>
      <c r="CB6" s="231"/>
    </row>
    <row r="7" spans="1:80" x14ac:dyDescent="0.25">
      <c r="A7" s="231"/>
      <c r="B7" s="31"/>
      <c r="C7" s="11">
        <f>AR7*-1</f>
        <v>0</v>
      </c>
      <c r="D7" s="11">
        <f>AS7*-1</f>
        <v>0</v>
      </c>
      <c r="E7" s="11">
        <f>AT7*-1</f>
        <v>-3182.3288285600006</v>
      </c>
      <c r="F7" s="11">
        <f>AU7*-1</f>
        <v>-186.33089475000006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-768.43739825000011</v>
      </c>
      <c r="U7" s="11">
        <f>BJ7*-1</f>
        <v>0</v>
      </c>
      <c r="V7" s="11">
        <f t="shared" ref="V7:AB7" si="5">BK7*-1</f>
        <v>-84.465608999999986</v>
      </c>
      <c r="W7" s="11">
        <f t="shared" si="5"/>
        <v>-26.945943</v>
      </c>
      <c r="X7" s="11">
        <f t="shared" si="5"/>
        <v>-177.27625500000002</v>
      </c>
      <c r="Y7" s="11">
        <f t="shared" si="5"/>
        <v>-241.81063700000004</v>
      </c>
      <c r="Z7" s="11">
        <f t="shared" si="5"/>
        <v>0</v>
      </c>
      <c r="AA7" s="11">
        <f t="shared" si="5"/>
        <v>-227.73776025000006</v>
      </c>
      <c r="AB7" s="11">
        <f t="shared" si="5"/>
        <v>-10.201194000000003</v>
      </c>
      <c r="AC7" s="11"/>
      <c r="AD7" s="11"/>
      <c r="AE7" s="11"/>
      <c r="AF7" s="11"/>
      <c r="AG7" s="11"/>
      <c r="AH7" s="11"/>
      <c r="AI7" s="11"/>
      <c r="AJ7" s="105">
        <f t="shared" si="0"/>
        <v>-4137.0971215600002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4137.0971215600002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3182.3288285600006</v>
      </c>
      <c r="AU7" s="11">
        <f>(F9+F68)*-1</f>
        <v>186.33089475000006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768.43739825000011</v>
      </c>
      <c r="BJ7" s="11">
        <f t="shared" ref="BJ7:BQ7" si="9">(U9+U68)*-1</f>
        <v>0</v>
      </c>
      <c r="BK7" s="11">
        <f t="shared" si="9"/>
        <v>84.465608999999986</v>
      </c>
      <c r="BL7" s="11">
        <f t="shared" si="9"/>
        <v>26.945943</v>
      </c>
      <c r="BM7" s="11">
        <f t="shared" si="9"/>
        <v>177.27625500000002</v>
      </c>
      <c r="BN7" s="11">
        <f t="shared" si="9"/>
        <v>241.81063700000004</v>
      </c>
      <c r="BO7" s="11">
        <f t="shared" si="9"/>
        <v>0</v>
      </c>
      <c r="BP7" s="11">
        <f t="shared" si="9"/>
        <v>227.73776025000006</v>
      </c>
      <c r="BQ7" s="11">
        <f t="shared" si="9"/>
        <v>10.201194000000003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  <c r="CA7" s="231"/>
      <c r="CB7" s="231"/>
    </row>
    <row r="8" spans="1:80" x14ac:dyDescent="0.25">
      <c r="A8" s="231"/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65.599999999999994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65.599999999999994</v>
      </c>
      <c r="BD8" s="11">
        <f>-1*SUM(O5,O7,O9)</f>
        <v>50</v>
      </c>
      <c r="BE8" s="11">
        <f>-1*SUM(P5,P7,P9)</f>
        <v>0</v>
      </c>
      <c r="BF8" s="11">
        <f>-1*SUM(Q5,Q7,Q9)</f>
        <v>15.6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(C8*Emissionsfaktorer!$F$4+E8*Emissionsfaktorer!$F$3+F8*Emissionsfaktorer!$F$5+H8*Emissionsfaktorer!$F$7+I8*Emissionsfaktorer!$F$8+J8*Emissionsfaktorer!$F$9+K8*Emissionsfaktorer!$F$10+L8*Emissionsfaktorer!$F$11+M8*Emissionsfaktorer!$F$12)*-1</f>
        <v>0</v>
      </c>
      <c r="CA8" s="2"/>
      <c r="CB8" s="2"/>
    </row>
    <row r="9" spans="1:80" x14ac:dyDescent="0.25">
      <c r="A9" s="231"/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-2802.8000000000006</v>
      </c>
      <c r="F9" s="11">
        <f t="shared" si="10"/>
        <v>-186.33089475000006</v>
      </c>
      <c r="G9" s="11">
        <f t="shared" si="10"/>
        <v>-47.135088000000017</v>
      </c>
      <c r="H9" s="11">
        <f t="shared" si="10"/>
        <v>0</v>
      </c>
      <c r="I9" s="11">
        <f t="shared" si="10"/>
        <v>0</v>
      </c>
      <c r="J9" s="11">
        <f t="shared" si="10"/>
        <v>-47.135088000000017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-65.599999999999994</v>
      </c>
      <c r="O9" s="11">
        <f t="shared" si="10"/>
        <v>-50</v>
      </c>
      <c r="P9" s="11">
        <f t="shared" si="10"/>
        <v>0</v>
      </c>
      <c r="Q9" s="11">
        <f t="shared" si="10"/>
        <v>-15.6</v>
      </c>
      <c r="R9" s="11">
        <f t="shared" si="10"/>
        <v>0</v>
      </c>
      <c r="S9" s="11">
        <f t="shared" si="10"/>
        <v>0</v>
      </c>
      <c r="T9" s="11">
        <f t="shared" si="10"/>
        <v>-435.97178925000014</v>
      </c>
      <c r="U9" s="11">
        <f t="shared" si="10"/>
        <v>0</v>
      </c>
      <c r="V9" s="11">
        <f t="shared" si="10"/>
        <v>0</v>
      </c>
      <c r="W9" s="11">
        <f t="shared" si="10"/>
        <v>-2.9459430000000011</v>
      </c>
      <c r="X9" s="11">
        <f>SUM(X10:X11,X18,X57,X65)</f>
        <v>-21.27625500000001</v>
      </c>
      <c r="Y9" s="11">
        <f t="shared" ref="Y9:AI9" si="11">SUM(Y10:Y11,Y18,Y57,Y65)</f>
        <v>-173.81063700000004</v>
      </c>
      <c r="Z9" s="11">
        <f t="shared" si="11"/>
        <v>0</v>
      </c>
      <c r="AA9" s="11">
        <f t="shared" si="11"/>
        <v>-227.73776025000006</v>
      </c>
      <c r="AB9" s="11">
        <f t="shared" si="11"/>
        <v>-10.201194000000003</v>
      </c>
      <c r="AC9" s="11">
        <f t="shared" si="11"/>
        <v>-153.1884474</v>
      </c>
      <c r="AD9" s="11">
        <f t="shared" si="11"/>
        <v>0</v>
      </c>
      <c r="AE9" s="11">
        <f t="shared" si="11"/>
        <v>0</v>
      </c>
      <c r="AF9" s="11">
        <f t="shared" si="11"/>
        <v>-317.68721985000002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-4008.7134392500006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5429.8555543587454</v>
      </c>
      <c r="AP9" s="37">
        <f t="shared" si="6"/>
        <v>1.3545132713139578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1907.5765735960476</v>
      </c>
      <c r="AW9" s="11">
        <f>H66*-1</f>
        <v>20.38515701917029</v>
      </c>
      <c r="AX9" s="11">
        <f t="shared" ref="AX9:BB9" si="13">I66*-1</f>
        <v>6.9684014751648675</v>
      </c>
      <c r="AY9" s="11">
        <f t="shared" si="13"/>
        <v>109.16664864864865</v>
      </c>
      <c r="AZ9" s="11">
        <f t="shared" si="13"/>
        <v>906.92485768498443</v>
      </c>
      <c r="BA9" s="11">
        <f t="shared" si="13"/>
        <v>335.22584887306454</v>
      </c>
      <c r="BB9" s="11">
        <f t="shared" si="13"/>
        <v>528.90565989501488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1257.8073853886974</v>
      </c>
      <c r="BS9" s="11">
        <f>SUM(BS10:BS11,BS18,BS57,BS65)+AD9</f>
        <v>2111.2831479740007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153.1884474</v>
      </c>
      <c r="BX9" s="11">
        <f t="shared" si="12"/>
        <v>0</v>
      </c>
      <c r="BY9" s="123">
        <f t="shared" si="12"/>
        <v>862.46796745600045</v>
      </c>
      <c r="BZ9" s="123">
        <f t="shared" si="12"/>
        <v>264.92491569733659</v>
      </c>
      <c r="CA9" s="2"/>
      <c r="CB9" s="2"/>
    </row>
    <row r="10" spans="1:80" x14ac:dyDescent="0.25">
      <c r="A10" s="231"/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2483.9336179647448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1954.7116615960476</v>
      </c>
      <c r="AW10" s="85">
        <f>IF(-(AW$11+AW$18+AW$57+AW65)-(H$70+H$79+H$80+H$84)-H$9&gt;0,-(AW$11+AW$18+AW$57+AW65)-(H$70+H$79+H$80+H$84)-H$9,0)</f>
        <v>20.38515701917029</v>
      </c>
      <c r="AX10" s="85">
        <f t="shared" ref="AX10:BB10" si="17">IF(-(AX$11+AX$18+AX$57+AX65)-(I70+I79+I80+I84)-I$9&gt;0,-(AX$11+AX$18+AX$57+AX65)-(I70+I79+I80+I84)-I$9,0)</f>
        <v>6.9684014751648675</v>
      </c>
      <c r="AY10" s="85">
        <f t="shared" si="17"/>
        <v>156.30173664864867</v>
      </c>
      <c r="AZ10" s="85">
        <f t="shared" si="17"/>
        <v>906.92485768498443</v>
      </c>
      <c r="BA10" s="85">
        <f t="shared" si="17"/>
        <v>335.22584887306454</v>
      </c>
      <c r="BB10" s="85">
        <f t="shared" si="17"/>
        <v>528.90565989501488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IF(-($BR$11+$BR$18+$BR$57+BR65)-(AC70+AC79+AC80+AC84)/(1-Nøgletal!$L$294)-$AC$9&gt;0,-($BR$11+$BR$18+$BR$57+BR65)-(AC70+AC79+AC80+AC84)/(1-Nøgletal!$L$294)-$AC$9,0)</f>
        <v>529.22195636869708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BR10*Emissionsfaktorer!F6+BT10*Emissionsfaktorer!F14</f>
        <v>84.675513018991538</v>
      </c>
      <c r="CA10" s="2"/>
      <c r="CB10" s="2"/>
    </row>
    <row r="11" spans="1:80" x14ac:dyDescent="0.25">
      <c r="A11" s="231"/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-65.599999999999994</v>
      </c>
      <c r="O11" s="20">
        <f t="shared" si="18"/>
        <v>-50</v>
      </c>
      <c r="P11" s="20">
        <f t="shared" si="18"/>
        <v>0</v>
      </c>
      <c r="Q11" s="20">
        <f t="shared" si="18"/>
        <v>-15.6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-65.599999999999994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65.599999999999994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65.599999999999994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</row>
    <row r="12" spans="1:80" x14ac:dyDescent="0.25">
      <c r="A12" s="231"/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-15.6</v>
      </c>
      <c r="O12" s="23"/>
      <c r="P12" s="23"/>
      <c r="Q12" s="23">
        <f>AJ12</f>
        <v>-15.6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-15.6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15.6</v>
      </c>
      <c r="AP12" s="37">
        <f t="shared" si="6"/>
        <v>1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Nøgletal!L279</f>
        <v>15.6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(C12*Emissionsfaktorer!$F$4+E12*Emissionsfaktorer!$F$3+F12*Emissionsfaktorer!$F$5+H12*Emissionsfaktorer!$F$7+I12*Emissionsfaktorer!$F$8+J12*Emissionsfaktorer!$F$9+K12*Emissionsfaktorer!$F$10+L12*Emissionsfaktorer!$F$11+M12*Emissionsfaktorer!$F$12)*-1</f>
        <v>0</v>
      </c>
      <c r="CA12" s="2"/>
      <c r="CB12" s="2"/>
    </row>
    <row r="13" spans="1:80" x14ac:dyDescent="0.25">
      <c r="A13" s="231"/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-50</v>
      </c>
      <c r="O13" s="23">
        <f t="shared" si="21"/>
        <v>-50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-50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50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50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</row>
    <row r="14" spans="1:80" x14ac:dyDescent="0.25">
      <c r="A14" s="231"/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-50</v>
      </c>
      <c r="O14" s="278">
        <f>AJ14</f>
        <v>-50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-50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50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Nøgletal!L277</f>
        <v>50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(C14*Emissionsfaktorer!$F$4+E14*Emissionsfaktorer!$F$3+F14*Emissionsfaktorer!$F$5+H14*Emissionsfaktorer!$F$7+I14*Emissionsfaktorer!$F$8+J14*Emissionsfaktorer!$F$9+K14*Emissionsfaktorer!$F$10+L14*Emissionsfaktorer!$F$11+M14*Emissionsfaktorer!$F$12)*-1</f>
        <v>0</v>
      </c>
      <c r="CA14" s="231"/>
      <c r="CB14" s="2"/>
    </row>
    <row r="15" spans="1:80" x14ac:dyDescent="0.25">
      <c r="A15" s="231"/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Nøgletal!L278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(C15*Emissionsfaktorer!$F$4+E15*Emissionsfaktorer!$F$3+F15*Emissionsfaktorer!$F$5+H15*Emissionsfaktorer!$F$7+I15*Emissionsfaktorer!$F$8+J15*Emissionsfaktorer!$F$9+K15*Emissionsfaktorer!$F$10+L15*Emissionsfaktorer!$F$11+M15*Emissionsfaktorer!$F$12)*-1</f>
        <v>0</v>
      </c>
      <c r="CA15" s="231"/>
      <c r="CB15" s="231"/>
    </row>
    <row r="16" spans="1:80" x14ac:dyDescent="0.25">
      <c r="A16" s="231"/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Nøgletal!L280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(C16*Emissionsfaktorer!$F$4+E16*Emissionsfaktorer!$F$3+F16*Emissionsfaktorer!$F$5+H16*Emissionsfaktorer!$F$7+I16*Emissionsfaktorer!$F$8+J16*Emissionsfaktorer!$F$9+K16*Emissionsfaktorer!$F$10+L16*Emissionsfaktorer!$F$11+M16*Emissionsfaktorer!$F$12)*-1</f>
        <v>0</v>
      </c>
      <c r="CA16" s="231"/>
      <c r="CB16" s="231"/>
    </row>
    <row r="17" spans="1:80" x14ac:dyDescent="0.25">
      <c r="A17" s="231"/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Nøgletal!L276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(C17*Emissionsfaktorer!$F$4+E17*Emissionsfaktorer!$F$3+F17*Emissionsfaktorer!$F$5+H17*Emissionsfaktorer!$F$7+I17*Emissionsfaktorer!$F$8+J17*Emissionsfaktorer!$F$9+K17*Emissionsfaktorer!$F$10+L17*Emissionsfaktorer!$F$11+M17*Emissionsfaktorer!$F$12)*-1</f>
        <v>0</v>
      </c>
      <c r="CA17" s="231"/>
      <c r="CB17" s="231"/>
    </row>
    <row r="18" spans="1:80" x14ac:dyDescent="0.25">
      <c r="A18" s="231"/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-3.0000000000000004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-3.0000000000000004</v>
      </c>
      <c r="AC18" s="20">
        <f t="shared" si="23"/>
        <v>-153.1884474</v>
      </c>
      <c r="AD18" s="20">
        <f t="shared" si="23"/>
        <v>0</v>
      </c>
      <c r="AE18" s="20">
        <f t="shared" si="23"/>
        <v>0</v>
      </c>
      <c r="AF18" s="20">
        <f t="shared" si="23"/>
        <v>-317.68721985000002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-473.87566724999999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471.77866725000001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0.90300000000000014</v>
      </c>
      <c r="BS18" s="20">
        <f t="shared" si="24"/>
        <v>317.68721985000002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153.1884474</v>
      </c>
      <c r="BX18" s="20">
        <f t="shared" si="24"/>
        <v>0</v>
      </c>
      <c r="BY18" s="263">
        <f t="shared" si="24"/>
        <v>2.0970000000000004</v>
      </c>
      <c r="BZ18" s="263">
        <f t="shared" si="24"/>
        <v>0</v>
      </c>
      <c r="CA18" s="231"/>
      <c r="CB18" s="231"/>
    </row>
    <row r="19" spans="1:80" x14ac:dyDescent="0.25">
      <c r="A19" s="231"/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Nøgletal!L268/(1-Nøgletal!L295)</f>
        <v>0</v>
      </c>
      <c r="BT19" s="23">
        <f>Nøgletal!M268/(1-Nøgletal!M295)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  <c r="CA19" s="231"/>
      <c r="CB19" s="231"/>
    </row>
    <row r="20" spans="1:80" x14ac:dyDescent="0.25">
      <c r="A20" s="231"/>
      <c r="B20" s="31"/>
      <c r="C20" s="278">
        <f>AJ20*Nøgletal!L429</f>
        <v>0</v>
      </c>
      <c r="D20" s="278"/>
      <c r="E20" s="278">
        <f>AJ20*Nøgletal!L431</f>
        <v>0</v>
      </c>
      <c r="F20" s="278"/>
      <c r="G20" s="278">
        <f t="shared" ref="G20:G83" si="29">SUM(H20:M20)</f>
        <v>0</v>
      </c>
      <c r="H20" s="278"/>
      <c r="I20" s="278">
        <f>AJ20*Nøgletal!L430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AJ20*Nøgletal!L432</f>
        <v>0</v>
      </c>
      <c r="V20" s="278">
        <f>AJ20*Nøgletal!L433</f>
        <v>0</v>
      </c>
      <c r="W20" s="278">
        <f>AJ20*Nøgletal!L434</f>
        <v>0</v>
      </c>
      <c r="X20" s="278">
        <f>AJ20*Nøgletal!L435</f>
        <v>0</v>
      </c>
      <c r="Y20" s="278">
        <f>AJ20*Nøgletal!L436</f>
        <v>0</v>
      </c>
      <c r="Z20" s="278"/>
      <c r="AA20" s="278"/>
      <c r="AB20" s="278">
        <f>AJ20*Nøgletal!L437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-AO20/IF(Nøgletal!L345+Nøgletal!M345&gt;0,Nøgletal!L345+Nøgletal!M345,1)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BS20/IF(Nøgletal!M345&gt;0,Nøgletal!M345,1)*Nøgletal!L345</f>
        <v>0</v>
      </c>
      <c r="BS20" s="278">
        <f>BS$19*Nøgletal!L303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F$4+E20*Emissionsfaktorer!$F$3+F20*Emissionsfaktorer!$F$5+H20*Emissionsfaktorer!$F$7+I20*Emissionsfaktorer!$F$8+J20*Emissionsfaktorer!$F$9+K20*Emissionsfaktorer!$F$10+L20*Emissionsfaktorer!$F$11+M20*Emissionsfaktorer!$F$12)*-1*(1-Nøgletal!$L$301)+T20*Emissionsfaktorer!$F$13*Nøgletal!$L$301</f>
        <v>0</v>
      </c>
      <c r="CA20" s="231"/>
      <c r="CB20" s="231"/>
    </row>
    <row r="21" spans="1:80" x14ac:dyDescent="0.25">
      <c r="A21" s="231"/>
      <c r="B21" s="31"/>
      <c r="C21" s="278"/>
      <c r="D21" s="278"/>
      <c r="E21" s="278">
        <f>AJ21*Nøgletal!L443</f>
        <v>0</v>
      </c>
      <c r="F21" s="278"/>
      <c r="G21" s="278">
        <f t="shared" si="29"/>
        <v>0</v>
      </c>
      <c r="H21" s="278"/>
      <c r="I21" s="278">
        <f>AJ21*Nøgletal!L439</f>
        <v>0</v>
      </c>
      <c r="J21" s="278">
        <f>AJ21*Nøgletal!L440</f>
        <v>0</v>
      </c>
      <c r="K21" s="278">
        <f>AJ21*Nøgletal!L441</f>
        <v>0</v>
      </c>
      <c r="L21" s="278"/>
      <c r="M21" s="278">
        <f>AJ21*Nøgletal!L442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AJ21*Nøgletal!L444</f>
        <v>0</v>
      </c>
      <c r="V21" s="278">
        <f>AJ21*Nøgletal!L445</f>
        <v>0</v>
      </c>
      <c r="W21" s="278">
        <f>AJ21*Nøgletal!L446</f>
        <v>0</v>
      </c>
      <c r="X21" s="278">
        <f>AJ21*Nøgletal!L447</f>
        <v>0</v>
      </c>
      <c r="Y21" s="278">
        <f>AJ21*Nøgletal!L448</f>
        <v>0</v>
      </c>
      <c r="Z21" s="278"/>
      <c r="AA21" s="278"/>
      <c r="AB21" s="278">
        <f>AJ21*Nøgletal!L449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-AO21/IF(Nøgletal!L346+Nøgletal!M346&gt;0,Nøgletal!L346+Nøgletal!M346,1)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BS21/IF(Nøgletal!M346&gt;0,Nøgletal!M346,1)*Nøgletal!L346</f>
        <v>0</v>
      </c>
      <c r="BS21" s="278">
        <f>BS$19*Nøgletal!L304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F$4+E21*Emissionsfaktorer!$F$3+F21*Emissionsfaktorer!$F$5+H21*Emissionsfaktorer!$F$7+I21*Emissionsfaktorer!$F$8+J21*Emissionsfaktorer!$F$9+K21*Emissionsfaktorer!$F$10+L21*Emissionsfaktorer!$F$11+M21*Emissionsfaktorer!$F$12)*-1*(1-Nøgletal!$L$301)+T21*Emissionsfaktorer!$F$13*Nøgletal!$L$301</f>
        <v>0</v>
      </c>
      <c r="CA21" s="231"/>
      <c r="CB21" s="231"/>
    </row>
    <row r="22" spans="1:80" x14ac:dyDescent="0.25">
      <c r="A22" s="231"/>
      <c r="B22" s="31"/>
      <c r="C22" s="278"/>
      <c r="D22" s="278"/>
      <c r="E22" s="278">
        <f>AJ22*Nøgletal!L451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AJ22*Nøgletal!L452</f>
        <v>0</v>
      </c>
      <c r="V22" s="278"/>
      <c r="W22" s="278"/>
      <c r="X22" s="278"/>
      <c r="Y22" s="278"/>
      <c r="Z22" s="278"/>
      <c r="AA22" s="278"/>
      <c r="AB22" s="278">
        <f>AJ22*Nøgletal!L453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-AO22/IF(Nøgletal!L347+Nøgletal!M347&gt;0,Nøgletal!L347+Nøgletal!M347,1)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BS22/IF(Nøgletal!M347&gt;0,Nøgletal!M347,1)*Nøgletal!L347</f>
        <v>0</v>
      </c>
      <c r="BS22" s="278">
        <f>BS$19*Nøgletal!L305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F$4+E22*Emissionsfaktorer!$F$3+F22*Emissionsfaktorer!$F$5+H22*Emissionsfaktorer!$F$7+I22*Emissionsfaktorer!$F$8+J22*Emissionsfaktorer!$F$9+K22*Emissionsfaktorer!$F$10+L22*Emissionsfaktorer!$F$11+M22*Emissionsfaktorer!$F$12)*-1*(1-Nøgletal!$L$301)+T22*Emissionsfaktorer!$F$13*Nøgletal!$L$301</f>
        <v>0</v>
      </c>
      <c r="CA22" s="231"/>
      <c r="CB22" s="231"/>
    </row>
    <row r="23" spans="1:80" x14ac:dyDescent="0.25">
      <c r="A23" s="231"/>
      <c r="B23" s="31"/>
      <c r="C23" s="278">
        <f>AJ23*Nøgletal!L455</f>
        <v>0</v>
      </c>
      <c r="D23" s="278"/>
      <c r="E23" s="278">
        <f>AJ23*Nøgletal!L457</f>
        <v>0</v>
      </c>
      <c r="F23" s="278"/>
      <c r="G23" s="278">
        <f t="shared" si="29"/>
        <v>0</v>
      </c>
      <c r="H23" s="278"/>
      <c r="I23" s="278">
        <f>AJ23*Nøgletal!L456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AJ23*Nøgletal!L458</f>
        <v>0</v>
      </c>
      <c r="V23" s="278">
        <f>AJ23*Nøgletal!L459</f>
        <v>0</v>
      </c>
      <c r="W23" s="278">
        <f>AJ23*Nøgletal!L460</f>
        <v>0</v>
      </c>
      <c r="X23" s="278">
        <f>AJ23*Nøgletal!L461</f>
        <v>0</v>
      </c>
      <c r="Y23" s="278">
        <f>AJ23*Nøgletal!L462</f>
        <v>0</v>
      </c>
      <c r="Z23" s="278"/>
      <c r="AA23" s="278"/>
      <c r="AB23" s="278">
        <f>AJ23*Nøgletal!L463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-AO23/IF(Nøgletal!L348+Nøgletal!M348&gt;0,Nøgletal!L348+Nøgletal!M348,1)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BS23/IF(Nøgletal!M348&gt;0,Nøgletal!M348,1)*Nøgletal!L348</f>
        <v>0</v>
      </c>
      <c r="BS23" s="278">
        <f>BS$19*Nøgletal!L306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F$4+E23*Emissionsfaktorer!$F$3+F23*Emissionsfaktorer!$F$5+H23*Emissionsfaktorer!$F$7+I23*Emissionsfaktorer!$F$8+J23*Emissionsfaktorer!$F$9+K23*Emissionsfaktorer!$F$10+L23*Emissionsfaktorer!$F$11+M23*Emissionsfaktorer!$F$12)*-1*(1-Nøgletal!$L$301)+T23*Emissionsfaktorer!$F$13*Nøgletal!$L$301</f>
        <v>0</v>
      </c>
      <c r="CA23" s="231"/>
      <c r="CB23" s="231"/>
    </row>
    <row r="24" spans="1:80" x14ac:dyDescent="0.25">
      <c r="A24" s="231"/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-AO24*(1-1/IF(Nøgletal!M349&gt;0,Nøgletal!M349,1))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-AO24/Nøgletal!M465/(1-Nøgletal!L294)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BS$19*Nøgletal!L307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F$4+E24*Emissionsfaktorer!$F$3+F24*Emissionsfaktorer!$F$5+H24*Emissionsfaktorer!$F$7+I24*Emissionsfaktorer!$F$8+J24*Emissionsfaktorer!$F$9+K24*Emissionsfaktorer!$F$10+L24*Emissionsfaktorer!$F$11+M24*Emissionsfaktorer!$F$12)*-1*(1-Nøgletal!$L$301)+T24*Emissionsfaktorer!$F$13*Nøgletal!$L$301</f>
        <v>0</v>
      </c>
      <c r="CA24" s="231"/>
      <c r="CB24" s="231"/>
    </row>
    <row r="25" spans="1:80" x14ac:dyDescent="0.25">
      <c r="A25" s="231"/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-AO25/IF(Nøgletal!L350+Nøgletal!M350&gt;0,Nøgletal!L350+Nøgletal!M350,1)/(1-Nøgletal!L294)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BS$19*Nøgletal!L308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F$4+E25*Emissionsfaktorer!$F$3+F25*Emissionsfaktorer!$F$5+H25*Emissionsfaktorer!$F$7+I25*Emissionsfaktorer!$F$8+J25*Emissionsfaktorer!$F$9+K25*Emissionsfaktorer!$F$10+L25*Emissionsfaktorer!$F$11+M25*Emissionsfaktorer!$F$12)*-1*(1-Nøgletal!$L$301)+T25*Emissionsfaktorer!$F$13*Nøgletal!$L$301</f>
        <v>0</v>
      </c>
      <c r="CA25" s="231"/>
      <c r="CB25" s="231"/>
    </row>
    <row r="26" spans="1:80" x14ac:dyDescent="0.25">
      <c r="A26" s="231"/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-AO26/IF(Nøgletal!L352+Nøgletal!M352&gt;0,Nøgletal!L352+Nøgletal!M352,1)/(1-Nøgletal!L295)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F$4+E26*Emissionsfaktorer!$F$3+F26*Emissionsfaktorer!$F$5+H26*Emissionsfaktorer!$F$7+I26*Emissionsfaktorer!$F$8+J26*Emissionsfaktorer!$F$9+K26*Emissionsfaktorer!$F$10+L26*Emissionsfaktorer!$F$11+M26*Emissionsfaktorer!$F$12)*-1*(1-Nøgletal!$L$301)+T26*Emissionsfaktorer!$F$13*Nøgletal!$L$301</f>
        <v>0</v>
      </c>
      <c r="CA26" s="231"/>
      <c r="CB26" s="231"/>
    </row>
    <row r="27" spans="1:80" x14ac:dyDescent="0.25">
      <c r="A27" s="231"/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Nøgletal!L270/(1-Nøgletal!L297)</f>
        <v>0</v>
      </c>
      <c r="BT27" s="23">
        <f>Nøgletal!M270/(1-Nøgletal!M297)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  <c r="CA27" s="231"/>
      <c r="CB27" s="231"/>
    </row>
    <row r="28" spans="1:80" x14ac:dyDescent="0.25">
      <c r="A28" s="231"/>
      <c r="B28" s="31"/>
      <c r="C28" s="278">
        <f>AJ28*Nøgletal!L479</f>
        <v>0</v>
      </c>
      <c r="D28" s="278"/>
      <c r="E28" s="278">
        <f>AJ28*Nøgletal!L481</f>
        <v>0</v>
      </c>
      <c r="F28" s="278"/>
      <c r="G28" s="278">
        <f t="shared" si="29"/>
        <v>0</v>
      </c>
      <c r="H28" s="278"/>
      <c r="I28" s="278">
        <f>AJ28*Nøgletal!L480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AJ28*Nøgletal!L482</f>
        <v>0</v>
      </c>
      <c r="V28" s="278">
        <f>AJ28*Nøgletal!L483</f>
        <v>0</v>
      </c>
      <c r="W28" s="278">
        <f>AJ28*Nøgletal!L484</f>
        <v>0</v>
      </c>
      <c r="X28" s="278">
        <f>AJ28*Nøgletal!L485</f>
        <v>0</v>
      </c>
      <c r="Y28" s="278">
        <f>AJ28*Nøgletal!L486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-AO28/IF(Nøgletal!L357+Nøgletal!M357&gt;0,Nøgletal!L357+Nøgletal!M357,1)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BS28/IF(Nøgletal!M357&gt;0,Nøgletal!M357,1)*Nøgletal!L357</f>
        <v>0</v>
      </c>
      <c r="BS28" s="286">
        <f>BS$27*Nøgletal!L317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F$4+E28*Emissionsfaktorer!$F$3+F28*Emissionsfaktorer!$F$5+H28*Emissionsfaktorer!$F$7+I28*Emissionsfaktorer!$F$8+J28*Emissionsfaktorer!$F$9+K28*Emissionsfaktorer!$F$10+L28*Emissionsfaktorer!$F$11+M28*Emissionsfaktorer!$F$12)*-1*(1-Nøgletal!$L$315)+T28*Emissionsfaktorer!$F$13*Nøgletal!$L$315</f>
        <v>0</v>
      </c>
      <c r="CA28" s="231"/>
      <c r="CB28" s="231"/>
    </row>
    <row r="29" spans="1:80" x14ac:dyDescent="0.25">
      <c r="A29" s="231"/>
      <c r="B29" s="31"/>
      <c r="C29" s="278"/>
      <c r="D29" s="278"/>
      <c r="E29" s="278">
        <f>AJ29*Nøgletal!L492</f>
        <v>0</v>
      </c>
      <c r="F29" s="278"/>
      <c r="G29" s="278">
        <f t="shared" si="29"/>
        <v>0</v>
      </c>
      <c r="H29" s="278"/>
      <c r="I29" s="278">
        <f>AJ29*Nøgletal!L488</f>
        <v>0</v>
      </c>
      <c r="J29" s="278">
        <f>AJ29*Nøgletal!L489</f>
        <v>0</v>
      </c>
      <c r="K29" s="278">
        <f>AJ29*Nøgletal!L490</f>
        <v>0</v>
      </c>
      <c r="L29" s="278"/>
      <c r="M29" s="278">
        <f>AJ29*Nøgletal!L491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AJ29*Nøgletal!L493</f>
        <v>0</v>
      </c>
      <c r="V29" s="278">
        <f>AJ29*Nøgletal!L494</f>
        <v>0</v>
      </c>
      <c r="W29" s="278">
        <f>AJ29*Nøgletal!L495</f>
        <v>0</v>
      </c>
      <c r="X29" s="278">
        <f>AJ29*Nøgletal!L496</f>
        <v>0</v>
      </c>
      <c r="Y29" s="278">
        <f>Nøgletal!L497</f>
        <v>0</v>
      </c>
      <c r="Z29" s="278"/>
      <c r="AA29" s="278"/>
      <c r="AB29" s="278">
        <f>AJ29*Nøgletal!L498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-AO29/IF(Nøgletal!L358+Nøgletal!M358&gt;0,Nøgletal!L358+Nøgletal!M358,1)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BS29/IF(Nøgletal!M358&gt;0,Nøgletal!M358,1)*Nøgletal!L358</f>
        <v>0</v>
      </c>
      <c r="BS29" s="286">
        <f>BS$27*Nøgletal!L318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F$4+E29*Emissionsfaktorer!$F$3+F29*Emissionsfaktorer!$F$5+H29*Emissionsfaktorer!$F$7+I29*Emissionsfaktorer!$F$8+J29*Emissionsfaktorer!$F$9+K29*Emissionsfaktorer!$F$10+L29*Emissionsfaktorer!$F$11+M29*Emissionsfaktorer!$F$12)*-1*(1-Nøgletal!$L$315)+T29*Emissionsfaktorer!$F$13*Nøgletal!$L$315</f>
        <v>0</v>
      </c>
      <c r="CA29" s="231"/>
      <c r="CB29" s="231"/>
    </row>
    <row r="30" spans="1:80" x14ac:dyDescent="0.25">
      <c r="A30" s="231"/>
      <c r="B30" s="31"/>
      <c r="C30" s="278"/>
      <c r="D30" s="278"/>
      <c r="E30" s="278">
        <f>AJ30*Nøgletal!L500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AJ30*Nøgletal!L501</f>
        <v>0</v>
      </c>
      <c r="V30" s="278"/>
      <c r="W30" s="278"/>
      <c r="X30" s="278"/>
      <c r="Y30" s="278"/>
      <c r="Z30" s="278"/>
      <c r="AA30" s="278"/>
      <c r="AB30" s="278">
        <f>AJ30*Nøgletal!L502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-AO30/IF(Nøgletal!L359+Nøgletal!M359&gt;0,Nøgletal!L359+Nøgletal!M359,1)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BS30/IF(Nøgletal!M359&gt;0,Nøgletal!M359,1)*Nøgletal!L359</f>
        <v>0</v>
      </c>
      <c r="BS30" s="286">
        <f>BS$27*Nøgletal!L319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F$4+E30*Emissionsfaktorer!$F$3+F30*Emissionsfaktorer!$F$5+H30*Emissionsfaktorer!$F$7+I30*Emissionsfaktorer!$F$8+J30*Emissionsfaktorer!$F$9+K30*Emissionsfaktorer!$F$10+L30*Emissionsfaktorer!$F$11+M30*Emissionsfaktorer!$F$12)*-1*(1-Nøgletal!$L$315)+T30*Emissionsfaktorer!$F$13*Nøgletal!$L$315</f>
        <v>0</v>
      </c>
      <c r="CA30" s="231"/>
      <c r="CB30" s="231"/>
    </row>
    <row r="31" spans="1:80" x14ac:dyDescent="0.25">
      <c r="A31" s="231"/>
      <c r="B31" s="31"/>
      <c r="C31" s="278">
        <f>AJ31*Nøgletal!L504</f>
        <v>0</v>
      </c>
      <c r="D31" s="278"/>
      <c r="E31" s="278">
        <f>AJ31*Nøgletal!L506</f>
        <v>0</v>
      </c>
      <c r="F31" s="278"/>
      <c r="G31" s="278">
        <f t="shared" si="29"/>
        <v>0</v>
      </c>
      <c r="H31" s="278"/>
      <c r="I31" s="278">
        <f>AJ31*Nøgletal!L505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AJ31*Nøgletal!L507</f>
        <v>0</v>
      </c>
      <c r="V31" s="278">
        <f>AJ31*Nøgletal!L508</f>
        <v>0</v>
      </c>
      <c r="W31" s="278">
        <f>AJ31*Nøgletal!L509</f>
        <v>0</v>
      </c>
      <c r="X31" s="278">
        <f>AJ31*Nøgletal!L510</f>
        <v>0</v>
      </c>
      <c r="Y31" s="278">
        <f>AJ31*Nøgletal!L511</f>
        <v>0</v>
      </c>
      <c r="Z31" s="278"/>
      <c r="AA31" s="278"/>
      <c r="AB31" s="278">
        <f>AJ31*Nøgletal!L512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-AO31/IF(Nøgletal!L360+Nøgletal!M360&gt;0,Nøgletal!L360+Nøgletal!M360,1)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BS31/IF(Nøgletal!M360&gt;0,Nøgletal!M360,1)*Nøgletal!L360</f>
        <v>0</v>
      </c>
      <c r="BS31" s="286">
        <f>BS$27*Nøgletal!L320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F$4+E31*Emissionsfaktorer!$F$3+F31*Emissionsfaktorer!$F$5+H31*Emissionsfaktorer!$F$7+I31*Emissionsfaktorer!$F$8+J31*Emissionsfaktorer!$F$9+K31*Emissionsfaktorer!$F$10+L31*Emissionsfaktorer!$F$11+M31*Emissionsfaktorer!$F$12)*-1*(1-Nøgletal!$L$315)+T31*Emissionsfaktorer!$F$13*Nøgletal!$L$315</f>
        <v>0</v>
      </c>
      <c r="CA31" s="231"/>
      <c r="CB31" s="231"/>
    </row>
    <row r="32" spans="1:80" x14ac:dyDescent="0.25">
      <c r="A32" s="231"/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AO32*(1-1/IF(Nøgletal!M361&gt;0,Nøgletal!M361,1))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-AO32/Nøgletal!M514/(1-Nøgletal!L294)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BS$27*Nøgletal!L321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F$4+E32*Emissionsfaktorer!$F$3+F32*Emissionsfaktorer!$F$5+H32*Emissionsfaktorer!$F$7+I32*Emissionsfaktorer!$F$8+J32*Emissionsfaktorer!$F$9+K32*Emissionsfaktorer!$F$10+L32*Emissionsfaktorer!$F$11+M32*Emissionsfaktorer!$F$12)*-1*(1-Nøgletal!$L$315)+T32*Emissionsfaktorer!$F$13*Nøgletal!$L$315</f>
        <v>0</v>
      </c>
      <c r="CA32" s="231"/>
      <c r="CB32" s="231"/>
    </row>
    <row r="33" spans="1:80" x14ac:dyDescent="0.25">
      <c r="A33" s="231"/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-AO33/IF(Nøgletal!L362+Nøgletal!M362&gt;0,Nøgletal!L362+Nøgletal!M362,1)/(1-Nøgletal!L294)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BS$27*Nøgletal!L322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F$4+E33*Emissionsfaktorer!$F$3+F33*Emissionsfaktorer!$F$5+H33*Emissionsfaktorer!$F$7+I33*Emissionsfaktorer!$F$8+J33*Emissionsfaktorer!$F$9+K33*Emissionsfaktorer!$F$10+L33*Emissionsfaktorer!$F$11+M33*Emissionsfaktorer!$F$12)*-1*(1-Nøgletal!$L$315)+T33*Emissionsfaktorer!$F$13*Nøgletal!$L$315</f>
        <v>0</v>
      </c>
      <c r="CA33" s="231"/>
      <c r="CB33" s="231"/>
    </row>
    <row r="34" spans="1:80" x14ac:dyDescent="0.25">
      <c r="A34" s="231"/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-AO34/IF(Nøgletal!L363+Nøgletal!M363&gt;0,Nøgletal!L363+Nøgletal!M363,1)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BS34/IF(Nøgletal!M363&gt;0,Nøgletal!M363,1)*Nøgletal!L363</f>
        <v>0</v>
      </c>
      <c r="BS34" s="286">
        <f>BS$27*Nøgletal!L323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F$4+E34*Emissionsfaktorer!$F$3+F34*Emissionsfaktorer!$F$5+H34*Emissionsfaktorer!$F$7+I34*Emissionsfaktorer!$F$8+J34*Emissionsfaktorer!$F$9+K34*Emissionsfaktorer!$F$10+L34*Emissionsfaktorer!$F$11+M34*Emissionsfaktorer!$F$12)*-1*(1-Nøgletal!$L$315)+T34*Emissionsfaktorer!$F$13*Nøgletal!$L$315</f>
        <v>0</v>
      </c>
      <c r="CA34" s="231"/>
      <c r="CB34" s="231"/>
    </row>
    <row r="35" spans="1:80" x14ac:dyDescent="0.25">
      <c r="A35" s="231"/>
      <c r="B35" s="31"/>
      <c r="C35" s="278">
        <f>AJ35*Nøgletal!L518</f>
        <v>0</v>
      </c>
      <c r="D35" s="278"/>
      <c r="E35" s="278">
        <f>AJ35*Nøgletal!L520</f>
        <v>0</v>
      </c>
      <c r="F35" s="278"/>
      <c r="G35" s="278">
        <f t="shared" si="29"/>
        <v>0</v>
      </c>
      <c r="H35" s="278"/>
      <c r="I35" s="278">
        <f>AJ35*Nøgletal!L519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AJ35*Nøgletal!L521</f>
        <v>0</v>
      </c>
      <c r="V35" s="278">
        <f>AJ35*Nøgletal!L522</f>
        <v>0</v>
      </c>
      <c r="W35" s="278">
        <f>AJ35*Nøgletal!L523</f>
        <v>0</v>
      </c>
      <c r="X35" s="278">
        <f>AJ35*Nøgletal!L524</f>
        <v>0</v>
      </c>
      <c r="Y35" s="278">
        <f>AJ35*Nøgletal!L525</f>
        <v>0</v>
      </c>
      <c r="Z35" s="278"/>
      <c r="AA35" s="278"/>
      <c r="AB35" s="278">
        <f>AJ35*Nøgletal!L526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-AO35/IF(Nøgletal!L364+Nøgletal!M364&gt;0,Nøgletal!L364+Nøgletal!M364,1)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BS35/IF(Nøgletal!M364&gt;0,Nøgletal!M364,1)*Nøgletal!L364</f>
        <v>0</v>
      </c>
      <c r="BS35" s="286">
        <f>BS$27*Nøgletal!L324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F$4+E35*Emissionsfaktorer!$F$3+F35*Emissionsfaktorer!$F$5+H35*Emissionsfaktorer!$F$7+I35*Emissionsfaktorer!$F$8+J35*Emissionsfaktorer!$F$9+K35*Emissionsfaktorer!$F$10+L35*Emissionsfaktorer!$F$11+M35*Emissionsfaktorer!$F$12)*-1*(1-Nøgletal!$L$315)+T35*Emissionsfaktorer!$F$13*Nøgletal!$L$315</f>
        <v>0</v>
      </c>
      <c r="CA35" s="231"/>
      <c r="CB35" s="231"/>
    </row>
    <row r="36" spans="1:80" x14ac:dyDescent="0.25">
      <c r="A36" s="231"/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F$4+E36*Emissionsfaktorer!$F$3+F36*Emissionsfaktorer!$F$5+H36*Emissionsfaktorer!$F$7+I36*Emissionsfaktorer!$F$8+J36*Emissionsfaktorer!$F$9+K36*Emissionsfaktorer!$F$10+L36*Emissionsfaktorer!$F$11+M36*Emissionsfaktorer!$F$12)*-1*(1-Nøgletal!$L$315)+T36*Emissionsfaktorer!$F$13*Nøgletal!$L$315</f>
        <v>0</v>
      </c>
      <c r="CA36" s="231"/>
      <c r="CB36" s="231"/>
    </row>
    <row r="37" spans="1:80" x14ac:dyDescent="0.25">
      <c r="A37" s="231"/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-3.0000000000000004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-3.0000000000000004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-3.0000000000000004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0.90300000000000014</v>
      </c>
      <c r="AP37" s="37">
        <f t="shared" si="6"/>
        <v>0.30099999999999999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0.90300000000000014</v>
      </c>
      <c r="BS37" s="23">
        <f>Nøgletal!L271/(1-Nøgletal!L298)</f>
        <v>0</v>
      </c>
      <c r="BT37" s="23">
        <f>Nøgletal!M271/(1-Nøgletal!M298)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2.0970000000000004</v>
      </c>
      <c r="BZ37" s="126">
        <f t="shared" si="37"/>
        <v>0</v>
      </c>
      <c r="CA37" s="231"/>
      <c r="CB37" s="231"/>
    </row>
    <row r="38" spans="1:80" x14ac:dyDescent="0.25">
      <c r="A38" s="231"/>
      <c r="B38" s="31"/>
      <c r="C38" s="278"/>
      <c r="D38" s="278"/>
      <c r="E38" s="278">
        <f>AJ38*Nøgletal!L532</f>
        <v>0</v>
      </c>
      <c r="F38" s="278"/>
      <c r="G38" s="278">
        <f t="shared" si="29"/>
        <v>0</v>
      </c>
      <c r="H38" s="278"/>
      <c r="I38" s="278">
        <f>AJ38*Nøgletal!L528</f>
        <v>0</v>
      </c>
      <c r="J38" s="278">
        <f>AJ38*Nøgletal!L529</f>
        <v>0</v>
      </c>
      <c r="K38" s="278">
        <f>AJ38*Nøgletal!L530</f>
        <v>0</v>
      </c>
      <c r="L38" s="278"/>
      <c r="M38" s="278">
        <f>AJ38*Nøgletal!L531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-3.0000000000000004</v>
      </c>
      <c r="U38" s="278">
        <f>AJ38*Nøgletal!L533</f>
        <v>0</v>
      </c>
      <c r="V38" s="278">
        <f>Nøgletal!L534</f>
        <v>0</v>
      </c>
      <c r="W38" s="278">
        <f>AJ38*Nøgletal!L535</f>
        <v>0</v>
      </c>
      <c r="X38" s="278">
        <f>Nøgletal!L536</f>
        <v>0</v>
      </c>
      <c r="Y38" s="278">
        <f>AJ38*Nøgletal!L537</f>
        <v>0</v>
      </c>
      <c r="Z38" s="278"/>
      <c r="AA38" s="278"/>
      <c r="AB38" s="278">
        <f>AJ38*Nøgletal!L538</f>
        <v>-3.0000000000000004</v>
      </c>
      <c r="AC38" s="280"/>
      <c r="AD38" s="280"/>
      <c r="AE38" s="280"/>
      <c r="AF38" s="280"/>
      <c r="AG38" s="280"/>
      <c r="AH38" s="280"/>
      <c r="AI38" s="280"/>
      <c r="AJ38" s="105">
        <f>-AO38/IF(Nøgletal!L366+Nøgletal!M366&gt;0,Nøgletal!L366+Nøgletal!M366,1)</f>
        <v>-3.0000000000000004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0.90300000000000014</v>
      </c>
      <c r="AP38" s="37">
        <f t="shared" si="6"/>
        <v>0.30099999999999999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Nøgletal!L275</f>
        <v>0.90300000000000014</v>
      </c>
      <c r="BS38" s="292">
        <f>BS$37*Nøgletal!L327</f>
        <v>0</v>
      </c>
      <c r="BT38" s="280"/>
      <c r="BU38" s="280"/>
      <c r="BV38" s="280"/>
      <c r="BW38" s="280"/>
      <c r="BX38" s="280"/>
      <c r="BY38" s="124">
        <f>(AJ38+AO38)*-1</f>
        <v>2.0970000000000004</v>
      </c>
      <c r="BZ38" s="123">
        <f>(C38*Emissionsfaktorer!$F$4+E38*Emissionsfaktorer!$F$3+F38*Emissionsfaktorer!$F$5+H38*Emissionsfaktorer!$F$7+I38*Emissionsfaktorer!$F$8+J38*Emissionsfaktorer!$F$9+K38*Emissionsfaktorer!$F$10+L38*Emissionsfaktorer!$F$11+M38*Emissionsfaktorer!$F$12)*-1*(1-Nøgletal!$L$325)+T38*Emissionsfaktorer!$F$13*Nøgletal!$L$325</f>
        <v>0</v>
      </c>
      <c r="CA38" s="231"/>
      <c r="CB38" s="231"/>
    </row>
    <row r="39" spans="1:80" x14ac:dyDescent="0.25">
      <c r="A39" s="231"/>
      <c r="B39" s="31"/>
      <c r="C39" s="278">
        <f>AJ39*Nøgletal!L540</f>
        <v>0</v>
      </c>
      <c r="D39" s="278"/>
      <c r="E39" s="278">
        <f>AJ39*Nøgletal!L542</f>
        <v>0</v>
      </c>
      <c r="F39" s="278"/>
      <c r="G39" s="278">
        <f t="shared" si="29"/>
        <v>0</v>
      </c>
      <c r="H39" s="278"/>
      <c r="I39" s="278">
        <f>AJ39*Nøgletal!L541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AJ39*Nøgletal!L543</f>
        <v>0</v>
      </c>
      <c r="V39" s="278">
        <f>AJ39*Nøgletal!L544</f>
        <v>0</v>
      </c>
      <c r="W39" s="278">
        <f>AJ39*Nøgletal!L545</f>
        <v>0</v>
      </c>
      <c r="X39" s="278">
        <f>AJ39*Nøgletal!L547</f>
        <v>0</v>
      </c>
      <c r="Y39" s="278">
        <f>AJ39*Nøgletal!L548</f>
        <v>0</v>
      </c>
      <c r="Z39" s="278"/>
      <c r="AA39" s="278"/>
      <c r="AB39" s="278">
        <f>Nøgletal!L549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-AO39/IF(Nøgletal!L367+Nøgletal!M367&gt;0,Nøgletal!L367+Nøgletal!M367,1)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BS39/IF(Nøgletal!M367&gt;0,Nøgletal!M367,1)*Nøgletal!L367</f>
        <v>0</v>
      </c>
      <c r="BS39" s="292">
        <f>BS$37*Nøgletal!L328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F$4+E39*Emissionsfaktorer!$F$3+F39*Emissionsfaktorer!$F$5+H39*Emissionsfaktorer!$F$7+I39*Emissionsfaktorer!$F$8+J39*Emissionsfaktorer!$F$9+K39*Emissionsfaktorer!$F$10+L39*Emissionsfaktorer!$F$11+M39*Emissionsfaktorer!$F$12)*-1*(1-Nøgletal!$L$325)+T39*Emissionsfaktorer!$F$13*Nøgletal!$L$325</f>
        <v>0</v>
      </c>
      <c r="CA39" s="231"/>
      <c r="CB39" s="231"/>
    </row>
    <row r="40" spans="1:80" x14ac:dyDescent="0.25">
      <c r="A40" s="231"/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F$4+E40*Emissionsfaktorer!$F$3+F40*Emissionsfaktorer!$F$5+H40*Emissionsfaktorer!$F$7+I40*Emissionsfaktorer!$F$8+J40*Emissionsfaktorer!$F$9+K40*Emissionsfaktorer!$F$10+L40*Emissionsfaktorer!$F$11+M40*Emissionsfaktorer!$F$12)*-1*(1-Nøgletal!$L$325)+T40*Emissionsfaktorer!$F$13*Nøgletal!$L$325</f>
        <v>0</v>
      </c>
      <c r="CA40" s="231"/>
      <c r="CB40" s="231"/>
    </row>
    <row r="41" spans="1:80" x14ac:dyDescent="0.25">
      <c r="A41" s="231"/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Nøgletal!L269/(1-Nøgletal!L296)</f>
        <v>0</v>
      </c>
      <c r="BT41" s="23">
        <f>Nøgletal!M269/(1-Nøgletal!M296)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  <c r="CA41" s="231"/>
      <c r="CB41" s="231"/>
    </row>
    <row r="42" spans="1:80" x14ac:dyDescent="0.25">
      <c r="A42" s="231"/>
      <c r="B42" s="31"/>
      <c r="C42" s="278"/>
      <c r="D42" s="278"/>
      <c r="E42" s="278"/>
      <c r="F42" s="278">
        <f>AJ42*Nøgletal!L469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AJ42*Nøgletal!L467</f>
        <v>0</v>
      </c>
      <c r="AA42" s="278">
        <f>AJ42*Nøgletal!L468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-AO42/IF(Nøgletal!L353+Nøgletal!M353&gt;0,Nøgletal!L353+Nøgletal!M353,1)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BS42/IF(Nøgletal!M353&gt;0,Nøgletal!M353,1)*Nøgletal!L353</f>
        <v>0</v>
      </c>
      <c r="BS42" s="289">
        <f>BS$41*Nøgletal!L312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F$4+E42*Emissionsfaktorer!$F$3+F42*Emissionsfaktorer!$F$5+H42*Emissionsfaktorer!$F$7+I42*Emissionsfaktorer!$F$8+J42*Emissionsfaktorer!$F$9+K42*Emissionsfaktorer!$F$10+L42*Emissionsfaktorer!$F$11+M42*Emissionsfaktorer!$F$12)*-1*(1-Nøgletal!$L$310)+T42*Emissionsfaktorer!$F$13*Nøgletal!$L$310</f>
        <v>0</v>
      </c>
      <c r="CA42" s="231"/>
      <c r="CB42" s="231"/>
    </row>
    <row r="43" spans="1:80" x14ac:dyDescent="0.25">
      <c r="A43" s="231"/>
      <c r="B43" s="31"/>
      <c r="C43" s="278"/>
      <c r="D43" s="278"/>
      <c r="E43" s="278"/>
      <c r="F43" s="278">
        <f>AJ43*Nøgletal!L473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AJ43*Nøgletal!L471</f>
        <v>0</v>
      </c>
      <c r="AA43" s="278">
        <f>AJ43*Nøgletal!L472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-AO43/IF(Nøgletal!L354+Nøgletal!M354&gt;0,Nøgletal!L354+Nøgletal!M354,1)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BS43/IF(Nøgletal!M354&gt;0,Nøgletal!M354,1)*Nøgletal!L354</f>
        <v>0</v>
      </c>
      <c r="BS43" s="289">
        <f>BS$41*Nøgletal!L313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F$4+E43*Emissionsfaktorer!$F$3+F43*Emissionsfaktorer!$F$5+H43*Emissionsfaktorer!$F$7+I43*Emissionsfaktorer!$F$8+J43*Emissionsfaktorer!$F$9+K43*Emissionsfaktorer!$F$10+L43*Emissionsfaktorer!$F$11+M43*Emissionsfaktorer!$F$12)*-1*(1-Nøgletal!$L$310)+T43*Emissionsfaktorer!$F$13*Nøgletal!$L$310</f>
        <v>0</v>
      </c>
      <c r="CA43" s="231"/>
      <c r="CB43" s="231"/>
    </row>
    <row r="44" spans="1:80" x14ac:dyDescent="0.25">
      <c r="A44" s="231"/>
      <c r="B44" s="31"/>
      <c r="C44" s="278"/>
      <c r="D44" s="278"/>
      <c r="E44" s="278"/>
      <c r="F44" s="278">
        <f>AJ44*Nøgletal!L477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AJ44*Nøgletal!L475</f>
        <v>0</v>
      </c>
      <c r="AA44" s="278">
        <f>AJ44*Nøgletal!L476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-AO44/IF(Nøgletal!L355+Nøgletal!M355&gt;0,Nøgletal!L355+Nøgletal!M355,1)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BS44/IF(Nøgletal!M355&gt;0,Nøgletal!M355,1)*Nøgletal!L355</f>
        <v>0</v>
      </c>
      <c r="BS44" s="289">
        <f>BS$41*Nøgletal!L314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F$4+E44*Emissionsfaktorer!$F$3+F44*Emissionsfaktorer!$F$5+H44*Emissionsfaktorer!$F$7+I44*Emissionsfaktorer!$F$8+J44*Emissionsfaktorer!$F$9+K44*Emissionsfaktorer!$F$10+L44*Emissionsfaktorer!$F$11+M44*Emissionsfaktorer!$F$12)*-1*(1-Nøgletal!$L$310)+T44*Emissionsfaktorer!$F$13*Nøgletal!$L$310</f>
        <v>0</v>
      </c>
      <c r="CA44" s="231"/>
      <c r="CB44" s="231"/>
    </row>
    <row r="45" spans="1:80" x14ac:dyDescent="0.25">
      <c r="A45" s="231"/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F$4+E45*Emissionsfaktorer!$F$3+F45*Emissionsfaktorer!$F$5+H45*Emissionsfaktorer!$F$7+I45*Emissionsfaktorer!$F$8+J45*Emissionsfaktorer!$F$9+K45*Emissionsfaktorer!$F$10+L45*Emissionsfaktorer!$F$11+M45*Emissionsfaktorer!$F$12)*-1*(1-Nøgletal!$L$310)+T45*Emissionsfaktorer!$F$13*Nøgletal!$L$310</f>
        <v>0</v>
      </c>
      <c r="CA45" s="231"/>
      <c r="CB45" s="231"/>
    </row>
    <row r="46" spans="1:80" x14ac:dyDescent="0.25">
      <c r="A46" s="231"/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-153.1884474</v>
      </c>
      <c r="AD46" s="23">
        <f t="shared" si="40"/>
        <v>0</v>
      </c>
      <c r="AE46" s="23">
        <f t="shared" si="40"/>
        <v>0</v>
      </c>
      <c r="AF46" s="23">
        <f t="shared" si="40"/>
        <v>-317.68721985000002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-470.87566724999999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470.87566724999999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317.68721985000002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153.1884474</v>
      </c>
      <c r="BX46" s="23"/>
      <c r="BY46" s="126">
        <f t="shared" si="41"/>
        <v>0</v>
      </c>
      <c r="BZ46" s="126">
        <f t="shared" si="41"/>
        <v>0</v>
      </c>
      <c r="CA46" s="231"/>
      <c r="CB46" s="231"/>
    </row>
    <row r="47" spans="1:80" x14ac:dyDescent="0.25">
      <c r="A47" s="231"/>
      <c r="B47" s="31"/>
      <c r="C47" s="278">
        <f>AJ47*Nøgletal!L586</f>
        <v>0</v>
      </c>
      <c r="D47" s="278"/>
      <c r="E47" s="278">
        <f>AJ47*Nøgletal!L588</f>
        <v>0</v>
      </c>
      <c r="F47" s="278"/>
      <c r="G47" s="278">
        <f t="shared" si="29"/>
        <v>0</v>
      </c>
      <c r="H47" s="278"/>
      <c r="I47" s="278">
        <f>AJ47*Nøgletal!L587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AJ47*Nøgletal!L589</f>
        <v>0</v>
      </c>
      <c r="V47" s="278">
        <f>AJ47*Nøgletal!L590</f>
        <v>0</v>
      </c>
      <c r="W47" s="278">
        <f>AJ47*Nøgletal!L591</f>
        <v>0</v>
      </c>
      <c r="X47" s="278">
        <f>AJ47*Nøgletal!L592</f>
        <v>0</v>
      </c>
      <c r="Y47" s="278">
        <f>AJ47*Nøgletal!L593</f>
        <v>0</v>
      </c>
      <c r="Z47" s="278"/>
      <c r="AA47" s="278"/>
      <c r="AB47" s="278">
        <f>AJ47*Nøgletal!L594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-AO47/IF(Nøgletal!L375+Nøgletal!M375&gt;0,Nøgletal!L375+Nøgletal!M375,1)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BS47/IF(Nøgletal!M375&gt;0,Nøgletal!M375,1)*Nøgletal!L375</f>
        <v>0</v>
      </c>
      <c r="BS47" s="292">
        <f>(Nøgletal!L$202+Nøgletal!L$273/(1-Nøgletal!L$300))*Nøgletal!L338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F$4+E47*Emissionsfaktorer!$F$3+F47*Emissionsfaktorer!$F$5+H47*Emissionsfaktorer!$F$7+I47*Emissionsfaktorer!$F$8+J47*Emissionsfaktorer!$F$9+K47*Emissionsfaktorer!$F$10+L47*Emissionsfaktorer!$F$11+M47*Emissionsfaktorer!$F$12)*-1*(1-Nøgletal!$L$336)+T47*Emissionsfaktorer!$F$13*Nøgletal!$L$336</f>
        <v>0</v>
      </c>
      <c r="CA47" s="231"/>
      <c r="CB47" s="231"/>
    </row>
    <row r="48" spans="1:80" x14ac:dyDescent="0.25">
      <c r="A48" s="231"/>
      <c r="B48" s="31"/>
      <c r="C48" s="278"/>
      <c r="D48" s="278"/>
      <c r="E48" s="278">
        <f>AJ48*Nøgletal!L600</f>
        <v>0</v>
      </c>
      <c r="F48" s="278"/>
      <c r="G48" s="278">
        <f t="shared" si="29"/>
        <v>0</v>
      </c>
      <c r="H48" s="278"/>
      <c r="I48" s="278">
        <f>AJ48*Nøgletal!L596</f>
        <v>0</v>
      </c>
      <c r="J48" s="278">
        <f>AJ48*Nøgletal!L597</f>
        <v>0</v>
      </c>
      <c r="K48" s="278">
        <f>AJ48*Nøgletal!L598</f>
        <v>0</v>
      </c>
      <c r="L48" s="278"/>
      <c r="M48" s="278">
        <f>AJ48*Nøgletal!L599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AJ48*Nøgletal!L601</f>
        <v>0</v>
      </c>
      <c r="V48" s="278">
        <f>Nøgletal!L602</f>
        <v>0</v>
      </c>
      <c r="W48" s="278">
        <f>Nøgletal!L603</f>
        <v>0</v>
      </c>
      <c r="X48" s="278">
        <f>AJ48*Nøgletal!L604</f>
        <v>0</v>
      </c>
      <c r="Y48" s="278">
        <f>AJ48*Nøgletal!L605</f>
        <v>0</v>
      </c>
      <c r="Z48" s="278"/>
      <c r="AA48" s="278"/>
      <c r="AB48" s="278">
        <f>AJ48*Nøgletal!L606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-AO48/IF(Nøgletal!L376+Nøgletal!M376&gt;0,Nøgletal!L376+Nøgletal!M376,1)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BS48/IF(Nøgletal!M376&gt;0,Nøgletal!M376,1)*Nøgletal!L376</f>
        <v>0</v>
      </c>
      <c r="BS48" s="292">
        <f>(Nøgletal!L$202+Nøgletal!L$273/(1-Nøgletal!L$300))*Nøgletal!L339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F$4+E48*Emissionsfaktorer!$F$3+F48*Emissionsfaktorer!$F$5+H48*Emissionsfaktorer!$F$7+I48*Emissionsfaktorer!$F$8+J48*Emissionsfaktorer!$F$9+K48*Emissionsfaktorer!$F$10+L48*Emissionsfaktorer!$F$11+M48*Emissionsfaktorer!$F$12)*-1*(1-Nøgletal!$L$336)+T48*Emissionsfaktorer!$F$13*Nøgletal!$L$336</f>
        <v>0</v>
      </c>
      <c r="CA48" s="231"/>
      <c r="CB48" s="231"/>
    </row>
    <row r="49" spans="1:80" x14ac:dyDescent="0.25">
      <c r="A49" s="231"/>
      <c r="B49" s="31"/>
      <c r="C49" s="278"/>
      <c r="D49" s="278"/>
      <c r="E49" s="278">
        <f>AJ49*Nøgletal!L608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AJ49*Nøgletal!L609</f>
        <v>0</v>
      </c>
      <c r="V49" s="278"/>
      <c r="W49" s="278"/>
      <c r="X49" s="278"/>
      <c r="Y49" s="278"/>
      <c r="Z49" s="278"/>
      <c r="AA49" s="278"/>
      <c r="AB49" s="278">
        <f>AJ49*Nøgletal!L610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-AO49/IF(Nøgletal!L377+Nøgletal!M377&gt;0,Nøgletal!L377+Nøgletal!M377,1)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BS49/IF(Nøgletal!M377&gt;0,Nøgletal!M377,1)*Nøgletal!L377</f>
        <v>0</v>
      </c>
      <c r="BS49" s="292">
        <f>(Nøgletal!L$202+Nøgletal!L$273/(1-Nøgletal!L$300))*Nøgletal!L340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F$4+E49*Emissionsfaktorer!$F$3+F49*Emissionsfaktorer!$F$5+H49*Emissionsfaktorer!$F$7+I49*Emissionsfaktorer!$F$8+J49*Emissionsfaktorer!$F$9+K49*Emissionsfaktorer!$F$10+L49*Emissionsfaktorer!$F$11+M49*Emissionsfaktorer!$F$12)*-1*(1-Nøgletal!$L$336)+T49*Emissionsfaktorer!$F$13*Nøgletal!$L$336</f>
        <v>0</v>
      </c>
      <c r="CA49" s="231"/>
      <c r="CB49" s="231"/>
    </row>
    <row r="50" spans="1:80" x14ac:dyDescent="0.25">
      <c r="A50" s="231"/>
      <c r="B50" s="31"/>
      <c r="C50" s="278">
        <f>AJ50*Nøgletal!L612</f>
        <v>0</v>
      </c>
      <c r="D50" s="278"/>
      <c r="E50" s="278">
        <f>AJ50*Nøgletal!L614</f>
        <v>0</v>
      </c>
      <c r="F50" s="278"/>
      <c r="G50" s="278">
        <f t="shared" si="29"/>
        <v>0</v>
      </c>
      <c r="H50" s="278"/>
      <c r="I50" s="278">
        <f>AJ50*Nøgletal!L613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AJ50*Nøgletal!L615</f>
        <v>0</v>
      </c>
      <c r="V50" s="278">
        <f>AJ50*Nøgletal!L626</f>
        <v>0</v>
      </c>
      <c r="W50" s="278">
        <f>AJ50*Nøgletal!L617</f>
        <v>0</v>
      </c>
      <c r="X50" s="278">
        <f>AJ50*Nøgletal!L628</f>
        <v>0</v>
      </c>
      <c r="Y50" s="278">
        <f>AJ50*Nøgletal!L619</f>
        <v>0</v>
      </c>
      <c r="Z50" s="278"/>
      <c r="AA50" s="278"/>
      <c r="AB50" s="278">
        <f>AJ50*Nøgletal!L620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-AO50/IF(Nøgletal!L378+Nøgletal!M378&gt;0,Nøgletal!L378+Nøgletal!M378,1)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BS50/IF(Nøgletal!M378&gt;0,Nøgletal!M378,1)*Nøgletal!L378</f>
        <v>0</v>
      </c>
      <c r="BS50" s="292">
        <f>(Nøgletal!L$202+Nøgletal!L$273/(1-Nøgletal!L$300))*Nøgletal!L341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F$4+E50*Emissionsfaktorer!$F$3+F50*Emissionsfaktorer!$F$5+H50*Emissionsfaktorer!$F$7+I50*Emissionsfaktorer!$F$8+J50*Emissionsfaktorer!$F$9+K50*Emissionsfaktorer!$F$10+L50*Emissionsfaktorer!$F$11+M50*Emissionsfaktorer!$F$12)*-1*(1-Nøgletal!$L$336)+T50*Emissionsfaktorer!$F$13*Nøgletal!$L$336</f>
        <v>0</v>
      </c>
      <c r="CA50" s="231"/>
      <c r="CB50" s="231"/>
    </row>
    <row r="51" spans="1:80" x14ac:dyDescent="0.25">
      <c r="A51" s="231"/>
      <c r="B51" s="31"/>
      <c r="C51" s="278">
        <f>AJ51*Nøgletal!L622</f>
        <v>0</v>
      </c>
      <c r="D51" s="278"/>
      <c r="E51" s="278">
        <f>AJ51*Nøgletal!L624</f>
        <v>0</v>
      </c>
      <c r="F51" s="278"/>
      <c r="G51" s="278">
        <f t="shared" si="29"/>
        <v>0</v>
      </c>
      <c r="H51" s="278"/>
      <c r="I51" s="278">
        <f>AJ51*Nøgletal!L623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AJ51*Nøgletal!L625</f>
        <v>0</v>
      </c>
      <c r="V51" s="278">
        <f>AJ51*Nøgletal!L626</f>
        <v>0</v>
      </c>
      <c r="W51" s="278">
        <f>AJ51*Nøgletal!L627</f>
        <v>0</v>
      </c>
      <c r="X51" s="278">
        <f>AJ51*Nøgletal!L628</f>
        <v>0</v>
      </c>
      <c r="Y51" s="278">
        <f>AJ51*Nøgletal!L629</f>
        <v>0</v>
      </c>
      <c r="Z51" s="278"/>
      <c r="AA51" s="278"/>
      <c r="AB51" s="278">
        <f>AJ51*Nøgletal!L630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-AO51/IF(Nøgletal!L379+Nøgletal!M379&gt;0,Nøgletal!L379+Nøgletal!M379,1)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BS51/IF(Nøgletal!M379&gt;0,Nøgletal!M379,1)*Nøgletal!L379</f>
        <v>0</v>
      </c>
      <c r="BS51" s="292">
        <f>(Nøgletal!L$202+Nøgletal!L$273/(1-Nøgletal!L$300))*Nøgletal!L342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F$4+E51*Emissionsfaktorer!$F$3+F51*Emissionsfaktorer!$F$5+H51*Emissionsfaktorer!$F$7+I51*Emissionsfaktorer!$F$8+J51*Emissionsfaktorer!$F$9+K51*Emissionsfaktorer!$F$10+L51*Emissionsfaktorer!$F$11+M51*Emissionsfaktorer!$F$12)*-1*(1-Nøgletal!$L$336)+T51*Emissionsfaktorer!$F$13*Nøgletal!$L$336</f>
        <v>0</v>
      </c>
      <c r="CA51" s="231"/>
      <c r="CB51" s="231"/>
    </row>
    <row r="52" spans="1:80" x14ac:dyDescent="0.25">
      <c r="A52" s="231"/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-317.68721985000002</v>
      </c>
      <c r="AG52" s="280"/>
      <c r="AH52" s="280"/>
      <c r="AI52" s="280"/>
      <c r="AJ52" s="105">
        <f>-AO52/IF(Nøgletal!L380+Nøgletal!M380&gt;0,Nøgletal!L380+Nøgletal!M380,1)</f>
        <v>-317.68721985000002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317.68721985000002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BS52/IF(Nøgletal!M380&gt;0,Nøgletal!M380,1)*Nøgletal!L380</f>
        <v>0</v>
      </c>
      <c r="BS52" s="292">
        <f>(Nøgletal!L$202+Nøgletal!L$273/(1-Nøgletal!L$300))*Nøgletal!L343</f>
        <v>317.68721985000002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F$4+E52*Emissionsfaktorer!$F$3+F52*Emissionsfaktorer!$F$5+H52*Emissionsfaktorer!$F$7+I52*Emissionsfaktorer!$F$8+J52*Emissionsfaktorer!$F$9+K52*Emissionsfaktorer!$F$10+L52*Emissionsfaktorer!$F$11+M52*Emissionsfaktorer!$F$12)*-1*(1-Nøgletal!$L$336)+T52*Emissionsfaktorer!$F$13*Nøgletal!$L$336</f>
        <v>0</v>
      </c>
      <c r="CA52" s="231"/>
      <c r="CB52" s="231"/>
    </row>
    <row r="53" spans="1:80" x14ac:dyDescent="0.25">
      <c r="A53" s="231"/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Nøgletal!L201*-1</f>
        <v>-153.1884474</v>
      </c>
      <c r="AD53" s="280"/>
      <c r="AE53" s="280"/>
      <c r="AF53" s="280"/>
      <c r="AG53" s="280"/>
      <c r="AH53" s="280"/>
      <c r="AI53" s="280"/>
      <c r="AJ53" s="105">
        <f>AC53</f>
        <v>-153.1884474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153.1884474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Nøgletal!L201</f>
        <v>153.1884474</v>
      </c>
      <c r="BX53" s="292"/>
      <c r="BY53" s="124">
        <f t="shared" si="42"/>
        <v>0</v>
      </c>
      <c r="BZ53" s="123">
        <f>(C53*Emissionsfaktorer!$F$4+E53*Emissionsfaktorer!$F$3+F53*Emissionsfaktorer!$F$5+H53*Emissionsfaktorer!$F$7+I53*Emissionsfaktorer!$F$8+J53*Emissionsfaktorer!$F$9+K53*Emissionsfaktorer!$F$10+L53*Emissionsfaktorer!$F$11+M53*Emissionsfaktorer!$F$12)*-1*(1-Nøgletal!$L$336)+T53*Emissionsfaktorer!$F$13*Nøgletal!$L$336</f>
        <v>0</v>
      </c>
      <c r="CA53" s="231"/>
      <c r="CB53" s="231"/>
    </row>
    <row r="54" spans="1:80" x14ac:dyDescent="0.25">
      <c r="A54" s="231"/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Nøgletal!L202</f>
        <v>0</v>
      </c>
      <c r="BX54" s="292"/>
      <c r="BY54" s="124">
        <f t="shared" si="42"/>
        <v>0</v>
      </c>
      <c r="BZ54" s="123">
        <f>(C54*Emissionsfaktorer!$F$4+E54*Emissionsfaktorer!$F$3+F54*Emissionsfaktorer!$F$5+H54*Emissionsfaktorer!$F$7+I54*Emissionsfaktorer!$F$8+J54*Emissionsfaktorer!$F$9+K54*Emissionsfaktorer!$F$10+L54*Emissionsfaktorer!$F$11+M54*Emissionsfaktorer!$F$12)*-1*(1-Nøgletal!$L$336)+T54*Emissionsfaktorer!$F$13*Nøgletal!$L$336</f>
        <v>0</v>
      </c>
      <c r="CA54" s="231"/>
      <c r="CB54" s="231"/>
    </row>
    <row r="55" spans="1:80" x14ac:dyDescent="0.25">
      <c r="A55" s="231"/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F$4+E55*Emissionsfaktorer!$F$3+F55*Emissionsfaktorer!$F$5+H55*Emissionsfaktorer!$F$7+I55*Emissionsfaktorer!$F$8+J55*Emissionsfaktorer!$F$9+K55*Emissionsfaktorer!$F$10+L55*Emissionsfaktorer!$F$11+M55*Emissionsfaktorer!$F$12)*-1*(1-Nøgletal!$L$336)+T55*Emissionsfaktorer!$F$13*Nøgletal!$L$336</f>
        <v>0</v>
      </c>
      <c r="CA55" s="40"/>
      <c r="CB55" s="231"/>
    </row>
    <row r="56" spans="1:80" x14ac:dyDescent="0.25">
      <c r="A56" s="231"/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</row>
    <row r="57" spans="1:80" x14ac:dyDescent="0.25">
      <c r="A57" s="231"/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-2802.8000000000006</v>
      </c>
      <c r="F57" s="20">
        <f t="shared" si="43"/>
        <v>-186.33089475000006</v>
      </c>
      <c r="G57" s="20">
        <f t="shared" si="43"/>
        <v>-47.135088000000017</v>
      </c>
      <c r="H57" s="20">
        <f t="shared" si="43"/>
        <v>0</v>
      </c>
      <c r="I57" s="20">
        <f t="shared" si="43"/>
        <v>0</v>
      </c>
      <c r="J57" s="20">
        <f t="shared" si="43"/>
        <v>-47.135088000000017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-432.97178925000014</v>
      </c>
      <c r="U57" s="20">
        <f t="shared" si="43"/>
        <v>0</v>
      </c>
      <c r="V57" s="20">
        <f t="shared" si="43"/>
        <v>0</v>
      </c>
      <c r="W57" s="20">
        <f t="shared" si="43"/>
        <v>-2.9459430000000011</v>
      </c>
      <c r="X57" s="20">
        <f t="shared" si="43"/>
        <v>-21.27625500000001</v>
      </c>
      <c r="Y57" s="20">
        <f t="shared" si="43"/>
        <v>-173.81063700000004</v>
      </c>
      <c r="Z57" s="20">
        <f t="shared" si="43"/>
        <v>0</v>
      </c>
      <c r="AA57" s="20">
        <f t="shared" si="43"/>
        <v>-227.73776025000006</v>
      </c>
      <c r="AB57" s="20">
        <f t="shared" si="43"/>
        <v>-7.2011940000000019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-3469.2377720000009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2608.8668045440008</v>
      </c>
      <c r="AP57" s="37">
        <f t="shared" ref="AP57:AP64" si="44">IF(AJ57=0,0,AO57/AJ57*-1)</f>
        <v>0.752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815.27087642000026</v>
      </c>
      <c r="BS57" s="20">
        <f>Nøgletal!L272/(1-Nøgletal!L299)</f>
        <v>1793.5959281240007</v>
      </c>
      <c r="BT57" s="20">
        <f>Nøgletal!M272/(1-Nøgletal!M299)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860.37096745600047</v>
      </c>
      <c r="BZ57" s="126">
        <f t="shared" si="47"/>
        <v>180.24940267834504</v>
      </c>
      <c r="CA57" s="231"/>
      <c r="CB57" s="40"/>
    </row>
    <row r="58" spans="1:80" x14ac:dyDescent="0.25">
      <c r="A58" s="231"/>
      <c r="B58" s="31"/>
      <c r="C58" s="23">
        <f>AJ58*Nøgletal!L551</f>
        <v>0</v>
      </c>
      <c r="D58" s="23"/>
      <c r="E58" s="23">
        <f>AJ58*Nøgletal!L553</f>
        <v>0</v>
      </c>
      <c r="F58" s="23"/>
      <c r="G58" s="23">
        <f t="shared" ref="G58:G64" si="48">SUM(H58:M58)</f>
        <v>0</v>
      </c>
      <c r="H58" s="23"/>
      <c r="I58" s="23">
        <f>AJ58*Nøgletal!L552</f>
        <v>0</v>
      </c>
      <c r="J58" s="23">
        <f>AJ58*Nøgletal!L557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AJ58*Nøgletal!L554</f>
        <v>0</v>
      </c>
      <c r="V58" s="23">
        <f>AJ58*Nøgletal!L555</f>
        <v>0</v>
      </c>
      <c r="W58" s="23">
        <f>AJ58*Nøgletal!L556</f>
        <v>0</v>
      </c>
      <c r="X58" s="23">
        <f>AJ58*Nøgletal!L558</f>
        <v>0</v>
      </c>
      <c r="Y58" s="23">
        <f>AJ58*Nøgletal!L559</f>
        <v>0</v>
      </c>
      <c r="Z58" s="23"/>
      <c r="AA58" s="23"/>
      <c r="AB58" s="23">
        <f>AJ58*Nøgletal!L560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-AO58/IF(Nøgletal!M369+Nøgletal!L369&gt;0,Nøgletal!M369+Nøgletal!L369,1)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BS58/IF(Nøgletal!M369&gt;0,Nøgletal!M369,1)*Nøgletal!L369</f>
        <v>0</v>
      </c>
      <c r="BS58" s="78">
        <f>BS$57*Nøgletal!L331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F$4+E58*Emissionsfaktorer!$F$3+F58*Emissionsfaktorer!$F$5+H58*Emissionsfaktorer!$F$7+I58*Emissionsfaktorer!$F$8+J58*Emissionsfaktorer!$F$9+K58*Emissionsfaktorer!$F$10+L58*Emissionsfaktorer!$F$11+M58*Emissionsfaktorer!$F$12)*-1*(1-Nøgletal!$L$329)+T58*Emissionsfaktorer!$F$13*Nøgletal!$L$329</f>
        <v>0</v>
      </c>
      <c r="CA58" s="231"/>
      <c r="CB58" s="231"/>
    </row>
    <row r="59" spans="1:80" x14ac:dyDescent="0.25">
      <c r="A59" s="231"/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-AO59*(1-1/IF(Nøgletal!M370&gt;0,Nøgletal!M370,1))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-AO59/IF(Nøgletal!M514&gt;0,Nøgletal!M514,1)/(1-Nøgletal!L294)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BS59/IF(Nøgletal!M370&gt;0,Nøgletal!M370,1)*Nøgletal!L370</f>
        <v>0</v>
      </c>
      <c r="BS59" s="78">
        <f>BS$57*Nøgletal!L332</f>
        <v>0</v>
      </c>
      <c r="BT59" s="32"/>
      <c r="BU59" s="32"/>
      <c r="BV59" s="32"/>
      <c r="BW59" s="32"/>
      <c r="BX59" s="32"/>
      <c r="BY59" s="124"/>
      <c r="BZ59" s="123">
        <f>(C59*Emissionsfaktorer!$F$4+E59*Emissionsfaktorer!$F$3+F59*Emissionsfaktorer!$F$5+H59*Emissionsfaktorer!$F$7+I59*Emissionsfaktorer!$F$8+J59*Emissionsfaktorer!$F$9+K59*Emissionsfaktorer!$F$10+L59*Emissionsfaktorer!$F$11+M59*Emissionsfaktorer!$F$12)*-1*(1-Nøgletal!$L$329)+T59*Emissionsfaktorer!$F$13*Nøgletal!$L$329</f>
        <v>0</v>
      </c>
      <c r="CA59" s="231"/>
      <c r="CB59" s="231"/>
    </row>
    <row r="60" spans="1:80" x14ac:dyDescent="0.25">
      <c r="A60" s="231"/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-AO60/IF(Nøgletal!M371+Nøgletal!L371&gt;0,Nøgletal!M371+Nøgletal!L371,1)/(1-Nøgletal!L294)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BS$57*Nøgletal!L333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F$4+E60*Emissionsfaktorer!$F$3+F60*Emissionsfaktorer!$F$5+H60*Emissionsfaktorer!$F$7+I60*Emissionsfaktorer!$F$8+J60*Emissionsfaktorer!$F$9+K60*Emissionsfaktorer!$F$10+L60*Emissionsfaktorer!$F$11+M60*Emissionsfaktorer!$F$12)*-1*(1-Nøgletal!$L$329)+T60*Emissionsfaktorer!$F$13*Nøgletal!$L$329</f>
        <v>0</v>
      </c>
      <c r="CA60" s="231"/>
      <c r="CB60" s="231"/>
    </row>
    <row r="61" spans="1:80" x14ac:dyDescent="0.25">
      <c r="A61" s="231"/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-AO61/IF(Nøgletal!M372+Nøgletal!L372&gt;0,Nøgletal!M372+Nøgletal!L372,1)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BS61/IF(Nøgletal!M372&gt;0,Nøgletal!M372,1)*Nøgletal!L372</f>
        <v>0</v>
      </c>
      <c r="BS61" s="78">
        <f>BS$57*Nøgletal!L334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F$4+E61*Emissionsfaktorer!$F$3+F61*Emissionsfaktorer!$F$5+H61*Emissionsfaktorer!$F$7+I61*Emissionsfaktorer!$F$8+J61*Emissionsfaktorer!$F$9+K61*Emissionsfaktorer!$F$10+L61*Emissionsfaktorer!$F$11+M61*Emissionsfaktorer!$F$12)*-1*(1-Nøgletal!$L$329)+T61*Emissionsfaktorer!$F$13*Nøgletal!$L$329</f>
        <v>0</v>
      </c>
      <c r="CA61" s="231"/>
      <c r="CB61" s="231"/>
    </row>
    <row r="62" spans="1:80" x14ac:dyDescent="0.25">
      <c r="A62" s="231"/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-AO62/IF(Nøgletal!M373+Nøgletal!L373&gt;0,Nøgletal!M373+Nøgletal!L373,1)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BS62/IF(Nøgletal!M373&gt;0,Nøgletal!M373,1)*Nøgletal!L373</f>
        <v>0</v>
      </c>
      <c r="BS62" s="78">
        <f>BS$57*Nøgletal!L335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F$4+E62*Emissionsfaktorer!$F$3+F62*Emissionsfaktorer!$F$5+H62*Emissionsfaktorer!$F$7+I62*Emissionsfaktorer!$F$8+J62*Emissionsfaktorer!$F$9+K62*Emissionsfaktorer!$F$10+L62*Emissionsfaktorer!$F$11+M62*Emissionsfaktorer!$F$12)*-1*(1-Nøgletal!$L$329)+T62*Emissionsfaktorer!$F$13*Nøgletal!$L$329</f>
        <v>0</v>
      </c>
      <c r="CA62" s="231"/>
      <c r="CB62" s="231"/>
    </row>
    <row r="63" spans="1:80" x14ac:dyDescent="0.25">
      <c r="A63" s="231"/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BS63/IF(Nøgletal!M351&gt;0,Nøgletal!M351,1)*Nøgletal!L351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F$4+E63*Emissionsfaktorer!$F$3+F63*Emissionsfaktorer!$F$5+H63*Emissionsfaktorer!$F$7+I63*Emissionsfaktorer!$F$8+J63*Emissionsfaktorer!$F$9+K63*Emissionsfaktorer!$F$10+L63*Emissionsfaktorer!$F$11+M63*Emissionsfaktorer!$F$12)*-1*(1-Nøgletal!$L$329)+T63*Emissionsfaktorer!$F$13*Nøgletal!$L$329</f>
        <v>0</v>
      </c>
      <c r="CA63" s="231"/>
      <c r="CB63" s="231"/>
    </row>
    <row r="64" spans="1:80" x14ac:dyDescent="0.25">
      <c r="A64" s="231"/>
      <c r="B64" s="31"/>
      <c r="C64" s="23">
        <f>AJ64*Nøgletal!L567</f>
        <v>0</v>
      </c>
      <c r="D64" s="23"/>
      <c r="E64" s="23">
        <f>AJ64*Nøgletal!L572</f>
        <v>-2802.8000000000006</v>
      </c>
      <c r="F64" s="23">
        <f>AJ64*Nøgletal!L584</f>
        <v>-186.33089475000006</v>
      </c>
      <c r="G64" s="23">
        <f t="shared" si="48"/>
        <v>-47.135088000000017</v>
      </c>
      <c r="H64" s="23">
        <f>AJ64*Nøgletal!L566</f>
        <v>0</v>
      </c>
      <c r="I64" s="23">
        <f>AJ64*Nøgletal!L568</f>
        <v>0</v>
      </c>
      <c r="J64" s="23">
        <f>AJ64*Nøgletal!L569</f>
        <v>-47.135088000000017</v>
      </c>
      <c r="K64" s="23">
        <f>AJ64*Nøgletal!L570</f>
        <v>0</v>
      </c>
      <c r="L64" s="23"/>
      <c r="M64" s="23">
        <f>AJ64*Nøgletal!L571</f>
        <v>0</v>
      </c>
      <c r="N64" s="23">
        <f t="shared" si="49"/>
        <v>0</v>
      </c>
      <c r="O64" s="23"/>
      <c r="P64" s="23"/>
      <c r="Q64" s="23">
        <f>AJ64*Nøgletal!L573</f>
        <v>0</v>
      </c>
      <c r="R64" s="23">
        <f>AJ64*Nøgletal!L574</f>
        <v>0</v>
      </c>
      <c r="S64" s="23">
        <f>AJ64*Nøgletal!L575</f>
        <v>0</v>
      </c>
      <c r="T64" s="23">
        <f t="shared" si="50"/>
        <v>-432.97178925000014</v>
      </c>
      <c r="U64" s="23">
        <f>AJ64*Nøgletal!L576</f>
        <v>0</v>
      </c>
      <c r="V64" s="23">
        <f>AJ64*Nøgletal!L577</f>
        <v>0</v>
      </c>
      <c r="W64" s="23">
        <f>AJ64*Nøgletal!L578</f>
        <v>-2.9459430000000011</v>
      </c>
      <c r="X64" s="23">
        <f>AJ64*Nøgletal!L579</f>
        <v>-21.27625500000001</v>
      </c>
      <c r="Y64" s="23">
        <f>AJ64*Nøgletal!L580</f>
        <v>-173.81063700000004</v>
      </c>
      <c r="Z64" s="23">
        <f>AJ64*Nøgletal!L581</f>
        <v>0</v>
      </c>
      <c r="AA64" s="23">
        <f>AJ64*Nøgletal!L582</f>
        <v>-227.73776025000006</v>
      </c>
      <c r="AB64" s="23">
        <f>AJ64*Nøgletal!L583</f>
        <v>-7.2011940000000019</v>
      </c>
      <c r="AC64" s="23"/>
      <c r="AD64" s="23"/>
      <c r="AE64" s="23"/>
      <c r="AF64" s="23"/>
      <c r="AG64" s="23"/>
      <c r="AH64" s="23"/>
      <c r="AI64" s="23"/>
      <c r="AJ64" s="105">
        <f>-AO64/IF(Nøgletal!M351+Nøgletal!L351&gt;0,Nøgletal!M351+Nøgletal!L351,1)</f>
        <v>-3469.2377720000013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2608.8668045440008</v>
      </c>
      <c r="AP64" s="37">
        <f t="shared" si="44"/>
        <v>0.752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BS64/IF(Nøgletal!M351&gt;0,Nøgletal!M351,1)*Nøgletal!L351</f>
        <v>815.27087642000026</v>
      </c>
      <c r="BS64" s="78">
        <f>BS$57*Nøgletal!L309</f>
        <v>1793.5959281240007</v>
      </c>
      <c r="BT64" s="23"/>
      <c r="BU64" s="32"/>
      <c r="BV64" s="32"/>
      <c r="BW64" s="93"/>
      <c r="BX64" s="93"/>
      <c r="BY64" s="124">
        <f t="shared" si="54"/>
        <v>860.37096745600047</v>
      </c>
      <c r="BZ64" s="123">
        <f>(C64*Emissionsfaktorer!$F$4+E64*Emissionsfaktorer!$F$3+F64*Emissionsfaktorer!$F$5+H64*Emissionsfaktorer!$F$7+I64*Emissionsfaktorer!$F$8+J64*Emissionsfaktorer!$F$9+K64*Emissionsfaktorer!$F$10+L64*Emissionsfaktorer!$F$11+M64*Emissionsfaktorer!$F$12)*-1*(1-Nøgletal!$L$329)+T64*Emissionsfaktorer!$F$13*Nøgletal!$L$329</f>
        <v>180.24940267834504</v>
      </c>
      <c r="CA64" s="231"/>
      <c r="CB64" s="231"/>
    </row>
    <row r="65" spans="1:80" x14ac:dyDescent="0.25">
      <c r="A65" s="231"/>
      <c r="B65" s="31"/>
      <c r="C65" s="295"/>
      <c r="D65" s="20">
        <f>AV65/IF(Nøgletal!L708&gt;0,Nøgletal!L708,1)*-1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$BT65/IF(Nøgletal!$L$720&gt;0,Nøgletal!$L$720,1)*-Nøgletal!$L711*Nøgletal!$L710</f>
        <v>0</v>
      </c>
      <c r="V65" s="20">
        <f>$BT65/IF(Nøgletal!$L$720&gt;0,Nøgletal!$L$720,1)*-Nøgletal!$L712*Nøgletal!$L710</f>
        <v>0</v>
      </c>
      <c r="W65" s="20">
        <f>$BT65/IF(Nøgletal!$L$720&gt;0,Nøgletal!$L$720,1)*-Nøgletal!$L713*Nøgletal!$L710</f>
        <v>0</v>
      </c>
      <c r="X65" s="20">
        <f>$BT65/IF(Nøgletal!$L$720&gt;0,Nøgletal!$L$720,1)*-Nøgletal!$L714*Nøgletal!$L710</f>
        <v>0</v>
      </c>
      <c r="Y65" s="20">
        <f>$BT65/IF(Nøgletal!$L$720&gt;0,Nøgletal!$L$720,1)*-Nøgletal!$L715*Nøgletal!$L710</f>
        <v>0</v>
      </c>
      <c r="Z65" s="20">
        <f>$BT65/IF(Nøgletal!$L$720&gt;0,Nøgletal!$L$720,1)*-Nøgletal!$L716*Nøgletal!$L710</f>
        <v>0</v>
      </c>
      <c r="AA65" s="20">
        <f>$BT65/IF(Nøgletal!$L$720&gt;0,Nøgletal!$L$720,1)*-Nøgletal!$L717*Nøgletal!$L710</f>
        <v>0</v>
      </c>
      <c r="AB65" s="20">
        <f>$BT65/IF(Nøgletal!$L$720&gt;0,Nøgletal!$L$720,1)*-Nøgletal!$L718*Nøgletal!$L710</f>
        <v>0</v>
      </c>
      <c r="AC65" s="20">
        <f>BT65/IF(Nøgletal!L720&gt;0,Nøgletal!L720,1)*-Nøgletal!L719</f>
        <v>0</v>
      </c>
      <c r="AD65" s="20"/>
      <c r="AE65" s="20"/>
      <c r="AF65" s="20"/>
      <c r="AG65" s="20"/>
      <c r="AH65" s="20"/>
      <c r="AI65" s="20"/>
      <c r="AJ65" s="105">
        <f>AV65/IF(Nøgletal!L708&gt;0,Nøgletal!L708,1)+BT65/IF(Nøgletal!L720&gt;0,Nøgletal!L720,1)*-1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Nøgletal!L701</f>
        <v>0</v>
      </c>
      <c r="AW65" s="20">
        <f>$AV65*Nøgletal!L702</f>
        <v>0</v>
      </c>
      <c r="AX65" s="20">
        <f>$AV65*Nøgletal!L703</f>
        <v>0</v>
      </c>
      <c r="AY65" s="20">
        <f>$AV65*Nøgletal!L704</f>
        <v>0</v>
      </c>
      <c r="AZ65" s="20">
        <f>$AV65*Nøgletal!L705</f>
        <v>0</v>
      </c>
      <c r="BA65" s="20">
        <f>$AV65*Nøgletal!L706</f>
        <v>0</v>
      </c>
      <c r="BB65" s="20">
        <f>$AV65*Nøgletal!L707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Nøgletal!L709</f>
        <v>0</v>
      </c>
      <c r="BU65" s="21"/>
      <c r="BV65" s="21"/>
      <c r="BW65" s="86"/>
      <c r="BX65" s="86"/>
      <c r="BY65" s="124">
        <f t="shared" si="54"/>
        <v>0</v>
      </c>
      <c r="BZ65" s="300"/>
      <c r="CA65" s="231"/>
      <c r="CB65" s="231" t="e">
        <f>#REF!*#REF!/1.25/#REF!*-1</f>
        <v>#REF!</v>
      </c>
    </row>
    <row r="66" spans="1:80" x14ac:dyDescent="0.25">
      <c r="A66" s="231"/>
      <c r="B66" s="31"/>
      <c r="C66" s="80"/>
      <c r="D66" s="80"/>
      <c r="E66" s="80"/>
      <c r="F66" s="80"/>
      <c r="G66" s="81">
        <f t="shared" si="29"/>
        <v>-1907.5765735960476</v>
      </c>
      <c r="H66" s="80">
        <f t="shared" ref="H66:M66" si="55">H68</f>
        <v>-20.38515701917029</v>
      </c>
      <c r="I66" s="80">
        <f t="shared" si="55"/>
        <v>-6.9684014751648675</v>
      </c>
      <c r="J66" s="80">
        <f t="shared" si="55"/>
        <v>-109.16664864864865</v>
      </c>
      <c r="K66" s="80">
        <f t="shared" si="55"/>
        <v>-906.92485768498443</v>
      </c>
      <c r="L66" s="80">
        <f t="shared" si="55"/>
        <v>-335.22584887306454</v>
      </c>
      <c r="M66" s="80">
        <f t="shared" si="55"/>
        <v>-528.90565989501488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-1257.8073853886974</v>
      </c>
      <c r="AD66" s="82">
        <f>-BS9</f>
        <v>-2111.2831479740007</v>
      </c>
      <c r="AE66" s="80"/>
      <c r="AF66" s="80"/>
      <c r="AG66" s="80"/>
      <c r="AH66" s="267">
        <f>-BW9</f>
        <v>-153.1884474</v>
      </c>
      <c r="AI66" s="80"/>
      <c r="AJ66" s="105">
        <f t="shared" ref="AJ66:AJ83" si="56">SUM(C66:G66,N66,T66,AC66:AG66)</f>
        <v>-5276.6671069587455</v>
      </c>
      <c r="AK66" s="13" t="s">
        <v>233</v>
      </c>
      <c r="AL66" s="13" t="s">
        <v>234</v>
      </c>
      <c r="AM66" s="99"/>
      <c r="AN66" s="37"/>
      <c r="AO66" s="38">
        <f t="shared" si="1"/>
        <v>4853.0337799747485</v>
      </c>
      <c r="AP66" s="37">
        <f t="shared" si="6"/>
        <v>0.91971573752960101</v>
      </c>
      <c r="AQ66" s="31"/>
      <c r="AR66" s="80"/>
      <c r="AS66" s="80"/>
      <c r="AT66" s="80"/>
      <c r="AU66" s="80"/>
      <c r="AV66" s="95">
        <f t="shared" si="7"/>
        <v>1907.5765735960476</v>
      </c>
      <c r="AW66" s="80">
        <f t="shared" ref="AW66:BB66" si="57">H66*-1</f>
        <v>20.38515701917029</v>
      </c>
      <c r="AX66" s="80">
        <f t="shared" si="57"/>
        <v>6.9684014751648675</v>
      </c>
      <c r="AY66" s="80">
        <f t="shared" si="57"/>
        <v>109.16664864864865</v>
      </c>
      <c r="AZ66" s="80">
        <f t="shared" si="57"/>
        <v>906.92485768498443</v>
      </c>
      <c r="BA66" s="80">
        <f t="shared" si="57"/>
        <v>335.22584887306454</v>
      </c>
      <c r="BB66" s="80">
        <f t="shared" si="57"/>
        <v>528.90565989501488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1162.3581687427722</v>
      </c>
      <c r="BS66" s="80">
        <f>AD68*-1</f>
        <v>1629.9105902359286</v>
      </c>
      <c r="BT66" s="80"/>
      <c r="BU66" s="80"/>
      <c r="BV66" s="80"/>
      <c r="BW66" s="267">
        <f>-AH66</f>
        <v>153.1884474</v>
      </c>
      <c r="BX66" s="80"/>
      <c r="BY66" s="124">
        <f t="shared" si="54"/>
        <v>423.63332698399699</v>
      </c>
      <c r="BZ66" s="123"/>
      <c r="CA66" s="231"/>
      <c r="CB66" s="231"/>
    </row>
    <row r="67" spans="1:80" x14ac:dyDescent="0.25">
      <c r="A67" s="231"/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3.8525931843645553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3.8525931843645553</v>
      </c>
      <c r="BD67" s="11">
        <f>-1*O68</f>
        <v>0</v>
      </c>
      <c r="BE67" s="11">
        <f>-1*P68</f>
        <v>0</v>
      </c>
      <c r="BF67" s="11">
        <f>-1*Q68</f>
        <v>3.000753402947522</v>
      </c>
      <c r="BG67" s="11">
        <f>-1*R68</f>
        <v>0</v>
      </c>
      <c r="BH67" s="11">
        <f>-1*S68</f>
        <v>0.85183978141703343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(C67*Emissionsfaktorer!$F$4+E67*Emissionsfaktorer!$F$3+F67*Emissionsfaktorer!$F$5+H67*Emissionsfaktorer!$F$7+I67*Emissionsfaktorer!$F$8+J67*Emissionsfaktorer!$F$9+K67*Emissionsfaktorer!$F$10+L67*Emissionsfaktorer!$F$11+M67*Emissionsfaktorer!$F$12)*-1</f>
        <v>0</v>
      </c>
      <c r="CA67" s="2"/>
      <c r="CB67" s="231"/>
    </row>
    <row r="68" spans="1:80" x14ac:dyDescent="0.25">
      <c r="A68" s="231"/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-379.52882856000002</v>
      </c>
      <c r="F68" s="267">
        <f t="shared" si="58"/>
        <v>0</v>
      </c>
      <c r="G68" s="267">
        <f t="shared" si="58"/>
        <v>-1907.5765735960476</v>
      </c>
      <c r="H68" s="267">
        <f t="shared" si="58"/>
        <v>-20.38515701917029</v>
      </c>
      <c r="I68" s="267">
        <f t="shared" si="58"/>
        <v>-6.9684014751648675</v>
      </c>
      <c r="J68" s="267">
        <f t="shared" si="58"/>
        <v>-109.16664864864865</v>
      </c>
      <c r="K68" s="267">
        <f t="shared" si="58"/>
        <v>-906.92485768498443</v>
      </c>
      <c r="L68" s="267">
        <f t="shared" si="58"/>
        <v>-335.22584887306454</v>
      </c>
      <c r="M68" s="267">
        <f t="shared" si="58"/>
        <v>-528.90565989501488</v>
      </c>
      <c r="N68" s="267">
        <f t="shared" si="58"/>
        <v>-3.8525931843645553</v>
      </c>
      <c r="O68" s="267">
        <f t="shared" si="58"/>
        <v>0</v>
      </c>
      <c r="P68" s="267">
        <f t="shared" si="58"/>
        <v>0</v>
      </c>
      <c r="Q68" s="267">
        <f t="shared" si="58"/>
        <v>-3.000753402947522</v>
      </c>
      <c r="R68" s="267">
        <f t="shared" si="58"/>
        <v>0</v>
      </c>
      <c r="S68" s="267">
        <f t="shared" si="58"/>
        <v>-0.85183978141703343</v>
      </c>
      <c r="T68" s="267">
        <f t="shared" si="58"/>
        <v>-332.46560899999997</v>
      </c>
      <c r="U68" s="267">
        <f t="shared" si="58"/>
        <v>0</v>
      </c>
      <c r="V68" s="267">
        <f t="shared" si="58"/>
        <v>-84.465608999999986</v>
      </c>
      <c r="W68" s="267">
        <f t="shared" si="58"/>
        <v>-24</v>
      </c>
      <c r="X68" s="267">
        <f t="shared" si="58"/>
        <v>-156</v>
      </c>
      <c r="Y68" s="267">
        <f t="shared" si="58"/>
        <v>-68.000000000000014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-1162.3581687427722</v>
      </c>
      <c r="AD68" s="267">
        <f t="shared" si="58"/>
        <v>-1629.9105902359286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-153.1884474</v>
      </c>
      <c r="AI68" s="267">
        <f>SUM(AI69:AI70,AI79:AI80,AI84)</f>
        <v>0</v>
      </c>
      <c r="AJ68" s="105">
        <f t="shared" si="56"/>
        <v>-5415.6923633191127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3893.9731132302995</v>
      </c>
      <c r="AP68" s="37">
        <f t="shared" si="6"/>
        <v>0.71901667450767126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3893.9731132302995</v>
      </c>
      <c r="BX68" s="267">
        <f t="shared" si="59"/>
        <v>0</v>
      </c>
      <c r="BY68" s="268">
        <f t="shared" si="59"/>
        <v>1521.7192500888139</v>
      </c>
      <c r="BZ68" s="268">
        <f t="shared" si="59"/>
        <v>161.62784500791406</v>
      </c>
      <c r="CA68" s="231"/>
      <c r="CB68" s="231"/>
    </row>
    <row r="69" spans="1:80" x14ac:dyDescent="0.25">
      <c r="A69" s="231"/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IF(-($BR$11+$BR$18+$BR$57)-($AC$70+AC79+AC80+AC84)/(1-Nøgletal!$L$294)-$AC$9&lt;0,-($BR$11+$BR$18+$BR$57)-($AC$70+AC79+AC80+AC84)/(1-Nøgletal!$L$294)-$AC$9,0)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AC69*Emissionsfaktorer!F6+AE69*Emissionsfaktorer!F14</f>
        <v>0</v>
      </c>
      <c r="CA69" s="231"/>
      <c r="CB69" s="231"/>
    </row>
    <row r="70" spans="1:80" x14ac:dyDescent="0.25">
      <c r="A70" s="231"/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-1744.5002996878513</v>
      </c>
      <c r="H70" s="79">
        <f t="shared" ref="H70:M70" si="62">SUM(H71:H78)</f>
        <v>-4.0770314038340576</v>
      </c>
      <c r="I70" s="79">
        <f t="shared" si="62"/>
        <v>-6.9684014751648675</v>
      </c>
      <c r="J70" s="79">
        <f t="shared" si="62"/>
        <v>0</v>
      </c>
      <c r="K70" s="79">
        <f t="shared" si="62"/>
        <v>-869.32335804077297</v>
      </c>
      <c r="L70" s="79">
        <f t="shared" si="62"/>
        <v>-335.22584887306454</v>
      </c>
      <c r="M70" s="79">
        <f t="shared" si="62"/>
        <v>-528.90565989501488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-84.465608999999986</v>
      </c>
      <c r="U70" s="79">
        <f t="shared" ref="U70:AI70" si="63">SUM(U71:U78)</f>
        <v>0</v>
      </c>
      <c r="V70" s="79">
        <f t="shared" si="63"/>
        <v>-84.465608999999986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0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-1828.9659086878514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489.83180143718266</v>
      </c>
      <c r="AP70" s="37">
        <f t="shared" si="6"/>
        <v>0.26781898946853577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489.83180143718266</v>
      </c>
      <c r="BX70" s="21">
        <f t="shared" si="64"/>
        <v>0</v>
      </c>
      <c r="BY70" s="127">
        <f t="shared" si="64"/>
        <v>1339.1341072506684</v>
      </c>
      <c r="BZ70" s="127">
        <f t="shared" si="64"/>
        <v>127.8770987828587</v>
      </c>
      <c r="CA70" s="231"/>
      <c r="CB70" s="231"/>
    </row>
    <row r="71" spans="1:80" x14ac:dyDescent="0.25">
      <c r="A71" s="231"/>
      <c r="B71" s="31"/>
      <c r="C71" s="78"/>
      <c r="D71" s="78"/>
      <c r="E71" s="78">
        <f>BW71*Nøgletal!L635*-1/Nøgletal!L401</f>
        <v>0</v>
      </c>
      <c r="F71" s="78"/>
      <c r="G71" s="23">
        <f t="shared" si="29"/>
        <v>-859.97859599999992</v>
      </c>
      <c r="H71" s="78"/>
      <c r="I71" s="78"/>
      <c r="J71" s="78"/>
      <c r="K71" s="78">
        <f>AO71*Nøgletal!L287/(Nøgletal!L286+Nøgletal!L287+Nøgletal!L284)*Nøgletal!L642/Nøgletal!L402*-1</f>
        <v>-331.69799999999998</v>
      </c>
      <c r="L71" s="78"/>
      <c r="M71" s="78">
        <f>AO71*Nøgletal!L286/(Nøgletal!L286+Nøgletal!L287+Nøgletal!L284)*Nøgletal!L634/Nøgletal!L401*-1</f>
        <v>-528.28059599999995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-53.581403999999985</v>
      </c>
      <c r="U71" s="78">
        <f>IF(Nøgletal!L636=0,0,$AO$71*Nøgletal!L636/Nøgletal!$L$401*-1)</f>
        <v>0</v>
      </c>
      <c r="V71" s="78">
        <f>AO71*(Nøgletal!L286/(Nøgletal!L286+Nøgletal!L287+Nøgletal!L284)*Nøgletal!L637/Nøgletal!L401+Nøgletal!L287/(Nøgletal!L286+Nøgletal!L287+Nøgletal!L284)*Nøgletal!L646/Nøgletal!L402)*-1</f>
        <v>-53.581403999999985</v>
      </c>
      <c r="W71" s="78"/>
      <c r="X71" s="78"/>
      <c r="Y71" s="78"/>
      <c r="Z71" s="78"/>
      <c r="AA71" s="78"/>
      <c r="AB71" s="78">
        <f>IF(Nøgletal!L638=0,0,AO71*Nøgletal!L638/Nøgletal!L401*-1)</f>
        <v>0</v>
      </c>
      <c r="AC71" s="32">
        <f>AO71*Nøgletal!L284/(Nøgletal!L284+Nøgletal!L286+Nøgletal!L287)/(Nøgletal!L410*-1)</f>
        <v>0</v>
      </c>
      <c r="AD71" s="32"/>
      <c r="AE71" s="32">
        <f>AO71*Nøgletal!L286/(Nøgletal!L286+Nøgletal!L287+Nøgletal!L284)*Nøgletal!L639/Nøgletal!L401*-1+AO71*Nøgletal!L287/(Nøgletal!L286+Nøgletal!L287+Nøgletal!L284)*Nøgletal!L647/Nøgletal!L402*-1</f>
        <v>0</v>
      </c>
      <c r="AF71" s="32"/>
      <c r="AG71" s="32"/>
      <c r="AH71" s="32"/>
      <c r="AI71" s="32"/>
      <c r="AJ71" s="105">
        <f t="shared" si="56"/>
        <v>-913.56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200.41199999999998</v>
      </c>
      <c r="AP71" s="37">
        <f t="shared" si="6"/>
        <v>0.2193747537107579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Nøgletal!L$282*(Nøgletal!L286+Nøgletal!L287+Nøgletal!L284)</f>
        <v>200.41199999999998</v>
      </c>
      <c r="BX71" s="78"/>
      <c r="BY71" s="127">
        <f t="shared" ref="BY71:BY79" si="67">(AJ71+BW71)*-1</f>
        <v>713.14799999999991</v>
      </c>
      <c r="BZ71" s="123">
        <f>(C71*Emissionsfaktorer!$F$4+E71*Emissionsfaktorer!$F$3+F71*Emissionsfaktorer!$F$5+H71*Emissionsfaktorer!$F$7+I71*Emissionsfaktorer!$F$8+J71*Emissionsfaktorer!$F$9+K71*Emissionsfaktorer!$F$10+L71*Emissionsfaktorer!$F$11+M71*Emissionsfaktorer!$F$12)*-1</f>
        <v>63.110135507999992</v>
      </c>
      <c r="CA71" s="231"/>
      <c r="CB71" s="231"/>
    </row>
    <row r="72" spans="1:80" x14ac:dyDescent="0.25">
      <c r="A72" s="231"/>
      <c r="B72" s="31"/>
      <c r="C72" s="78"/>
      <c r="D72" s="78"/>
      <c r="E72" s="149"/>
      <c r="F72" s="78"/>
      <c r="G72" s="23">
        <f>SUM(H72:M72)</f>
        <v>-4.0770314038340576</v>
      </c>
      <c r="H72" s="78">
        <f>AO72/Nøgletal!L411*-1</f>
        <v>-4.0770314038340576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-4.0770314038340576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1.549271933456942</v>
      </c>
      <c r="AP72" s="37">
        <f>IF(AJ72=0,0,AO72/AJ72*-1)</f>
        <v>0.38000000000000006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Nøgletal!L$282*Nøgletal!L285</f>
        <v>1.549271933456942</v>
      </c>
      <c r="BX72" s="78"/>
      <c r="BY72" s="127">
        <f t="shared" si="67"/>
        <v>2.5277594703771156</v>
      </c>
      <c r="BZ72" s="123">
        <f>(C72*Emissionsfaktorer!$F$4+E72*Emissionsfaktorer!$F$3+F72*Emissionsfaktorer!$F$5+H72*Emissionsfaktorer!$F$7+I72*Emissionsfaktorer!$F$8+J72*Emissionsfaktorer!$F$9+K72*Emissionsfaktorer!$F$10+L72*Emissionsfaktorer!$F$11+M72*Emissionsfaktorer!$F$12)*-1</f>
        <v>0.25726068158192905</v>
      </c>
      <c r="CA72" s="231"/>
      <c r="CB72" s="231"/>
    </row>
    <row r="73" spans="1:80" x14ac:dyDescent="0.25">
      <c r="A73" s="231"/>
      <c r="B73" s="31"/>
      <c r="C73" s="78"/>
      <c r="D73" s="78"/>
      <c r="E73" s="78">
        <f>AO73*Nøgletal!L654/IF(Nøgletal!$L$403&gt;0,Nøgletal!L403,1)*-1</f>
        <v>0</v>
      </c>
      <c r="F73" s="78"/>
      <c r="G73" s="23">
        <f t="shared" si="29"/>
        <v>-150.71645000000001</v>
      </c>
      <c r="H73" s="78"/>
      <c r="I73" s="78"/>
      <c r="J73" s="78"/>
      <c r="K73" s="78">
        <f>$AO$73*Nøgletal!L650/IF(Nøgletal!L403&gt;0,Nøgletal!L403,1)*-1</f>
        <v>-150.71645000000001</v>
      </c>
      <c r="L73" s="78"/>
      <c r="M73" s="78">
        <f>AO73*Nøgletal!L651/IF(Nøgletal!L403&gt;0,Nøgletal!L403,1)*-1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-10.13355</v>
      </c>
      <c r="U73" s="78">
        <f>AO73*Nøgletal!L653/IF(Nøgletal!L403&gt;0,Nøgletal!L403,1)*-1</f>
        <v>0</v>
      </c>
      <c r="V73" s="78">
        <f>AO73*Nøgletal!L655/IF(Nøgletal!L403&gt;0,Nøgletal!L403,1)*-1</f>
        <v>-10.13355</v>
      </c>
      <c r="W73" s="78"/>
      <c r="X73" s="78"/>
      <c r="Y73" s="78"/>
      <c r="Z73" s="78"/>
      <c r="AA73" s="78"/>
      <c r="AB73" s="78">
        <f>AO73*Nøgletal!L652/IF(Nøgletal!L403&gt;0,Nøgletal!L403,1)*-1</f>
        <v>0</v>
      </c>
      <c r="AC73" s="32">
        <f>AO73*Nøgletal!L657/IF(Nøgletal!L410&gt;0,Nøgletal!L410,1)*-1</f>
        <v>0</v>
      </c>
      <c r="AD73" s="32"/>
      <c r="AE73" s="32">
        <f>AO73*Nøgletal!L656/IF(Nøgletal!L403&gt;0,Nøgletal!L403,1)*-1</f>
        <v>0</v>
      </c>
      <c r="AF73" s="32"/>
      <c r="AG73" s="32"/>
      <c r="AH73" s="32"/>
      <c r="AI73" s="32"/>
      <c r="AJ73" s="105">
        <f t="shared" si="56"/>
        <v>-160.85000000000002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40.212500000000006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Nøgletal!L$282*Nøgletal!L288</f>
        <v>40.212500000000006</v>
      </c>
      <c r="BX73" s="78"/>
      <c r="BY73" s="127">
        <f t="shared" si="67"/>
        <v>120.63750000000002</v>
      </c>
      <c r="BZ73" s="123">
        <f>(C73*Emissionsfaktorer!$F$4+E73*Emissionsfaktorer!$F$3+F73*Emissionsfaktorer!$F$5+H73*Emissionsfaktorer!$F$7+I73*Emissionsfaktorer!$F$8+J73*Emissionsfaktorer!$F$9+K73*Emissionsfaktorer!$F$10+L73*Emissionsfaktorer!$F$11+M73*Emissionsfaktorer!$F$12)*-1</f>
        <v>11.1530173</v>
      </c>
      <c r="CA73" s="231"/>
      <c r="CB73" s="231"/>
    </row>
    <row r="74" spans="1:80" x14ac:dyDescent="0.25">
      <c r="A74" s="231"/>
      <c r="B74" s="31"/>
      <c r="C74" s="78"/>
      <c r="D74" s="78"/>
      <c r="E74" s="78">
        <f>AO74*Nøgletal!L662/Nøgletal!L404*-1</f>
        <v>0</v>
      </c>
      <c r="F74" s="78"/>
      <c r="G74" s="23">
        <f t="shared" si="29"/>
        <v>-24.82113</v>
      </c>
      <c r="H74" s="78"/>
      <c r="I74" s="78"/>
      <c r="J74" s="78"/>
      <c r="K74" s="78">
        <f>AO74*Nøgletal!L659/Nøgletal!L404*-1</f>
        <v>-24.82113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-1.6688700000000001</v>
      </c>
      <c r="U74" s="78">
        <f>AO75*Nøgletal!L661/Nøgletal!L404*-1</f>
        <v>0</v>
      </c>
      <c r="V74" s="78">
        <f>AO74*Nøgletal!L663/Nøgletal!L404*-1</f>
        <v>-1.6688700000000001</v>
      </c>
      <c r="W74" s="78"/>
      <c r="X74" s="78"/>
      <c r="Y74" s="78"/>
      <c r="Z74" s="78"/>
      <c r="AA74" s="78"/>
      <c r="AB74" s="78">
        <f>AO74*Nøgletal!L660/Nøgletal!L404*-1</f>
        <v>0</v>
      </c>
      <c r="AC74" s="269">
        <f>AO74*Nøgletal!L665/Nøgletal!L410*-1</f>
        <v>0</v>
      </c>
      <c r="AD74" s="32"/>
      <c r="AE74" s="32">
        <f>AO74*Nøgletal!L664/Nøgletal!L404*-1</f>
        <v>0</v>
      </c>
      <c r="AF74" s="32"/>
      <c r="AG74" s="32"/>
      <c r="AH74" s="32"/>
      <c r="AI74" s="32"/>
      <c r="AJ74" s="105">
        <f t="shared" si="56"/>
        <v>-26.490000000000002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8.7416999999999998</v>
      </c>
      <c r="AP74" s="37">
        <f t="shared" ref="AP74:AP89" si="68">IF(AJ74=0,0,AO74/AJ74*-1)</f>
        <v>0.32999999999999996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Nøgletal!L$282*Nøgletal!L289</f>
        <v>8.7416999999999998</v>
      </c>
      <c r="BX74" s="78"/>
      <c r="BY74" s="127">
        <f t="shared" si="67"/>
        <v>17.7483</v>
      </c>
      <c r="BZ74" s="123">
        <f>(C74*Emissionsfaktorer!$F$4+E74*Emissionsfaktorer!$F$3+F74*Emissionsfaktorer!$F$5+H74*Emissionsfaktorer!$F$7+I74*Emissionsfaktorer!$F$8+J74*Emissionsfaktorer!$F$9+K74*Emissionsfaktorer!$F$10+L74*Emissionsfaktorer!$F$11+M74*Emissionsfaktorer!$F$12)*-1</f>
        <v>1.8367636199999999</v>
      </c>
      <c r="CA74" s="231"/>
      <c r="CB74" s="231"/>
    </row>
    <row r="75" spans="1:80" x14ac:dyDescent="0.25">
      <c r="A75" s="231"/>
      <c r="B75" s="31"/>
      <c r="C75" s="78"/>
      <c r="D75" s="78"/>
      <c r="E75" s="78">
        <f>AO75*Nøgletal!L670/Nøgletal!L405*-1</f>
        <v>0</v>
      </c>
      <c r="F75" s="78"/>
      <c r="G75" s="23">
        <f t="shared" si="29"/>
        <v>-282.36821499999996</v>
      </c>
      <c r="H75" s="78"/>
      <c r="I75" s="78"/>
      <c r="J75" s="78"/>
      <c r="K75" s="78">
        <f>AO75*Nøgletal!L667/Nøgletal!L405*-1</f>
        <v>-282.36821499999996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-19.081784999999996</v>
      </c>
      <c r="U75" s="78">
        <f>AO76*Nøgletal!L669/Nøgletal!L405*-1</f>
        <v>0</v>
      </c>
      <c r="V75" s="78">
        <f>AO75*Nøgletal!L671/Nøgletal!L405*-1</f>
        <v>-19.081784999999996</v>
      </c>
      <c r="W75" s="78"/>
      <c r="X75" s="78"/>
      <c r="Y75" s="78"/>
      <c r="Z75" s="78"/>
      <c r="AA75" s="78"/>
      <c r="AB75" s="78">
        <f>AO75*Nøgletal!L668/Nøgletal!L405*-1</f>
        <v>0</v>
      </c>
      <c r="AC75" s="269">
        <f>AO75*Nøgletal!L673/Nøgletal!L410*-1</f>
        <v>0</v>
      </c>
      <c r="AD75" s="32"/>
      <c r="AE75" s="32">
        <f>AO75*Nøgletal!L672/Nøgletal!L405*-1</f>
        <v>0</v>
      </c>
      <c r="AF75" s="32"/>
      <c r="AG75" s="32"/>
      <c r="AH75" s="32"/>
      <c r="AI75" s="32"/>
      <c r="AJ75" s="105">
        <f t="shared" si="56"/>
        <v>-301.44999999999993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99.478499999999983</v>
      </c>
      <c r="AP75" s="37">
        <f t="shared" si="68"/>
        <v>0.33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Nøgletal!L$282*Nøgletal!L290</f>
        <v>99.478499999999983</v>
      </c>
      <c r="BX75" s="78"/>
      <c r="BY75" s="127">
        <f t="shared" si="67"/>
        <v>201.97149999999993</v>
      </c>
      <c r="BZ75" s="123">
        <f>(C75*Emissionsfaktorer!$F$4+E75*Emissionsfaktorer!$F$3+F75*Emissionsfaktorer!$F$5+H75*Emissionsfaktorer!$F$7+I75*Emissionsfaktorer!$F$8+J75*Emissionsfaktorer!$F$9+K75*Emissionsfaktorer!$F$10+L75*Emissionsfaktorer!$F$11+M75*Emissionsfaktorer!$F$12)*-1</f>
        <v>20.895247909999995</v>
      </c>
      <c r="CA75" s="231"/>
      <c r="CB75" s="231"/>
    </row>
    <row r="76" spans="1:80" x14ac:dyDescent="0.25">
      <c r="A76" s="231"/>
      <c r="B76" s="31"/>
      <c r="C76" s="78"/>
      <c r="D76" s="78"/>
      <c r="E76" s="78"/>
      <c r="F76" s="78"/>
      <c r="G76" s="23">
        <f t="shared" si="29"/>
        <v>-30.107094424259472</v>
      </c>
      <c r="H76" s="78"/>
      <c r="I76" s="78"/>
      <c r="J76" s="78"/>
      <c r="K76" s="78">
        <f>AO76*Nøgletal!L675/Nøgletal!L407*-1</f>
        <v>-30.107094424259472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AO76*Nøgletal!L676/Nøgletal!L407*-1</f>
        <v>0</v>
      </c>
      <c r="W76" s="78"/>
      <c r="X76" s="78"/>
      <c r="Y76" s="78"/>
      <c r="Z76" s="78"/>
      <c r="AA76" s="78"/>
      <c r="AB76" s="78"/>
      <c r="AC76" s="269">
        <f>AO76*Nøgletal!L678/Nøgletal!L410*-1</f>
        <v>0</v>
      </c>
      <c r="AD76" s="32"/>
      <c r="AE76" s="32">
        <f>AO76*Nøgletal!L677/Nøgletal!L407*-1</f>
        <v>0</v>
      </c>
      <c r="AF76" s="32"/>
      <c r="AG76" s="32"/>
      <c r="AH76" s="32"/>
      <c r="AI76" s="32"/>
      <c r="AJ76" s="105">
        <f t="shared" si="56"/>
        <v>-30.107094424259472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9.9353411600056258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Nøgletal!L$282*Nøgletal!L291</f>
        <v>9.9353411600056258</v>
      </c>
      <c r="BX76" s="78"/>
      <c r="BY76" s="127">
        <f t="shared" si="67"/>
        <v>20.171753264253844</v>
      </c>
      <c r="BZ76" s="123">
        <f>(C76*Emissionsfaktorer!$F$4+E76*Emissionsfaktorer!$F$3+F76*Emissionsfaktorer!$F$5+H76*Emissionsfaktorer!$F$7+I76*Emissionsfaktorer!$F$8+J76*Emissionsfaktorer!$F$9+K76*Emissionsfaktorer!$F$10+L76*Emissionsfaktorer!$F$11+M76*Emissionsfaktorer!$F$12)*-1</f>
        <v>2.227924987395201</v>
      </c>
      <c r="CA76" s="231"/>
      <c r="CB76" s="231"/>
    </row>
    <row r="77" spans="1:80" x14ac:dyDescent="0.25">
      <c r="A77" s="231"/>
      <c r="B77" s="31"/>
      <c r="C77" s="78"/>
      <c r="D77" s="78"/>
      <c r="E77" s="78"/>
      <c r="F77" s="78"/>
      <c r="G77" s="23">
        <f t="shared" si="29"/>
        <v>-335.85091276807952</v>
      </c>
      <c r="H77" s="78"/>
      <c r="I77" s="78"/>
      <c r="J77" s="78"/>
      <c r="K77" s="78"/>
      <c r="L77" s="78">
        <f>AO77*Nøgletal!L680/Nøgletal!L408*-1</f>
        <v>-335.22584887306454</v>
      </c>
      <c r="M77" s="78">
        <f>AO77*Nøgletal!L681/Nøgletal!L408*-1</f>
        <v>-0.62506389501498216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AO77*Nøgletal!L682/Nøgletal!L407*-1</f>
        <v>0</v>
      </c>
      <c r="W77" s="78"/>
      <c r="X77" s="78"/>
      <c r="Y77" s="78"/>
      <c r="Z77" s="78"/>
      <c r="AA77" s="78"/>
      <c r="AB77" s="78"/>
      <c r="AC77" s="269">
        <f>AO77*Nøgletal!L684/Nøgletal!L410</f>
        <v>0</v>
      </c>
      <c r="AD77" s="32"/>
      <c r="AE77" s="32">
        <f>AO77*Nøgletal!L683/Nøgletal!L408*-1</f>
        <v>0</v>
      </c>
      <c r="AF77" s="32"/>
      <c r="AG77" s="32"/>
      <c r="AH77" s="32"/>
      <c r="AI77" s="32"/>
      <c r="AJ77" s="105">
        <f t="shared" si="56"/>
        <v>-335.85091276807952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110.83080121346624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Nøgletal!L$282*Nøgletal!L292</f>
        <v>110.83080121346624</v>
      </c>
      <c r="BX77" s="78"/>
      <c r="BY77" s="127">
        <f t="shared" si="67"/>
        <v>225.02011155461327</v>
      </c>
      <c r="BZ77" s="123">
        <f>(C77*Emissionsfaktorer!$F$4+E77*Emissionsfaktorer!$F$3+F77*Emissionsfaktorer!$F$5+H77*Emissionsfaktorer!$F$7+I77*Emissionsfaktorer!$F$8+J77*Emissionsfaktorer!$F$9+K77*Emissionsfaktorer!$F$10+L77*Emissionsfaktorer!$F$11+M77*Emissionsfaktorer!$F$12)*-1</f>
        <v>24.181890783196739</v>
      </c>
      <c r="CA77" s="231"/>
      <c r="CB77" s="231"/>
    </row>
    <row r="78" spans="1:80" x14ac:dyDescent="0.25">
      <c r="A78" s="231"/>
      <c r="B78" s="31"/>
      <c r="C78" s="78"/>
      <c r="D78" s="78"/>
      <c r="E78" s="78"/>
      <c r="F78" s="78"/>
      <c r="G78" s="23">
        <f t="shared" si="29"/>
        <v>-56.580870091678406</v>
      </c>
      <c r="H78" s="78"/>
      <c r="I78" s="78">
        <f>-AO78/Nøgletal!L409*Nøgletal!L686</f>
        <v>-6.9684014751648675</v>
      </c>
      <c r="J78" s="78"/>
      <c r="K78" s="78">
        <f>AO78*Nøgletal!L687/Nøgletal!L409*-1</f>
        <v>-49.612468616513539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AO78*Nøgletal!L688/Nøgletal!L409*-1</f>
        <v>0</v>
      </c>
      <c r="W78" s="78"/>
      <c r="X78" s="78"/>
      <c r="Y78" s="78"/>
      <c r="Z78" s="78"/>
      <c r="AA78" s="78"/>
      <c r="AB78" s="78"/>
      <c r="AC78" s="269">
        <f>AO78*Nøgletal!L690/Nøgletal!L410*-1</f>
        <v>0</v>
      </c>
      <c r="AD78" s="32"/>
      <c r="AE78" s="32">
        <f>AO78*Nøgletal!L689/Nøgletal!L409*-1</f>
        <v>0</v>
      </c>
      <c r="AF78" s="32"/>
      <c r="AG78" s="32"/>
      <c r="AH78" s="32"/>
      <c r="AI78" s="32"/>
      <c r="AJ78" s="105">
        <f t="shared" si="56"/>
        <v>-56.580870091678406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18.671687130253876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Nøgletal!L$282*Nøgletal!L293</f>
        <v>18.671687130253876</v>
      </c>
      <c r="BX78" s="78"/>
      <c r="BY78" s="127">
        <f t="shared" si="67"/>
        <v>37.909182961424534</v>
      </c>
      <c r="BZ78" s="123">
        <f>(C78*Emissionsfaktorer!$F$4+E78*Emissionsfaktorer!$F$3+F78*Emissionsfaktorer!$F$5+H78*Emissionsfaktorer!$F$7+I78*Emissionsfaktorer!$F$8+J78*Emissionsfaktorer!$F$9+K78*Emissionsfaktorer!$F$10+L78*Emissionsfaktorer!$F$11+M78*Emissionsfaktorer!$F$12)*-1</f>
        <v>4.2148579926848608</v>
      </c>
      <c r="CA78" s="231"/>
      <c r="CB78" s="231"/>
    </row>
    <row r="79" spans="1:80" x14ac:dyDescent="0.25">
      <c r="A79" s="231"/>
      <c r="B79" s="31"/>
      <c r="C79" s="21"/>
      <c r="D79" s="21"/>
      <c r="E79" s="21">
        <f>Nøgletal!L37*Nøgletal!L38*Nøgletal!L43/Nøgletal!M391*-1</f>
        <v>-0.69954274921984894</v>
      </c>
      <c r="F79" s="21"/>
      <c r="G79" s="20">
        <f t="shared" si="29"/>
        <v>-92.077031403834056</v>
      </c>
      <c r="H79" s="21">
        <f>Nøgletal!L34/Nøgletal!M389*-1</f>
        <v>-4.0770314038340576</v>
      </c>
      <c r="I79" s="21"/>
      <c r="J79" s="21">
        <f>Nøgletal!L37*Nøgletal!L38*Nøgletal!L42/Nøgletal!M390*-1</f>
        <v>-88</v>
      </c>
      <c r="K79" s="21"/>
      <c r="L79" s="21"/>
      <c r="M79" s="21"/>
      <c r="N79" s="20">
        <f t="shared" si="32"/>
        <v>-3.8525931843645553</v>
      </c>
      <c r="O79" s="21"/>
      <c r="P79" s="21"/>
      <c r="Q79" s="21">
        <f>Nøgletal!L37*Nøgletal!L38*Nøgletal!L47/Nøgletal!M395*-1</f>
        <v>-3.000753402947522</v>
      </c>
      <c r="R79" s="21"/>
      <c r="S79" s="21">
        <f>Nøgletal!L37*Nøgletal!L38*Nøgletal!L41*(1-1/Nøgletal!M388)*-1</f>
        <v>-0.85183978141703343</v>
      </c>
      <c r="T79" s="20">
        <f t="shared" si="30"/>
        <v>-248</v>
      </c>
      <c r="U79" s="21"/>
      <c r="V79" s="21"/>
      <c r="W79" s="21">
        <f>Nøgletal!L37*Nøgletal!L38*Nøgletal!L46/Nøgletal!M394*-1</f>
        <v>-24</v>
      </c>
      <c r="X79" s="21">
        <f>Nøgletal!L37*Nøgletal!L38*Nøgletal!L45/Nøgletal!M393*-1</f>
        <v>-156</v>
      </c>
      <c r="Y79" s="21">
        <f>Nøgletal!L37*Nøgletal!L38*Nøgletal!L44/Nøgletal!M392*-1</f>
        <v>-68.000000000000014</v>
      </c>
      <c r="Z79" s="21"/>
      <c r="AA79" s="21"/>
      <c r="AB79" s="21"/>
      <c r="AC79" s="79">
        <f>-(Nøgletal!L31/Nøgletal!L$385+Nøgletal!L32/Nøgletal!L$386+Nøgletal!L33/Nøgletal!L$387+Nøgletal!L30/Nøgletal!L382+Nøgletal!L37*Nøgletal!L38*Nøgletal!L48/Nøgletal!L384+Nøgletal!L37*Nøgletal!L38*Nøgletal!L49/Nøgletal!L383+Nøgletal!L37*Nøgletal!L38*Nøgletal!L41/Nøgletal!M388)</f>
        <v>-295.34716294277223</v>
      </c>
      <c r="AD79" s="21">
        <f>Nøgletal!L37*Nøgletal!L39*-1</f>
        <v>-1048.6138063056324</v>
      </c>
      <c r="AE79" s="21"/>
      <c r="AF79" s="21"/>
      <c r="AG79" s="21"/>
      <c r="AH79" s="21"/>
      <c r="AI79" s="21"/>
      <c r="AJ79" s="105">
        <f t="shared" si="56"/>
        <v>-1688.5901365858231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1547.9828102173758</v>
      </c>
      <c r="AP79" s="37">
        <f t="shared" si="68"/>
        <v>0.91673093231922897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Nøgletal!L28</f>
        <v>1547.9828102173758</v>
      </c>
      <c r="BX79" s="79"/>
      <c r="BY79" s="127">
        <f t="shared" si="67"/>
        <v>140.60732636844727</v>
      </c>
      <c r="BZ79" s="123">
        <f>(C79*Emissionsfaktorer!$F$4+E79*Emissionsfaktorer!$F$3+F79*Emissionsfaktorer!$F$5+H79*Emissionsfaktorer!$F$7+I79*Emissionsfaktorer!$F$8+J79*Emissionsfaktorer!$F$9+K79*Emissionsfaktorer!$F$10+L79*Emissionsfaktorer!$F$11+M79*Emissionsfaktorer!$F$12)*-1</f>
        <v>6.8095543439369921</v>
      </c>
      <c r="CA79" s="231"/>
      <c r="CB79" s="231"/>
    </row>
    <row r="80" spans="1:80" x14ac:dyDescent="0.25">
      <c r="A80" s="231"/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-453.98665652400001</v>
      </c>
      <c r="AD80" s="21">
        <f>SUM(AD81:AD83)</f>
        <v>-485.22812776254415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-939.21478428654416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868.13278727881004</v>
      </c>
      <c r="AP80" s="37">
        <f t="shared" si="68"/>
        <v>0.92431763405243861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868.13278727881004</v>
      </c>
      <c r="BX80" s="79"/>
      <c r="BY80" s="230">
        <f>SUM(BY81:BY83)</f>
        <v>71.081997007734032</v>
      </c>
      <c r="BZ80" s="123">
        <f>(C80*Emissionsfaktorer!$F$4+E80*Emissionsfaktorer!$F$3+F80*Emissionsfaktorer!$F$5+H80*Emissionsfaktorer!$F$7+I80*Emissionsfaktorer!$F$8+J80*Emissionsfaktorer!$F$9+K80*Emissionsfaktorer!$F$10+L80*Emissionsfaktorer!$F$11+M80*Emissionsfaktorer!$F$12)*-1</f>
        <v>0</v>
      </c>
      <c r="CA80" s="231"/>
      <c r="CB80" s="231"/>
    </row>
    <row r="81" spans="1:80" x14ac:dyDescent="0.25">
      <c r="A81" s="231"/>
      <c r="B81" s="31"/>
      <c r="C81" s="32"/>
      <c r="D81" s="32"/>
      <c r="E81" s="32">
        <f>Nøgletal!L65*Nøgletal!L66*Nøgletal!L71/Nøgletal!M391*-1</f>
        <v>0</v>
      </c>
      <c r="F81" s="32"/>
      <c r="G81" s="23">
        <f t="shared" si="29"/>
        <v>0</v>
      </c>
      <c r="H81" s="32">
        <f>Nøgletal!L62/Nøgletal!M389*-1</f>
        <v>0</v>
      </c>
      <c r="I81" s="32"/>
      <c r="J81" s="32">
        <f>Nøgletal!L65*Nøgletal!L66*Nøgletal!L70/Nøgletal!M390*-1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Nøgletal!L65*Nøgletal!L66*Nøgletal!L75/Nøgletal!M395*-1</f>
        <v>0</v>
      </c>
      <c r="R81" s="32"/>
      <c r="S81" s="32">
        <f>Nøgletal!L65*Nøgletal!L66*Nøgletal!L69*(1-1/Nøgletal!M388)*-1</f>
        <v>0</v>
      </c>
      <c r="T81" s="23">
        <f t="shared" si="30"/>
        <v>0</v>
      </c>
      <c r="U81" s="32"/>
      <c r="V81" s="32"/>
      <c r="W81" s="32">
        <f>Nøgletal!L65*Nøgletal!L66*Nøgletal!L74/Nøgletal!M394*-1</f>
        <v>0</v>
      </c>
      <c r="X81" s="32">
        <f>Nøgletal!L65*Nøgletal!L66*Nøgletal!L73/Nøgletal!M393*-1</f>
        <v>0</v>
      </c>
      <c r="Y81" s="32">
        <f>Nøgletal!L65*Nøgletal!L66*Nøgletal!L72/Nøgletal!M392*-1</f>
        <v>0</v>
      </c>
      <c r="Z81" s="32"/>
      <c r="AA81" s="32"/>
      <c r="AB81" s="32"/>
      <c r="AC81" s="78">
        <f>-(Nøgletal!L59/Nøgletal!L$385+Nøgletal!L60/Nøgletal!L$386+Nøgletal!L61/Nøgletal!L$387+Nøgletal!L65*Nøgletal!L66*Nøgletal!L76/Nøgletal!L384+Nøgletal!L65*Nøgletal!L66*Nøgletal!L69/Nøgletal!M388+Nøgletal!L77*Nøgletal!L65*Nøgletal!L66/Nøgletal!L383)</f>
        <v>-242.78168026800003</v>
      </c>
      <c r="AD81" s="32">
        <f>Nøgletal!L65*Nøgletal!L67*-1</f>
        <v>-159.57166617694403</v>
      </c>
      <c r="AE81" s="32"/>
      <c r="AF81" s="32"/>
      <c r="AG81" s="32"/>
      <c r="AH81" s="32"/>
      <c r="AI81" s="32"/>
      <c r="AJ81" s="105">
        <f t="shared" si="56"/>
        <v>-402.35334644494407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342.99322561941801</v>
      </c>
      <c r="AP81" s="37">
        <f t="shared" si="68"/>
        <v>0.85246768456131483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Nøgletal!L57</f>
        <v>342.99322561941801</v>
      </c>
      <c r="BX81" s="78"/>
      <c r="BY81" s="127">
        <f>(AJ81+BW81)*-1</f>
        <v>59.360120825526053</v>
      </c>
      <c r="BZ81" s="123">
        <f>(C81*Emissionsfaktorer!$F$4+E81*Emissionsfaktorer!$F$3+F81*Emissionsfaktorer!$F$5+H81*Emissionsfaktorer!$F$7+I81*Emissionsfaktorer!$F$8+J81*Emissionsfaktorer!$F$9+K81*Emissionsfaktorer!$F$10+L81*Emissionsfaktorer!$F$11+M81*Emissionsfaktorer!$F$12)*-1</f>
        <v>0</v>
      </c>
      <c r="CA81" s="231"/>
      <c r="CB81" s="231"/>
    </row>
    <row r="82" spans="1:80" x14ac:dyDescent="0.25">
      <c r="A82" s="231"/>
      <c r="B82" s="31"/>
      <c r="C82" s="32"/>
      <c r="D82" s="32"/>
      <c r="E82" s="32">
        <f>Nøgletal!L93*Nøgletal!L94*Nøgletal!L99/Nøgletal!M391*-1</f>
        <v>0</v>
      </c>
      <c r="F82" s="32"/>
      <c r="G82" s="23">
        <f t="shared" si="29"/>
        <v>0</v>
      </c>
      <c r="H82" s="32">
        <f>Nøgletal!L90/Nøgletal!M389*-1</f>
        <v>0</v>
      </c>
      <c r="I82" s="32"/>
      <c r="J82" s="32">
        <f>Nøgletal!L93*Nøgletal!L94*Nøgletal!L98/Nøgletal!M390*-1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Nøgletal!L93*Nøgletal!L94*Nøgletal!L103/Nøgletal!M395*-1</f>
        <v>0</v>
      </c>
      <c r="R82" s="32"/>
      <c r="S82" s="32">
        <f>Nøgletal!L93*Nøgletal!L94*Nøgletal!L97*(1-1/Nøgletal!M388)*-1</f>
        <v>0</v>
      </c>
      <c r="T82" s="23">
        <f t="shared" si="30"/>
        <v>0</v>
      </c>
      <c r="U82" s="32"/>
      <c r="V82" s="32"/>
      <c r="W82" s="32">
        <f>Nøgletal!L93*Nøgletal!L94*Nøgletal!L102/Nøgletal!M394*-1</f>
        <v>0</v>
      </c>
      <c r="X82" s="32">
        <f>Nøgletal!L93*Nøgletal!L94*Nøgletal!L101/Nøgletal!M393*-1</f>
        <v>0</v>
      </c>
      <c r="Y82" s="32">
        <f>Nøgletal!L93*Nøgletal!L94*Nøgletal!L100/Nøgletal!M392*-1</f>
        <v>0</v>
      </c>
      <c r="Z82" s="32"/>
      <c r="AA82" s="32"/>
      <c r="AB82" s="32"/>
      <c r="AC82" s="78">
        <f>-(Nøgletal!L87/Nøgletal!L$385+Nøgletal!L88/Nøgletal!L$386+Nøgletal!L89/Nøgletal!L$387+Nøgletal!L93*Nøgletal!L94*(Nøgletal!L97/Nøgletal!M388+Nøgletal!L104/Nøgletal!L384+Nøgletal!L105/Nøgletal!L383))</f>
        <v>-112.59622245600001</v>
      </c>
      <c r="AD82" s="32">
        <f>Nøgletal!L93*Nøgletal!L95*-1</f>
        <v>-213.30498233856807</v>
      </c>
      <c r="AE82" s="32"/>
      <c r="AF82" s="32"/>
      <c r="AG82" s="32"/>
      <c r="AH82" s="32"/>
      <c r="AI82" s="32"/>
      <c r="AJ82" s="105">
        <f t="shared" si="56"/>
        <v>-325.90120479456806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319.65211444826008</v>
      </c>
      <c r="AP82" s="37">
        <f t="shared" si="68"/>
        <v>0.98082520023131825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Nøgletal!L85</f>
        <v>319.65211444826008</v>
      </c>
      <c r="BX82" s="78"/>
      <c r="BY82" s="127">
        <f>(AJ82+BW82)*-1</f>
        <v>6.2490903463079803</v>
      </c>
      <c r="BZ82" s="123">
        <f>(C82*Emissionsfaktorer!$F$4+E82*Emissionsfaktorer!$F$3+F82*Emissionsfaktorer!$F$5+H82*Emissionsfaktorer!$F$7+I82*Emissionsfaktorer!$F$8+J82*Emissionsfaktorer!$F$9+K82*Emissionsfaktorer!$F$10+L82*Emissionsfaktorer!$F$11+M82*Emissionsfaktorer!$F$12)*-1</f>
        <v>0</v>
      </c>
      <c r="CA82" s="231"/>
      <c r="CB82" s="231"/>
    </row>
    <row r="83" spans="1:80" x14ac:dyDescent="0.25">
      <c r="A83" s="231"/>
      <c r="B83" s="31"/>
      <c r="C83" s="32"/>
      <c r="D83" s="32"/>
      <c r="E83" s="32">
        <f>Nøgletal!L121*Nøgletal!L122*Nøgletal!L127/Nøgletal!M391*-1</f>
        <v>0</v>
      </c>
      <c r="F83" s="32"/>
      <c r="G83" s="23">
        <f t="shared" si="29"/>
        <v>0</v>
      </c>
      <c r="H83" s="32">
        <f>Nøgletal!L118/Nøgletal!M389*-1</f>
        <v>0</v>
      </c>
      <c r="I83" s="32"/>
      <c r="J83" s="32">
        <f>Nøgletal!L121*Nøgletal!L122*Nøgletal!L126/Nøgletal!M390*-1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Nøgletal!L121*Nøgletal!L122*Nøgletal!L131/Nøgletal!M395*-1</f>
        <v>0</v>
      </c>
      <c r="R83" s="32"/>
      <c r="S83" s="32">
        <f>Nøgletal!L121*Nøgletal!L122*Nøgletal!L125*(1-1/Nøgletal!M388)*-1</f>
        <v>0</v>
      </c>
      <c r="T83" s="23">
        <f t="shared" si="30"/>
        <v>0</v>
      </c>
      <c r="U83" s="32"/>
      <c r="V83" s="32"/>
      <c r="W83" s="32">
        <f>Nøgletal!L121*Nøgletal!L122*Nøgletal!L130/Nøgletal!M394*-1</f>
        <v>0</v>
      </c>
      <c r="X83" s="32">
        <f>Nøgletal!L121*Nøgletal!L122*Nøgletal!L129/Nøgletal!M392*-1</f>
        <v>0</v>
      </c>
      <c r="Y83" s="32">
        <f>Nøgletal!L121*Nøgletal!L122*Nøgletal!L128/Nøgletal!M392*-1</f>
        <v>0</v>
      </c>
      <c r="Z83" s="32"/>
      <c r="AA83" s="32"/>
      <c r="AB83" s="32"/>
      <c r="AC83" s="78">
        <f>-(Nøgletal!L115/Nøgletal!L$385+Nøgletal!L116/Nøgletal!L$386+Nøgletal!L117/Nøgletal!L$387+Nøgletal!L121*Nøgletal!L122*(Nøgletal!L125/Nøgletal!M388+Nøgletal!L132/Nøgletal!L384+Nøgletal!L133/Nøgletal!L383))</f>
        <v>-98.608753799999988</v>
      </c>
      <c r="AD83" s="32">
        <f>Nøgletal!L121*Nøgletal!L123*-1</f>
        <v>-112.35147924703205</v>
      </c>
      <c r="AE83" s="32"/>
      <c r="AF83" s="32"/>
      <c r="AG83" s="32"/>
      <c r="AH83" s="32"/>
      <c r="AI83" s="32"/>
      <c r="AJ83" s="105">
        <f t="shared" si="56"/>
        <v>-210.96023304703203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205.48744721113204</v>
      </c>
      <c r="AP83" s="37">
        <f t="shared" si="68"/>
        <v>0.97405773705852949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Nøgletal!L113</f>
        <v>205.48744721113204</v>
      </c>
      <c r="BX83" s="78"/>
      <c r="BY83" s="127">
        <f>(AJ83+BW83)*-1</f>
        <v>5.4727858358999981</v>
      </c>
      <c r="BZ83" s="123">
        <f>(C83*Emissionsfaktorer!$F$4+E83*Emissionsfaktorer!$F$3+F83*Emissionsfaktorer!$F$5+H83*Emissionsfaktorer!$F$7+I83*Emissionsfaktorer!$F$8+J83*Emissionsfaktorer!$F$9+K83*Emissionsfaktorer!$F$10+L83*Emissionsfaktorer!$F$11+M83*Emissionsfaktorer!$F$12)*-1</f>
        <v>0</v>
      </c>
      <c r="CA83" s="231"/>
      <c r="CB83" s="231"/>
    </row>
    <row r="84" spans="1:80" x14ac:dyDescent="0.25">
      <c r="A84" s="231"/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-378.82928581078016</v>
      </c>
      <c r="F84" s="266">
        <f t="shared" si="71"/>
        <v>0</v>
      </c>
      <c r="G84" s="266">
        <f t="shared" si="71"/>
        <v>-70.999242504362314</v>
      </c>
      <c r="H84" s="266">
        <f t="shared" si="71"/>
        <v>-12.231094211502175</v>
      </c>
      <c r="I84" s="266">
        <f t="shared" si="71"/>
        <v>0</v>
      </c>
      <c r="J84" s="266">
        <f t="shared" si="71"/>
        <v>-21.16664864864865</v>
      </c>
      <c r="K84" s="266">
        <f t="shared" si="71"/>
        <v>-37.601499644211493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0</v>
      </c>
      <c r="U84" s="266">
        <f t="shared" si="71"/>
        <v>0</v>
      </c>
      <c r="V84" s="266">
        <f t="shared" si="71"/>
        <v>0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-413.02434927600001</v>
      </c>
      <c r="AD84" s="266">
        <f t="shared" si="71"/>
        <v>-96.068656167752039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-153.1884474</v>
      </c>
      <c r="AI84" s="266">
        <f t="shared" si="71"/>
        <v>0</v>
      </c>
      <c r="AJ84" s="105">
        <f>SUM(AJ85:AJ88)</f>
        <v>-958.9215337588945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988.02571429693057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988.02571429693057</v>
      </c>
      <c r="BX84" s="266">
        <f t="shared" si="72"/>
        <v>0</v>
      </c>
      <c r="BY84" s="123">
        <f t="shared" si="72"/>
        <v>-29.10418053803604</v>
      </c>
      <c r="BZ84" s="123">
        <f t="shared" si="72"/>
        <v>26.941191881118371</v>
      </c>
      <c r="CA84" s="231"/>
      <c r="CB84" s="231"/>
    </row>
    <row r="85" spans="1:80" x14ac:dyDescent="0.25">
      <c r="A85" s="231"/>
      <c r="B85" s="31"/>
      <c r="C85" s="32"/>
      <c r="D85" s="32"/>
      <c r="E85" s="32">
        <f>Nøgletal!L149*Nøgletal!L150*Nøgletal!L155/Nøgletal!M391*-1</f>
        <v>0</v>
      </c>
      <c r="F85" s="32"/>
      <c r="G85" s="23">
        <f>SUM(H85:M85)</f>
        <v>0</v>
      </c>
      <c r="H85" s="32">
        <f>Nøgletal!L146/Nøgletal!M389*-1</f>
        <v>0</v>
      </c>
      <c r="I85" s="32"/>
      <c r="J85" s="32">
        <f>Nøgletal!L149*Nøgletal!L150*Nøgletal!L154/Nøgletal!M390*-1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Nøgletal!L149*Nøgletal!L150*Nøgletal!L159/Nøgletal!M395*-1</f>
        <v>0</v>
      </c>
      <c r="R85" s="32"/>
      <c r="S85" s="32">
        <f>Nøgletal!L149*Nøgletal!L150*Nøgletal!L153*(1-1/Nøgletal!M388)*-1</f>
        <v>0</v>
      </c>
      <c r="T85" s="23">
        <f>SUM(U85:AB85)</f>
        <v>0</v>
      </c>
      <c r="U85" s="32"/>
      <c r="V85" s="32"/>
      <c r="W85" s="32">
        <f>Nøgletal!L149*Nøgletal!L150*Nøgletal!L158/Nøgletal!M394*-1</f>
        <v>0</v>
      </c>
      <c r="X85" s="32">
        <f>Nøgletal!L149*Nøgletal!L150*Nøgletal!L157/Nøgletal!M393*-1</f>
        <v>0</v>
      </c>
      <c r="Y85" s="32">
        <f>Nøgletal!L149*Nøgletal!L150*Nøgletal!L156/Nøgletal!M392*-1</f>
        <v>0</v>
      </c>
      <c r="Z85" s="32"/>
      <c r="AA85" s="32"/>
      <c r="AB85" s="32"/>
      <c r="AC85" s="78">
        <f>-(Nøgletal!L143/Nøgletal!L$385+Nøgletal!L144/Nøgletal!L$386+Nøgletal!L145/Nøgletal!L$387+Nøgletal!L149*Nøgletal!L150*(Nøgletal!L153/Nøgletal!M388+Nøgletal!L160/Nøgletal!L384+Nøgletal!L161/Nøgletal!L383))</f>
        <v>-9.9030383927999992</v>
      </c>
      <c r="AD85" s="32">
        <f>Nøgletal!L149*Nøgletal!L151*-1</f>
        <v>0</v>
      </c>
      <c r="AE85" s="32"/>
      <c r="AF85" s="32"/>
      <c r="AG85" s="32"/>
      <c r="AH85" s="32"/>
      <c r="AI85" s="32"/>
      <c r="AJ85" s="105">
        <f>SUM(C85:G85,N85,T85,AC85:AG85)</f>
        <v>-9.9030383927999992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8.7245768240568005</v>
      </c>
      <c r="AP85" s="37">
        <f t="shared" si="68"/>
        <v>0.88100000000000012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Nøgletal!L141</f>
        <v>8.7245768240568005</v>
      </c>
      <c r="BX85" s="78"/>
      <c r="BY85" s="127">
        <f>(AJ85+BW85)*-1</f>
        <v>1.1784615687431987</v>
      </c>
      <c r="BZ85" s="123">
        <f>(C85*Emissionsfaktorer!$F$4+E85*Emissionsfaktorer!$F$3+F85*Emissionsfaktorer!$F$5+H85*Emissionsfaktorer!$F$7+I85*Emissionsfaktorer!$F$8+J85*Emissionsfaktorer!$F$9+K85*Emissionsfaktorer!$F$10+L85*Emissionsfaktorer!$F$11+M85*Emissionsfaktorer!$F$12)*-1</f>
        <v>0</v>
      </c>
      <c r="CA85" s="231"/>
      <c r="CB85" s="231"/>
    </row>
    <row r="86" spans="1:80" x14ac:dyDescent="0.25">
      <c r="A86" s="231"/>
      <c r="B86" s="31"/>
      <c r="C86" s="32"/>
      <c r="D86" s="32"/>
      <c r="E86" s="78">
        <f>Nøgletal!L181*Nøgletal!L182*Nøgletal!L187/Nøgletal!M391*-1+Nøgletal!L177/Nøgletal!M397*Nøgletal!L413*-1+Nøgletal!L178/Nøgletal!M398*Nøgletal!L424*-1</f>
        <v>-378.82928581078016</v>
      </c>
      <c r="F86" s="32">
        <f>Nøgletal!L178/Nøgletal!M398*Nøgletal!L427*-1</f>
        <v>0</v>
      </c>
      <c r="G86" s="23">
        <f>SUM(H86:M86)</f>
        <v>-33.397742860150828</v>
      </c>
      <c r="H86" s="32">
        <f>Nøgletal!L175/Nøgletal!M389*-1</f>
        <v>-12.231094211502175</v>
      </c>
      <c r="I86" s="32">
        <f>Nøgletal!L178/Nøgletal!M398*Nøgletal!L425*-1</f>
        <v>0</v>
      </c>
      <c r="J86" s="32">
        <f>Nøgletal!L181*Nøgletal!L182*Nøgletal!L186/Nøgletal!M390*-1+Nøgletal!L176/Nøgletal!M396*Nøgletal!L416*-1</f>
        <v>-21.16664864864865</v>
      </c>
      <c r="K86" s="32"/>
      <c r="L86" s="32"/>
      <c r="M86" s="32"/>
      <c r="N86" s="23">
        <f>SUM(O86:S86)</f>
        <v>0</v>
      </c>
      <c r="O86" s="32"/>
      <c r="P86" s="32"/>
      <c r="Q86" s="32">
        <f>Nøgletal!L181*Nøgletal!L182*Nøgletal!L191/Nøgletal!M395*-1</f>
        <v>0</v>
      </c>
      <c r="R86" s="32"/>
      <c r="S86" s="32">
        <f>Nøgletal!L181*Nøgletal!L182*Nøgletal!L185*(1-1/Nøgletal!M388)*-1</f>
        <v>0</v>
      </c>
      <c r="T86" s="23">
        <f>SUM(U86:AB86)</f>
        <v>0</v>
      </c>
      <c r="U86" s="32"/>
      <c r="V86" s="32"/>
      <c r="W86" s="32">
        <f>Nøgletal!L181*Nøgletal!L182*Nøgletal!L190/Nøgletal!M394*-1</f>
        <v>0</v>
      </c>
      <c r="X86" s="32">
        <f>Nøgletal!$L$177/Nøgletal!$M$397*Nøgletal!$L$414*-1+Nøgletal!L176/Nøgletal!M396*Nøgletal!L417*-1</f>
        <v>0</v>
      </c>
      <c r="Y86" s="32">
        <f>Nøgletal!L178/Nøgletal!M398*Nøgletal!L426*-1</f>
        <v>0</v>
      </c>
      <c r="Z86" s="32"/>
      <c r="AA86" s="32"/>
      <c r="AB86" s="32"/>
      <c r="AC86" s="78">
        <f>-(Nøgletal!L171/Nøgletal!L$385+Nøgletal!L172/Nøgletal!L$386+Nøgletal!L173/Nøgletal!L$387+Nøgletal!L181*Nøgletal!L182*(Nøgletal!L185/Nøgletal!M388+Nøgletal!L192/Nøgletal!L384+Nøgletal!L193/Nøgletal!L383))</f>
        <v>-369.39486276720004</v>
      </c>
      <c r="AD86" s="32">
        <f>(Nøgletal!L181*Nøgletal!L183+Nøgletal!L202)*-1</f>
        <v>-71.644421548832028</v>
      </c>
      <c r="AE86" s="32"/>
      <c r="AF86" s="32"/>
      <c r="AG86" s="32"/>
      <c r="AH86" s="269">
        <f>AH68</f>
        <v>-153.1884474</v>
      </c>
      <c r="AI86" s="32"/>
      <c r="AJ86" s="105">
        <f>SUM(C86:G86,N86,T86,AC86:AG86)</f>
        <v>-853.26631298696304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914.91389986059198</v>
      </c>
      <c r="AP86" s="37">
        <f t="shared" si="68"/>
        <v>1.0722489402608946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Nøgletal!L169</f>
        <v>914.91389986059198</v>
      </c>
      <c r="BX86" s="78"/>
      <c r="BY86" s="127">
        <f>(AJ86+BW86)*-1</f>
        <v>-61.647586873628939</v>
      </c>
      <c r="BZ86" s="123">
        <f>(C86*Emissionsfaktorer!$F$4+E86*Emissionsfaktorer!$F$3+F86*Emissionsfaktorer!$F$5+H86*Emissionsfaktorer!$F$7+I86*Emissionsfaktorer!$F$8+J86*Emissionsfaktorer!$F$9+K86*Emissionsfaktorer!$F$10+L86*Emissionsfaktorer!$F$11+M86*Emissionsfaktorer!$F$12)*-1</f>
        <v>24.158680907446723</v>
      </c>
      <c r="CA86" s="231"/>
      <c r="CB86" s="231"/>
    </row>
    <row r="87" spans="1:80" x14ac:dyDescent="0.25">
      <c r="A87" s="231"/>
      <c r="B87" s="31"/>
      <c r="C87" s="32"/>
      <c r="D87" s="32"/>
      <c r="E87" s="32">
        <f>Nøgletal!L211*Nøgletal!L212*Nøgletal!L217/Nøgletal!M391*-1</f>
        <v>0</v>
      </c>
      <c r="F87" s="32"/>
      <c r="G87" s="23">
        <f>SUM(H87:M87)</f>
        <v>0</v>
      </c>
      <c r="H87" s="32">
        <f>Nøgletal!L208/Nøgletal!M389*-1</f>
        <v>0</v>
      </c>
      <c r="I87" s="149"/>
      <c r="J87" s="32">
        <f>Nøgletal!L211*Nøgletal!L212*Nøgletal!L216/Nøgletal!M390*-1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Nøgletal!L211*Nøgletal!L212*Nøgletal!L221/Nøgletal!M395*-1</f>
        <v>0</v>
      </c>
      <c r="R87" s="32"/>
      <c r="S87" s="32">
        <f>Nøgletal!L211*Nøgletal!L212*Nøgletal!L215*(1-1/Nøgletal!M388)*-1</f>
        <v>0</v>
      </c>
      <c r="T87" s="23">
        <f>SUM(U87:AB87)</f>
        <v>0</v>
      </c>
      <c r="U87" s="32"/>
      <c r="V87" s="32"/>
      <c r="W87" s="32">
        <f>Nøgletal!L211*Nøgletal!L212*Nøgletal!L220/Nøgletal!M394*-1</f>
        <v>0</v>
      </c>
      <c r="X87" s="32">
        <f>Nøgletal!L211*Nøgletal!L212*Nøgletal!L219/Nøgletal!M393*-1</f>
        <v>0</v>
      </c>
      <c r="Y87" s="32">
        <f>Nøgletal!L211*Nøgletal!L212*Nøgletal!L218/Nøgletal!M392*-1</f>
        <v>0</v>
      </c>
      <c r="Z87" s="32"/>
      <c r="AA87" s="32"/>
      <c r="AB87" s="32"/>
      <c r="AC87" s="78">
        <f>-(Nøgletal!L205/Nøgletal!L$385+Nøgletal!L206/Nøgletal!L$386+Nøgletal!L207/Nøgletal!L$387+Nøgletal!L211*Nøgletal!L212*(Nøgletal!L215/Nøgletal!M388+Nøgletal!L222/Nøgletal!L384+Nøgletal!L223/Nøgletal!L383))</f>
        <v>-1.6175493720000005</v>
      </c>
      <c r="AD87" s="32">
        <f>Nøgletal!L211*Nøgletal!L213*-1</f>
        <v>-24.424234618920007</v>
      </c>
      <c r="AE87" s="32"/>
      <c r="AF87" s="32"/>
      <c r="AG87" s="32"/>
      <c r="AH87" s="32"/>
      <c r="AI87" s="32"/>
      <c r="AJ87" s="105">
        <f>SUM(C87:G87,N87,T87,AC87:AG87)</f>
        <v>-26.041783990920006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25.745772455844008</v>
      </c>
      <c r="AP87" s="37">
        <f t="shared" si="68"/>
        <v>0.98863320826333523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Nøgletal!L203</f>
        <v>25.745772455844008</v>
      </c>
      <c r="BX87" s="78"/>
      <c r="BY87" s="127">
        <f>(AJ87+BW87)*-1</f>
        <v>0.29601153507599776</v>
      </c>
      <c r="BZ87" s="123">
        <f>(C87*Emissionsfaktorer!$F$4+E87*Emissionsfaktorer!$F$3+F87*Emissionsfaktorer!$F$5+H87*Emissionsfaktorer!$F$7+I87*Emissionsfaktorer!$F$8+J87*Emissionsfaktorer!$F$9+K87*Emissionsfaktorer!$F$10+L87*Emissionsfaktorer!$F$11+M87*Emissionsfaktorer!$F$12)*-1</f>
        <v>0</v>
      </c>
      <c r="CA87" s="231"/>
      <c r="CB87" s="231"/>
    </row>
    <row r="88" spans="1:80" x14ac:dyDescent="0.25">
      <c r="A88" s="231"/>
      <c r="B88" s="31"/>
      <c r="C88" s="32"/>
      <c r="D88" s="32"/>
      <c r="E88" s="32">
        <f>(Nøgletal!L236/Nøgletal!L406*Nøgletal!L696+Nøgletal!L240*Nøgletal!L241*Nøgletal!L246/Nøgletal!M391)*-1</f>
        <v>0</v>
      </c>
      <c r="F88" s="32"/>
      <c r="G88" s="23">
        <f>SUM(H88:M88)</f>
        <v>-37.601499644211493</v>
      </c>
      <c r="H88" s="32">
        <f>Nøgletal!L237/Nøgletal!M389*-1</f>
        <v>0</v>
      </c>
      <c r="I88" s="32"/>
      <c r="J88" s="32">
        <f>Nøgletal!L240*Nøgletal!L241*Nøgletal!L245/Nøgletal!M390*-1</f>
        <v>0</v>
      </c>
      <c r="K88" s="78">
        <f>Nøgletal!L236/Nøgletal!L406*Nøgletal!L692*-1</f>
        <v>-37.601499644211493</v>
      </c>
      <c r="L88" s="32"/>
      <c r="M88" s="32">
        <f>Nøgletal!L236/Nøgletal!L406*Nøgletal!L693*-1</f>
        <v>0</v>
      </c>
      <c r="N88" s="23">
        <f>SUM(O88:S88)</f>
        <v>0</v>
      </c>
      <c r="O88" s="32"/>
      <c r="P88" s="32"/>
      <c r="Q88" s="32">
        <f>Nøgletal!L240*Nøgletal!L241*Nøgletal!L250/Nøgletal!M395*-1</f>
        <v>0</v>
      </c>
      <c r="R88" s="32"/>
      <c r="S88" s="32">
        <f>Nøgletal!L240*Nøgletal!L241*Nøgletal!L244*(1-1/Nøgletal!M388)*-1</f>
        <v>0</v>
      </c>
      <c r="T88" s="23">
        <f>SUM(U88:AB88)</f>
        <v>0</v>
      </c>
      <c r="U88" s="32">
        <f>Nøgletal!L236*Nøgletal!L695/Nøgletal!L406*-1</f>
        <v>0</v>
      </c>
      <c r="V88" s="32">
        <f>Nøgletal!L236*Nøgletal!L697/Nøgletal!L406*-1</f>
        <v>0</v>
      </c>
      <c r="W88" s="32">
        <f>Nøgletal!L240*Nøgletal!L241*Nøgletal!L249/Nøgletal!M394*-1</f>
        <v>0</v>
      </c>
      <c r="X88" s="32">
        <f>Nøgletal!L240*Nøgletal!L241*Nøgletal!L248/Nøgletal!M393*-1</f>
        <v>0</v>
      </c>
      <c r="Y88" s="32">
        <f>Nøgletal!L240*Nøgletal!L241*Nøgletal!L247/Nøgletal!M392*-1</f>
        <v>0</v>
      </c>
      <c r="Z88" s="32"/>
      <c r="AA88" s="32"/>
      <c r="AB88" s="32">
        <f>Nøgletal!L236*Nøgletal!L694/Nøgletal!L406*-1</f>
        <v>0</v>
      </c>
      <c r="AC88" s="78">
        <f>-(Nøgletal!L233/Nøgletal!L$385+Nøgletal!L234/Nøgletal!L$386+Nøgletal!L235/Nøgletal!L$387+Nøgletal!L236*Nøgletal!L698/Nøgletal!L406+Nøgletal!L240*Nøgletal!L241*(Nøgletal!L244/Nøgletal!M388+Nøgletal!L251/Nøgletal!L384+Nøgletal!L252/Nøgletal!L383))</f>
        <v>-32.108898743999994</v>
      </c>
      <c r="AD88" s="32">
        <f>Nøgletal!L240*Nøgletal!L242</f>
        <v>0</v>
      </c>
      <c r="AE88" s="32"/>
      <c r="AF88" s="32"/>
      <c r="AG88" s="32"/>
      <c r="AH88" s="32"/>
      <c r="AI88" s="32"/>
      <c r="AJ88" s="105">
        <f>SUM(C88:G88,N88,T88,AC88:AG88)</f>
        <v>-69.710398388211487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38.641465156437789</v>
      </c>
      <c r="AP88" s="37">
        <f t="shared" si="68"/>
        <v>0.55431422068837766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Nøgletal!L231</f>
        <v>38.641465156437789</v>
      </c>
      <c r="BX88" s="78"/>
      <c r="BY88" s="127">
        <f>(AJ88+BW88)*-1</f>
        <v>31.068933231773698</v>
      </c>
      <c r="BZ88" s="123">
        <f>(C88*Emissionsfaktorer!$F$4+E88*Emissionsfaktorer!$F$3+F88*Emissionsfaktorer!$F$5+H88*Emissionsfaktorer!$F$7+I88*Emissionsfaktorer!$F$8+J88*Emissionsfaktorer!$F$9+K88*Emissionsfaktorer!$F$10+L88*Emissionsfaktorer!$F$11+M88*Emissionsfaktorer!$F$12)*-1</f>
        <v>2.7825109736716502</v>
      </c>
      <c r="CA88" s="231"/>
      <c r="CB88" s="231"/>
    </row>
    <row r="89" spans="1:80" x14ac:dyDescent="0.25">
      <c r="A89" s="231"/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-5568.8808107191135</v>
      </c>
      <c r="AJ89" s="155">
        <f>AJ90+AJ101+AJ112+AJ117</f>
        <v>-5568.8808107191135</v>
      </c>
      <c r="AK89" s="88" t="s">
        <v>274</v>
      </c>
      <c r="AL89" s="89" t="s">
        <v>275</v>
      </c>
      <c r="AM89" s="89"/>
      <c r="AN89" s="37"/>
      <c r="AO89" s="38">
        <f t="shared" si="61"/>
        <v>3893.9731132302995</v>
      </c>
      <c r="AP89" s="37">
        <f t="shared" si="68"/>
        <v>0.69923800590867158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3893.9731132302995</v>
      </c>
      <c r="BX89" s="82"/>
      <c r="BY89" s="128">
        <f>BY90+BY101+BY112+BY117</f>
        <v>1687.1557325291249</v>
      </c>
      <c r="BZ89" s="128">
        <f>BZ90+BZ101+BZ112+BZ117</f>
        <v>0</v>
      </c>
      <c r="CA89" s="231"/>
      <c r="CB89" s="231"/>
    </row>
    <row r="90" spans="1:80" x14ac:dyDescent="0.25">
      <c r="A90" s="231"/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-1828.9659086878514</v>
      </c>
      <c r="AJ90" s="156">
        <f>SUM(AJ91:AJ100)</f>
        <v>-1828.9659086878514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489.83180143718272</v>
      </c>
      <c r="AP90" s="146">
        <f t="shared" ref="AP90:AP127" si="73">BW90/IF(AJ90&lt;0,AJ90,1)*-1</f>
        <v>0.26781898946853583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489.83180143718272</v>
      </c>
      <c r="BX90" s="108"/>
      <c r="BY90" s="129">
        <f>SUM(BY91:BY100)</f>
        <v>1336.6063477802916</v>
      </c>
      <c r="BZ90" s="129">
        <f>SUM(BZ91:BZ100)</f>
        <v>0</v>
      </c>
      <c r="CA90" s="231"/>
      <c r="CB90" s="231"/>
    </row>
    <row r="91" spans="1:80" x14ac:dyDescent="0.25">
      <c r="A91" s="231"/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-559.55999999999995</v>
      </c>
      <c r="AJ91" s="156">
        <f>AO91/Nøgletal!L401*-1</f>
        <v>-559.55999999999995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111.91199999999999</v>
      </c>
      <c r="AP91" s="146">
        <f t="shared" si="73"/>
        <v>0.2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231"/>
      <c r="BW91" s="78">
        <f>Nøgletal!L$282*Nøgletal!L286</f>
        <v>111.91199999999999</v>
      </c>
      <c r="BX91" s="119"/>
      <c r="BY91" s="127">
        <f t="shared" ref="BY91:BY98" si="76">(AJ91+BW91)*-1</f>
        <v>447.64799999999997</v>
      </c>
      <c r="BZ91" s="125">
        <v>0</v>
      </c>
      <c r="CA91" s="231"/>
      <c r="CB91" s="151"/>
    </row>
    <row r="92" spans="1:80" x14ac:dyDescent="0.25">
      <c r="A92" s="231"/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-354.00000000000006</v>
      </c>
      <c r="AJ92" s="156">
        <f>AO92/Nøgletal!L402*-1</f>
        <v>-354.00000000000006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88.500000000000014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231"/>
      <c r="BW92" s="78">
        <f>Nøgletal!L$282*Nøgletal!L287</f>
        <v>88.500000000000014</v>
      </c>
      <c r="BX92" s="119"/>
      <c r="BY92" s="127">
        <f t="shared" si="76"/>
        <v>265.50000000000006</v>
      </c>
      <c r="BZ92" s="125">
        <v>0</v>
      </c>
      <c r="CA92" s="231"/>
      <c r="CB92" s="151"/>
    </row>
    <row r="93" spans="1:80" x14ac:dyDescent="0.25">
      <c r="A93" s="231"/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-160.85000000000002</v>
      </c>
      <c r="AJ93" s="156">
        <f>AO93/IF(Nøgletal!L403&gt;0,Nøgletal!L403,1)*-1</f>
        <v>-160.85000000000002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40.212500000000006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231"/>
      <c r="BW93" s="78">
        <f>Nøgletal!L$282*Nøgletal!L288</f>
        <v>40.212500000000006</v>
      </c>
      <c r="BX93" s="119"/>
      <c r="BY93" s="127">
        <f t="shared" si="76"/>
        <v>120.63750000000002</v>
      </c>
      <c r="BZ93" s="125">
        <v>0</v>
      </c>
      <c r="CA93" s="231"/>
      <c r="CB93" s="151"/>
    </row>
    <row r="94" spans="1:80" x14ac:dyDescent="0.25">
      <c r="A94" s="231"/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-26.49</v>
      </c>
      <c r="AJ94" s="156">
        <f>AO94/Nøgletal!L404*-1</f>
        <v>-26.49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8.7416999999999998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231"/>
      <c r="BW94" s="78">
        <f>Nøgletal!L$282*Nøgletal!L289</f>
        <v>8.7416999999999998</v>
      </c>
      <c r="BX94" s="119"/>
      <c r="BY94" s="127">
        <f t="shared" si="76"/>
        <v>17.7483</v>
      </c>
      <c r="BZ94" s="125">
        <v>0</v>
      </c>
      <c r="CA94" s="231"/>
      <c r="CB94" s="151"/>
    </row>
    <row r="95" spans="1:80" x14ac:dyDescent="0.25">
      <c r="A95" s="231"/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-301.44999999999993</v>
      </c>
      <c r="AJ95" s="156">
        <f>AO95/Nøgletal!L405*-1</f>
        <v>-301.44999999999993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99.478499999999983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231"/>
      <c r="BW95" s="78">
        <f>Nøgletal!L$282*Nøgletal!L290</f>
        <v>99.478499999999983</v>
      </c>
      <c r="BX95" s="119"/>
      <c r="BY95" s="127">
        <f t="shared" si="76"/>
        <v>201.97149999999993</v>
      </c>
      <c r="BZ95" s="125">
        <v>0</v>
      </c>
      <c r="CA95" s="231"/>
      <c r="CB95" s="151"/>
    </row>
    <row r="96" spans="1:80" x14ac:dyDescent="0.25">
      <c r="A96" s="231"/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-30.107094424259472</v>
      </c>
      <c r="AJ96" s="156">
        <f>AO96/Nøgletal!L407*-1</f>
        <v>-30.107094424259472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9.9353411600056258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231"/>
      <c r="BW96" s="78">
        <f>Nøgletal!L$282*Nøgletal!L291</f>
        <v>9.9353411600056258</v>
      </c>
      <c r="BX96" s="119"/>
      <c r="BY96" s="127">
        <f t="shared" si="76"/>
        <v>20.171753264253844</v>
      </c>
      <c r="BZ96" s="125">
        <v>0</v>
      </c>
      <c r="CA96" s="231"/>
      <c r="CB96" s="151"/>
    </row>
    <row r="97" spans="1:80" x14ac:dyDescent="0.25">
      <c r="A97" s="231"/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-335.85091276807952</v>
      </c>
      <c r="AJ97" s="156">
        <f>AO97/Nøgletal!L408*-1</f>
        <v>-335.85091276807952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110.83080121346624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231"/>
      <c r="BW97" s="78">
        <f>Nøgletal!L$282*Nøgletal!L292</f>
        <v>110.83080121346624</v>
      </c>
      <c r="BX97" s="119"/>
      <c r="BY97" s="127">
        <f t="shared" si="76"/>
        <v>225.02011155461327</v>
      </c>
      <c r="BZ97" s="125">
        <v>0</v>
      </c>
      <c r="CA97" s="231"/>
      <c r="CB97" s="151"/>
    </row>
    <row r="98" spans="1:80" x14ac:dyDescent="0.25">
      <c r="A98" s="231"/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-56.580870091678406</v>
      </c>
      <c r="AJ98" s="156">
        <f>AO98/Nøgletal!L409*-1</f>
        <v>-56.580870091678406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18.671687130253876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231"/>
      <c r="BW98" s="78">
        <f>Nøgletal!L$282*Nøgletal!L293</f>
        <v>18.671687130253876</v>
      </c>
      <c r="BX98" s="119"/>
      <c r="BY98" s="127">
        <f t="shared" si="76"/>
        <v>37.909182961424534</v>
      </c>
      <c r="BZ98" s="125">
        <v>0</v>
      </c>
      <c r="CA98" s="231"/>
      <c r="CB98" s="151"/>
    </row>
    <row r="99" spans="1:80" x14ac:dyDescent="0.25">
      <c r="A99" s="231"/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0</v>
      </c>
      <c r="AJ99" s="156">
        <f>AO99/Nøgletal!L410*-1</f>
        <v>0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0</v>
      </c>
      <c r="AP99" s="146">
        <f t="shared" si="73"/>
        <v>0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231"/>
      <c r="BW99" s="78">
        <f>Nøgletal!L$282*Nøgletal!L284</f>
        <v>0</v>
      </c>
      <c r="BX99" s="119"/>
      <c r="BY99" s="147">
        <v>0</v>
      </c>
      <c r="BZ99" s="125">
        <v>0</v>
      </c>
      <c r="CA99" s="231"/>
      <c r="CB99" s="151"/>
    </row>
    <row r="100" spans="1:80" x14ac:dyDescent="0.25">
      <c r="A100" s="231"/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-4.0770314038340576</v>
      </c>
      <c r="AJ100" s="156">
        <f>AO100/Nøgletal!L411*-1</f>
        <v>-4.0770314038340576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1.549271933456942</v>
      </c>
      <c r="AP100" s="146">
        <f t="shared" si="73"/>
        <v>0.38000000000000006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231"/>
      <c r="BW100" s="78">
        <f>Nøgletal!L$282*Nøgletal!L285</f>
        <v>1.549271933456942</v>
      </c>
      <c r="BX100" s="119"/>
      <c r="BY100" s="147">
        <v>0</v>
      </c>
      <c r="BZ100" s="125">
        <v>0</v>
      </c>
      <c r="CA100" s="231"/>
      <c r="CB100" s="151"/>
    </row>
    <row r="101" spans="1:80" x14ac:dyDescent="0.25">
      <c r="A101" s="231"/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-954.32517812014464</v>
      </c>
      <c r="AJ101" s="156">
        <f>SUM(AJ102:AJ111)</f>
        <v>-954.32517812014464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846.14539924479072</v>
      </c>
      <c r="AP101" s="146">
        <f t="shared" si="73"/>
        <v>0.88664264408443105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846.14539924479072</v>
      </c>
      <c r="BX101" s="108"/>
      <c r="BY101" s="129">
        <f>SUM(BY102:BY111)</f>
        <v>122.95557338604189</v>
      </c>
      <c r="BZ101" s="129">
        <f>SUM(BZ102:BZ111)</f>
        <v>0</v>
      </c>
      <c r="CA101" s="231"/>
      <c r="CB101" s="19"/>
    </row>
    <row r="102" spans="1:80" x14ac:dyDescent="0.25">
      <c r="A102" s="231"/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-29.551589021376007</v>
      </c>
      <c r="AJ102" s="156">
        <f>AO102/Nøgletal!L386*-1</f>
        <v>-29.551589021376007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44.327383532064012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Nøgletal!L172</f>
        <v>44.327383532064012</v>
      </c>
      <c r="BX102" s="119"/>
      <c r="BY102" s="127">
        <v>0</v>
      </c>
      <c r="BZ102" s="125">
        <v>0</v>
      </c>
      <c r="CA102" s="231"/>
      <c r="CB102" s="19"/>
    </row>
    <row r="103" spans="1:80" x14ac:dyDescent="0.25">
      <c r="A103" s="231"/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-317.67958197979203</v>
      </c>
      <c r="AJ103" s="156">
        <f>AO103/Nøgletal!L387*-1</f>
        <v>-317.67958197979203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270.02764468282322</v>
      </c>
      <c r="AP103" s="146">
        <f t="shared" si="73"/>
        <v>0.85</v>
      </c>
      <c r="AQ103" s="49"/>
      <c r="AR103" s="19"/>
      <c r="AS103" s="19"/>
      <c r="AT103" s="19"/>
      <c r="AU103" s="19"/>
      <c r="AV103" s="19"/>
      <c r="AW103" s="231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Nøgletal!L173</f>
        <v>270.02764468282322</v>
      </c>
      <c r="BX103" s="119"/>
      <c r="BY103" s="127">
        <f t="shared" ref="BY103:BY111" si="77">(AJ103+BW103)*-1</f>
        <v>47.651937296968811</v>
      </c>
      <c r="BZ103" s="125">
        <v>0</v>
      </c>
      <c r="CA103" s="231"/>
      <c r="CB103" s="19"/>
    </row>
    <row r="104" spans="1:80" x14ac:dyDescent="0.25">
      <c r="A104" s="231"/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-21.16664864864865</v>
      </c>
      <c r="AJ104" s="156">
        <f>AO104/Nøgletal!M396*-1</f>
        <v>-21.16664864864865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19.049983783783784</v>
      </c>
      <c r="AP104" s="146">
        <f t="shared" si="73"/>
        <v>0.89999999999999991</v>
      </c>
      <c r="AQ104" s="49"/>
      <c r="AR104" s="19"/>
      <c r="AS104" s="19"/>
      <c r="AT104" s="19"/>
      <c r="AU104" s="19"/>
      <c r="AV104" s="19"/>
      <c r="AW104" s="231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Nøgletal!L176</f>
        <v>19.049983783783784</v>
      </c>
      <c r="BX104" s="119"/>
      <c r="BY104" s="127">
        <f t="shared" si="77"/>
        <v>2.116664864864866</v>
      </c>
      <c r="BZ104" s="125">
        <v>0</v>
      </c>
      <c r="CA104" s="231"/>
      <c r="CB104" s="19"/>
    </row>
    <row r="105" spans="1:80" x14ac:dyDescent="0.25">
      <c r="A105" s="231"/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-378.82928581078016</v>
      </c>
      <c r="AJ105" s="156">
        <f>AO105/IF(Nøgletal!M397&gt;0,Nøgletal!M397,1)*-1</f>
        <v>-378.82928581078016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340.94635722970213</v>
      </c>
      <c r="AP105" s="146">
        <f t="shared" si="73"/>
        <v>0.89999999999999991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Nøgletal!L177</f>
        <v>340.94635722970213</v>
      </c>
      <c r="BX105" s="119"/>
      <c r="BY105" s="127">
        <f t="shared" si="77"/>
        <v>37.882928581078033</v>
      </c>
      <c r="BZ105" s="125">
        <v>0</v>
      </c>
      <c r="CA105" s="231"/>
      <c r="CB105" s="19"/>
    </row>
    <row r="106" spans="1:80" x14ac:dyDescent="0.25">
      <c r="A106" s="231"/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'2025'!AO106/Nøgletal!M398*-1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Nøgletal!L178</f>
        <v>0</v>
      </c>
      <c r="BX106" s="119"/>
      <c r="BY106" s="127">
        <f t="shared" si="77"/>
        <v>0</v>
      </c>
      <c r="BZ106" s="125">
        <v>0</v>
      </c>
      <c r="CA106" s="231"/>
      <c r="CB106" s="19"/>
    </row>
    <row r="107" spans="1:80" x14ac:dyDescent="0.25">
      <c r="A107" s="231"/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-4.0770314038340576</v>
      </c>
      <c r="AJ107" s="156">
        <f>AO107/Nøgletal!M389*-1</f>
        <v>-4.0770314038340576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1.549271933456942</v>
      </c>
      <c r="AP107" s="146">
        <f t="shared" si="73"/>
        <v>0.38000000000000006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Nøgletal!L34+Nøgletal!L62+Nøgletal!L90+Nøgletal!L118+Nøgletal!L146+Nøgletal!L208+Nøgletal!L237</f>
        <v>1.549271933456942</v>
      </c>
      <c r="BX107" s="119"/>
      <c r="BY107" s="127">
        <f t="shared" si="77"/>
        <v>2.5277594703771156</v>
      </c>
      <c r="BZ107" s="125">
        <v>0</v>
      </c>
      <c r="CA107" s="231"/>
      <c r="CB107" s="19"/>
    </row>
    <row r="108" spans="1:80" x14ac:dyDescent="0.25">
      <c r="A108" s="231"/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-12.231094211502175</v>
      </c>
      <c r="AJ108" s="156">
        <f>AO108/Nøgletal!M389*-1</f>
        <v>-12.231094211502175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4.6478158003708261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Nøgletal!L175</f>
        <v>4.6478158003708261</v>
      </c>
      <c r="BX108" s="119"/>
      <c r="BY108" s="127">
        <f t="shared" si="77"/>
        <v>7.5832784111313485</v>
      </c>
      <c r="BZ108" s="125">
        <v>0</v>
      </c>
      <c r="CA108" s="231"/>
      <c r="CB108" s="19"/>
    </row>
    <row r="109" spans="1:80" x14ac:dyDescent="0.25">
      <c r="A109" s="231"/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-153.1884474</v>
      </c>
      <c r="AJ109" s="156">
        <f>AO109*-1</f>
        <v>-153.1884474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153.1884474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Nøgletal!L201</f>
        <v>153.1884474</v>
      </c>
      <c r="BX109" s="119"/>
      <c r="BY109" s="127">
        <f t="shared" si="77"/>
        <v>0</v>
      </c>
      <c r="BZ109" s="125">
        <v>0</v>
      </c>
      <c r="CA109" s="231"/>
      <c r="CB109" s="19"/>
    </row>
    <row r="110" spans="1:80" x14ac:dyDescent="0.25">
      <c r="A110" s="231"/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-37.601499644211493</v>
      </c>
      <c r="AJ110" s="156">
        <f>AO110/Nøgletal!L406*-1</f>
        <v>-37.601499644211493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12.408494882589794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231"/>
      <c r="BW110" s="78">
        <f>Nøgletal!L236</f>
        <v>12.408494882589794</v>
      </c>
      <c r="BX110" s="119"/>
      <c r="BY110" s="127">
        <f t="shared" si="77"/>
        <v>25.193004761621701</v>
      </c>
      <c r="BZ110" s="125">
        <v>0</v>
      </c>
      <c r="CA110" s="231"/>
      <c r="CB110" s="151"/>
    </row>
    <row r="111" spans="1:80" x14ac:dyDescent="0.25">
      <c r="A111" s="231"/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Nøgletal!L202</f>
        <v>0</v>
      </c>
      <c r="BX111" s="119"/>
      <c r="BY111" s="127">
        <f t="shared" si="77"/>
        <v>0</v>
      </c>
      <c r="BZ111" s="125">
        <v>0</v>
      </c>
      <c r="CA111" s="231"/>
      <c r="CB111" s="19"/>
    </row>
    <row r="112" spans="1:80" x14ac:dyDescent="0.25">
      <c r="A112" s="231"/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-787.54366930950857</v>
      </c>
      <c r="AJ112" s="157">
        <f>SUM(AJ113:AJ116)</f>
        <v>-787.54366930950857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658.17277807787309</v>
      </c>
      <c r="AP112" s="146">
        <f t="shared" si="73"/>
        <v>0.83572861255419206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658.17277807787309</v>
      </c>
      <c r="BX112" s="108"/>
      <c r="BY112" s="129">
        <f>SUM(BY113:BY116)</f>
        <v>129.3708912316354</v>
      </c>
      <c r="BZ112" s="129">
        <f>SUM(BZ113:BZ116)</f>
        <v>0</v>
      </c>
      <c r="CA112" s="231"/>
      <c r="CB112" s="231"/>
    </row>
    <row r="113" spans="1:80" x14ac:dyDescent="0.25">
      <c r="A113" s="231"/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-187.67253337251489</v>
      </c>
      <c r="AJ113" s="157">
        <f>AO113/Nøgletal!L385*-1</f>
        <v>-187.67253337251489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93.836266686257446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Nøgletal!L31+Nøgletal!L59+Nøgletal!L87+Nøgletal!L115+Nøgletal!L143+Nøgletal!L171+Nøgletal!L205+Nøgletal!L233</f>
        <v>93.836266686257446</v>
      </c>
      <c r="BX113" s="119"/>
      <c r="BY113" s="127">
        <f>(AJ113+BW113)*-1</f>
        <v>93.836266686257446</v>
      </c>
      <c r="BZ113" s="125">
        <v>0</v>
      </c>
      <c r="CA113" s="231"/>
      <c r="CB113" s="231"/>
    </row>
    <row r="114" spans="1:80" x14ac:dyDescent="0.25">
      <c r="A114" s="231"/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-41.503394349154853</v>
      </c>
      <c r="AJ114" s="157">
        <f>AO114/Nøgletal!L382*-1</f>
        <v>-41.503394349154853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18.261493513628135</v>
      </c>
      <c r="AP114" s="146">
        <f t="shared" si="73"/>
        <v>0.44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Nøgletal!L30</f>
        <v>18.261493513628135</v>
      </c>
      <c r="BX114" s="119"/>
      <c r="BY114" s="127">
        <f>(AJ114+BW114)*-1</f>
        <v>23.241900835526717</v>
      </c>
      <c r="BZ114" s="125">
        <v>0</v>
      </c>
      <c r="CA114" s="231"/>
      <c r="CB114" s="231"/>
    </row>
    <row r="115" spans="1:80" x14ac:dyDescent="0.25">
      <c r="A115" s="231"/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-109.94221158203783</v>
      </c>
      <c r="AJ115" s="157">
        <f>AO115/Nøgletal!L386*-1</f>
        <v>-109.94221158203783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164.91331737305674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Nøgletal!L32+Nøgletal!L60+Nøgletal!L88+Nøgletal!L116+Nøgletal!L144+Nøgletal!L206+Nøgletal!L234</f>
        <v>164.91331737305674</v>
      </c>
      <c r="BX115" s="119"/>
      <c r="BY115" s="127">
        <f>(AJ115+BW115)*-1</f>
        <v>-54.971105791018914</v>
      </c>
      <c r="BZ115" s="125">
        <v>0</v>
      </c>
      <c r="CA115" s="231"/>
      <c r="CB115" s="231"/>
    </row>
    <row r="116" spans="1:80" x14ac:dyDescent="0.25">
      <c r="A116" s="231"/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-448.42553000580097</v>
      </c>
      <c r="AJ116" s="157">
        <f>AO116/Nøgletal!L387*-1</f>
        <v>-448.42553000580097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381.16170050493082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Nøgletal!L33+Nøgletal!L61+Nøgletal!L89+Nøgletal!L117+Nøgletal!L145+Nøgletal!L207+Nøgletal!L235</f>
        <v>381.16170050493082</v>
      </c>
      <c r="BX116" s="119"/>
      <c r="BY116" s="127">
        <f>(AJ116+BW116)*-1</f>
        <v>67.263829500870145</v>
      </c>
      <c r="BZ116" s="125">
        <v>0</v>
      </c>
      <c r="CA116" s="231"/>
      <c r="CB116" s="231"/>
    </row>
    <row r="117" spans="1:80" x14ac:dyDescent="0.25">
      <c r="A117" s="231"/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-1998.0460546016091</v>
      </c>
      <c r="AJ117" s="157">
        <f>SUM(AJ118:AJ127)</f>
        <v>-1998.0460546016091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1899.8231344704529</v>
      </c>
      <c r="AP117" s="146">
        <f t="shared" si="73"/>
        <v>0.95084051245718615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1899.8231344704529</v>
      </c>
      <c r="BX117" s="108"/>
      <c r="BY117" s="129">
        <f>SUM(BY118:BY127)</f>
        <v>98.22292013115603</v>
      </c>
      <c r="BZ117" s="129">
        <f>SUM(BZ118:BZ127)</f>
        <v>0</v>
      </c>
      <c r="CA117" s="231"/>
      <c r="CB117" s="231"/>
    </row>
    <row r="118" spans="1:80" x14ac:dyDescent="0.25">
      <c r="A118" s="231"/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-5.1798871877305315</v>
      </c>
      <c r="AJ118" s="157">
        <f>AO118/Nøgletal!L383*-1</f>
        <v>-5.1798871877305315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4.6618984689574781</v>
      </c>
      <c r="AP118" s="146">
        <f t="shared" si="73"/>
        <v>0.89999999999999991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L49*Nøgletal!L38*Nøgletal!L37+Nøgletal!L65*Nøgletal!L66*Nøgletal!L77+Nøgletal!L93*Nøgletal!L94*Nøgletal!L105+Nøgletal!L121*Nøgletal!L122*Nøgletal!L133+Nøgletal!L149*Nøgletal!L150*Nøgletal!L161+Nøgletal!L181*Nøgletal!L182*Nøgletal!L193+Nøgletal!L211*Nøgletal!L212*Nøgletal!L223+Nøgletal!L240*Nøgletal!L241*Nøgletal!L252</f>
        <v>4.6618984689574781</v>
      </c>
      <c r="BX118" s="119"/>
      <c r="BY118" s="127">
        <f t="shared" ref="BY118:BY127" si="78">(AJ118+BW118)*-1</f>
        <v>0.51798871877305341</v>
      </c>
      <c r="BZ118" s="125">
        <v>0</v>
      </c>
      <c r="CA118" s="231"/>
      <c r="CB118" s="231"/>
    </row>
    <row r="119" spans="1:80" x14ac:dyDescent="0.25">
      <c r="A119" s="231"/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-21.977521353656677</v>
      </c>
      <c r="AJ119" s="157">
        <f>AO119*Nøgletal!L384*-1</f>
        <v>-21.977521353656677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21.977521353656677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L37*Nøgletal!L38*Nøgletal!L48+Nøgletal!L65*Nøgletal!L66*Nøgletal!L76+Nøgletal!L93*Nøgletal!L94*Nøgletal!L104+Nøgletal!L121*Nøgletal!L122*Nøgletal!L132+Nøgletal!L149*Nøgletal!L150*Nøgletal!L160+Nøgletal!L181*Nøgletal!L182*Nøgletal!L192+Nøgletal!L211*Nøgletal!L212*Nøgletal!L222+Nøgletal!L240*Nøgletal!L241*Nøgletal!L251</f>
        <v>21.977521353656677</v>
      </c>
      <c r="BX119" s="119"/>
      <c r="BY119" s="127">
        <f t="shared" si="78"/>
        <v>0</v>
      </c>
      <c r="BZ119" s="125">
        <v>0</v>
      </c>
      <c r="CA119" s="231"/>
      <c r="CB119" s="231"/>
    </row>
    <row r="120" spans="1:80" x14ac:dyDescent="0.25">
      <c r="A120" s="231"/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-1.27775967212555</v>
      </c>
      <c r="AJ120" s="157">
        <f>AO120*-1</f>
        <v>-1.27775967212555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1.27775967212555</v>
      </c>
      <c r="AP120" s="146">
        <f t="shared" si="73"/>
        <v>1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L37*Nøgletal!L38*Nøgletal!L41+Nøgletal!L65*Nøgletal!L66*Nøgletal!L69+Nøgletal!L93*Nøgletal!L94*Nøgletal!L97+Nøgletal!L121*Nøgletal!L122*Nøgletal!L125+Nøgletal!L149*Nøgletal!L150*Nøgletal!L153+Nøgletal!L181*Nøgletal!L182*Nøgletal!L185+Nøgletal!L211*Nøgletal!L212*Nøgletal!L215+Nøgletal!L240*Nøgletal!L241*Nøgletal!L244</f>
        <v>1.27775967212555</v>
      </c>
      <c r="BX120" s="119"/>
      <c r="BY120" s="127">
        <f t="shared" si="78"/>
        <v>0</v>
      </c>
      <c r="BZ120" s="125">
        <v>0</v>
      </c>
      <c r="CA120" s="231"/>
      <c r="CB120" s="231"/>
    </row>
    <row r="121" spans="1:80" x14ac:dyDescent="0.25">
      <c r="A121" s="231"/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-88</v>
      </c>
      <c r="AJ121" s="157">
        <f>AO121/Nøgletal!M390*-1</f>
        <v>-88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70.400000000000006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L$37*Nøgletal!L$38*Nøgletal!L42+Nøgletal!L$65*Nøgletal!L$66*Nøgletal!L70+Nøgletal!L$93*Nøgletal!L$94*Nøgletal!L98+Nøgletal!L$121*Nøgletal!L$122*Nøgletal!L126+Nøgletal!L$149*Nøgletal!L$150*Nøgletal!L154+Nøgletal!L$181*Nøgletal!L$182*Nøgletal!L186+Nøgletal!L$211*Nøgletal!L$212*Nøgletal!L216+Nøgletal!L$240*Nøgletal!L$241*Nøgletal!L245</f>
        <v>70.400000000000006</v>
      </c>
      <c r="BX121" s="119"/>
      <c r="BY121" s="127">
        <f t="shared" si="78"/>
        <v>17.599999999999994</v>
      </c>
      <c r="BZ121" s="125">
        <v>0</v>
      </c>
      <c r="CA121" s="231"/>
      <c r="CB121" s="231"/>
    </row>
    <row r="122" spans="1:80" x14ac:dyDescent="0.25">
      <c r="A122" s="231"/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-0.69954274921984894</v>
      </c>
      <c r="AJ122" s="157">
        <f>AO122/Nøgletal!M391*-1</f>
        <v>-0.69954274921984894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0.59461133683687162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L$37*Nøgletal!L$38*Nøgletal!L43+Nøgletal!L$65*Nøgletal!L$66*Nøgletal!L71+Nøgletal!L$93*Nøgletal!L$94*Nøgletal!L99+Nøgletal!L$121*Nøgletal!L$122*Nøgletal!L127+Nøgletal!L$149*Nøgletal!L$150*Nøgletal!L155+Nøgletal!L$181*Nøgletal!L$182*Nøgletal!L187+Nøgletal!L$211*Nøgletal!L$212*Nøgletal!L217+Nøgletal!L$240*Nøgletal!L$241*Nøgletal!L246</f>
        <v>0.59461133683687162</v>
      </c>
      <c r="BX122" s="119"/>
      <c r="BY122" s="127">
        <f t="shared" si="78"/>
        <v>0.10493141238297732</v>
      </c>
      <c r="BZ122" s="125">
        <v>0</v>
      </c>
      <c r="CA122" s="231"/>
      <c r="CB122" s="231"/>
    </row>
    <row r="123" spans="1:80" x14ac:dyDescent="0.25">
      <c r="A123" s="231"/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-68.000000000000014</v>
      </c>
      <c r="AJ123" s="157">
        <f>AO123/Nøgletal!M392*-1</f>
        <v>-68.000000000000014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51.000000000000007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L$37*Nøgletal!L$38*Nøgletal!L44+Nøgletal!L$65*Nøgletal!L$66*Nøgletal!L72+Nøgletal!L$93*Nøgletal!L$94*Nøgletal!L100+Nøgletal!L$121*Nøgletal!L$122*Nøgletal!L128+Nøgletal!L$149*Nøgletal!L$150*Nøgletal!L156+Nøgletal!L$181*Nøgletal!L$182*Nøgletal!L188+Nøgletal!L$211*Nøgletal!L$212*Nøgletal!L218+Nøgletal!L$240*Nøgletal!L$241*Nøgletal!L247</f>
        <v>51.000000000000007</v>
      </c>
      <c r="BX123" s="119"/>
      <c r="BY123" s="127">
        <f t="shared" si="78"/>
        <v>17.000000000000007</v>
      </c>
      <c r="BZ123" s="125">
        <v>0</v>
      </c>
      <c r="CA123" s="231"/>
      <c r="CB123" s="231"/>
    </row>
    <row r="124" spans="1:80" x14ac:dyDescent="0.25">
      <c r="A124" s="231"/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-156</v>
      </c>
      <c r="AJ124" s="157">
        <f>AO124/Nøgletal!M393*-1</f>
        <v>-156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101.4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L$37*Nøgletal!L$38*Nøgletal!L45+Nøgletal!L$65*Nøgletal!L$66*Nøgletal!L73+Nøgletal!L$93*Nøgletal!L$94*Nøgletal!L101+Nøgletal!L$121*Nøgletal!L$122*Nøgletal!L129+Nøgletal!L$149*Nøgletal!L$150*Nøgletal!L157+Nøgletal!L$181*Nøgletal!L$182*Nøgletal!L189+Nøgletal!L$211*Nøgletal!L$212*Nøgletal!L219+Nøgletal!L$240*Nøgletal!L$241*Nøgletal!L248</f>
        <v>101.4</v>
      </c>
      <c r="BX124" s="119"/>
      <c r="BY124" s="127">
        <f t="shared" si="78"/>
        <v>54.599999999999994</v>
      </c>
      <c r="BZ124" s="125">
        <v>0</v>
      </c>
      <c r="CA124" s="231"/>
      <c r="CB124" s="231"/>
    </row>
    <row r="125" spans="1:80" x14ac:dyDescent="0.25">
      <c r="A125" s="231"/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-24</v>
      </c>
      <c r="AJ125" s="157">
        <f>AO125/Nøgletal!M394*-1</f>
        <v>-24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15.6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L$37*Nøgletal!L$38*Nøgletal!L46+Nøgletal!L$65*Nøgletal!L$66*Nøgletal!L74+Nøgletal!L$93*Nøgletal!L$94*Nøgletal!L102+Nøgletal!L$121*Nøgletal!L$122*Nøgletal!L130+Nøgletal!L$149*Nøgletal!L$150*Nøgletal!L158+Nøgletal!L$181*Nøgletal!L$182*Nøgletal!L190+Nøgletal!L$211*Nøgletal!L$212*Nøgletal!L220+Nøgletal!L$240*Nøgletal!L$241*Nøgletal!L249</f>
        <v>15.6</v>
      </c>
      <c r="BX125" s="119"/>
      <c r="BY125" s="127">
        <f t="shared" si="78"/>
        <v>8.4</v>
      </c>
      <c r="BZ125" s="125">
        <v>0</v>
      </c>
      <c r="CA125" s="231"/>
      <c r="CB125" s="231"/>
    </row>
    <row r="126" spans="1:80" x14ac:dyDescent="0.25">
      <c r="A126" s="23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-1629.9105902359288</v>
      </c>
      <c r="AJ126" s="157">
        <f>AO126*-1</f>
        <v>-1629.9105902359288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1629.9105902359288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Nøgletal!L37*Nøgletal!L39+Nøgletal!L65*Nøgletal!L67+Nøgletal!L93*Nøgletal!L95+Nøgletal!L121*Nøgletal!L123+Nøgletal!L149*Nøgletal!L151+Nøgletal!L181*Nøgletal!L183+Nøgletal!L211*Nøgletal!L213+Nøgletal!L240*Nøgletal!L242</f>
        <v>1629.9105902359288</v>
      </c>
      <c r="BX126" s="119"/>
      <c r="BY126" s="127">
        <f t="shared" si="78"/>
        <v>0</v>
      </c>
      <c r="BZ126" s="125">
        <v>0</v>
      </c>
      <c r="CA126" s="231"/>
      <c r="CB126" s="231"/>
    </row>
    <row r="127" spans="1:80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-3.000753402947522</v>
      </c>
      <c r="AJ127" s="157">
        <f>AO127/Nøgletal!M395*-1</f>
        <v>-3.000753402947522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3.000753402947522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L$37*Nøgletal!L$38*Nøgletal!L47+Nøgletal!L$65*Nøgletal!L$66*Nøgletal!L75+Nøgletal!L$93*Nøgletal!L$94*Nøgletal!L103+Nøgletal!L$121*Nøgletal!L$122*Nøgletal!L131+Nøgletal!L$149*Nøgletal!L$150*Nøgletal!L159+Nøgletal!L$181*Nøgletal!L$182*Nøgletal!L191+Nøgletal!L$211*Nøgletal!L$212*Nøgletal!L221+Nøgletal!L$240*Nøgletal!L$241*Nøgletal!L250</f>
        <v>3.000753402947522</v>
      </c>
      <c r="BX127" s="119"/>
      <c r="BY127" s="127">
        <f t="shared" si="78"/>
        <v>0</v>
      </c>
      <c r="BZ127" s="125">
        <v>0</v>
      </c>
      <c r="CA127" s="231"/>
      <c r="CB127" s="231"/>
    </row>
    <row r="128" spans="1:80" x14ac:dyDescent="0.25">
      <c r="A128" s="231"/>
      <c r="B128" s="231"/>
      <c r="C128" s="40">
        <f>C9+C68+' Plan Energi 2013'!C81</f>
        <v>0</v>
      </c>
      <c r="D128" s="231"/>
      <c r="E128" s="40">
        <f>E9+E68+' Plan Energi 2013'!I81</f>
        <v>-2.8000000000006366</v>
      </c>
      <c r="F128" s="40">
        <f>F9+F68+' Plan Energi 2013'!W81</f>
        <v>-0.18614475000003949</v>
      </c>
      <c r="G128" s="231"/>
      <c r="H128" s="40">
        <f>H9+H68+' Plan Energi 2013'!B81</f>
        <v>0</v>
      </c>
      <c r="I128" s="40">
        <f>I9+I68+' Plan Energi 2013'!D81</f>
        <v>0</v>
      </c>
      <c r="J128" s="40">
        <f>J9+J68+' Plan Energi 2013'!E81</f>
        <v>-4.7088000000030661E-2</v>
      </c>
      <c r="K128" s="40">
        <f>K9+K68+' Plan Energi 2013'!F81</f>
        <v>0</v>
      </c>
      <c r="L128" s="40">
        <f>L9+L68+' Plan Energi 2013'!G81</f>
        <v>0</v>
      </c>
      <c r="M128" s="40">
        <f>M9+M68+' Plan Energi 2013'!H81</f>
        <v>0</v>
      </c>
      <c r="N128" s="231"/>
      <c r="O128" s="40">
        <f>O9+O68+' Plan Energi 2013'!J81</f>
        <v>0</v>
      </c>
      <c r="P128" s="40">
        <f>P9+P68+' Plan Energi 2013'!K81</f>
        <v>0</v>
      </c>
      <c r="Q128" s="40">
        <f>Q9+Q68+' Plan Energi 2013'!L81</f>
        <v>0</v>
      </c>
      <c r="R128" s="40">
        <f>R9+R68+' Plan Energi 2013'!M81</f>
        <v>0</v>
      </c>
      <c r="S128" s="40">
        <f>S9+S68+' Plan Energi 2013'!N81</f>
        <v>0</v>
      </c>
      <c r="T128" s="231"/>
      <c r="U128" s="40">
        <f>U9+U68+' Plan Energi 2013'!O81</f>
        <v>0</v>
      </c>
      <c r="V128" s="40">
        <f>V9+V68+' Plan Energi 2013'!P81</f>
        <v>0</v>
      </c>
      <c r="W128" s="40">
        <f>W9+W68+' Plan Energi 2013'!Q81</f>
        <v>-2.9429999999983636E-3</v>
      </c>
      <c r="X128" s="40">
        <f>X9+X68+' Plan Energi 2013'!R81</f>
        <v>-2.1255000000024893E-2</v>
      </c>
      <c r="Y128" s="40">
        <f>Y9+Y68+' Plan Energi 2013'!S81</f>
        <v>-0.17363700000004201</v>
      </c>
      <c r="Z128" s="40">
        <f>Z9+Z68+' Plan Energi 2013'!T81</f>
        <v>0</v>
      </c>
      <c r="AA128" s="40">
        <f>AA9+AA68+' Plan Energi 2013'!U81</f>
        <v>-0.22751025000005143</v>
      </c>
      <c r="AB128" s="40">
        <f>AB9+AB68+' Plan Energi 2013'!V81</f>
        <v>-7.1940000000036974E-3</v>
      </c>
      <c r="AC128" s="143">
        <f>BR10-' Plan Energi 2013'!A15</f>
        <v>-0.81445642000039697</v>
      </c>
      <c r="AD128" s="40">
        <f>AD68+SUM(' Plan Energi 2013'!AI39:AP68)+SUM(' Plan Energi 2013'!AI70:AP71)</f>
        <v>1.2900000000000205</v>
      </c>
      <c r="AE128" s="231"/>
      <c r="AF128" s="231"/>
      <c r="AG128" s="231"/>
      <c r="AH128" s="231"/>
      <c r="AI128" s="231"/>
      <c r="AJ128" s="231"/>
      <c r="AK128" s="122"/>
      <c r="AL128" s="231"/>
      <c r="AM128" s="231"/>
      <c r="AN128" s="231"/>
      <c r="AO128" s="231"/>
      <c r="AP128" s="102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2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</row>
    <row r="129" spans="1:80" x14ac:dyDescent="0.25">
      <c r="A129" s="231"/>
      <c r="B129" s="231"/>
      <c r="C129" s="40"/>
      <c r="D129" s="40"/>
      <c r="E129" s="40"/>
      <c r="F129" s="40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 t="s">
        <v>667</v>
      </c>
      <c r="AC129" s="143">
        <f>AC69-' Plan Energi 2013'!A15</f>
        <v>-530.03641278869748</v>
      </c>
      <c r="AD129" s="143">
        <f>BS10+BS11+BS18+BS57+BS65-(SUM(' Plan Energi 2013'!AF32:AF38,' Plan Energi 2013'!AF40:AF42,' Plan Energi 2013'!AF44:AF51,' Plan Energi 2013'!AF53:AF54,' Plan Energi 2013'!AF56:AF61,' Plan Energi 2013'!AF63:AF68))</f>
        <v>2.1091739740004414</v>
      </c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2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31"/>
      <c r="BW129" s="231"/>
      <c r="BX129" s="231"/>
      <c r="BY129" s="231"/>
      <c r="BZ129" s="231"/>
      <c r="CA129" s="231"/>
      <c r="CB129" s="231"/>
    </row>
    <row r="130" spans="1:80" x14ac:dyDescent="0.25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2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</row>
    <row r="131" spans="1:80" x14ac:dyDescent="0.25">
      <c r="A131" s="231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31"/>
      <c r="BW131" s="231"/>
      <c r="BX131" s="231"/>
      <c r="BY131" s="231"/>
      <c r="BZ131" s="231"/>
      <c r="CA131" s="231"/>
      <c r="CB131" s="231"/>
    </row>
    <row r="132" spans="1:80" x14ac:dyDescent="0.25">
      <c r="A132" s="231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31"/>
      <c r="BW132" s="231"/>
      <c r="BX132" s="231"/>
      <c r="BY132" s="231"/>
      <c r="BZ132" s="231"/>
      <c r="CA132" s="231"/>
      <c r="CB132" s="231"/>
    </row>
    <row r="133" spans="1:80" x14ac:dyDescent="0.25">
      <c r="A133" s="231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31"/>
      <c r="BW133" s="231"/>
      <c r="BX133" s="231"/>
      <c r="BY133" s="231"/>
      <c r="BZ133" s="231"/>
      <c r="CA133" s="231"/>
      <c r="CB133" s="231"/>
    </row>
    <row r="134" spans="1:80" x14ac:dyDescent="0.25">
      <c r="A134" s="231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31"/>
      <c r="BW134" s="231"/>
      <c r="BX134" s="231"/>
      <c r="BY134" s="231"/>
      <c r="BZ134" s="231"/>
      <c r="CA134" s="231"/>
      <c r="CB134" s="231"/>
    </row>
    <row r="135" spans="1:80" x14ac:dyDescent="0.25">
      <c r="A135" s="231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1"/>
      <c r="BN135" s="231"/>
      <c r="BO135" s="231"/>
      <c r="BP135" s="231"/>
      <c r="BQ135" s="231"/>
      <c r="BR135" s="231"/>
      <c r="BS135" s="231"/>
      <c r="BT135" s="231"/>
      <c r="BU135" s="231"/>
      <c r="BV135" s="231"/>
      <c r="BW135" s="231"/>
      <c r="BX135" s="231"/>
      <c r="BY135" s="231"/>
      <c r="BZ135" s="231"/>
      <c r="CA135" s="231"/>
      <c r="CB135" s="23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133"/>
  <sheetViews>
    <sheetView topLeftCell="AH1" workbookViewId="0">
      <selection activeCell="AN23" sqref="AN23"/>
    </sheetView>
  </sheetViews>
  <sheetFormatPr defaultRowHeight="15" x14ac:dyDescent="0.25"/>
  <cols>
    <col min="37" max="37" width="41.7109375" customWidth="1"/>
  </cols>
  <sheetData>
    <row r="1" spans="1:82" ht="157.5" x14ac:dyDescent="0.25">
      <c r="A1" s="231"/>
      <c r="B1" s="12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7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7" t="s">
        <v>12</v>
      </c>
      <c r="O1" s="14" t="s">
        <v>13</v>
      </c>
      <c r="P1" s="14" t="s">
        <v>14</v>
      </c>
      <c r="Q1" s="14" t="s">
        <v>15</v>
      </c>
      <c r="R1" s="14" t="s">
        <v>16</v>
      </c>
      <c r="S1" s="15" t="s">
        <v>17</v>
      </c>
      <c r="T1" s="76" t="s">
        <v>18</v>
      </c>
      <c r="U1" s="15" t="s">
        <v>19</v>
      </c>
      <c r="V1" s="15" t="s">
        <v>20</v>
      </c>
      <c r="W1" s="14" t="s">
        <v>21</v>
      </c>
      <c r="X1" s="14" t="s">
        <v>22</v>
      </c>
      <c r="Y1" s="14" t="s">
        <v>23</v>
      </c>
      <c r="Z1" s="15" t="s">
        <v>24</v>
      </c>
      <c r="AA1" s="15" t="s">
        <v>25</v>
      </c>
      <c r="AB1" s="14" t="s">
        <v>26</v>
      </c>
      <c r="AC1" s="8" t="s">
        <v>27</v>
      </c>
      <c r="AD1" s="8" t="s">
        <v>28</v>
      </c>
      <c r="AE1" s="10" t="s">
        <v>628</v>
      </c>
      <c r="AF1" s="8" t="s">
        <v>29</v>
      </c>
      <c r="AG1" s="10" t="s">
        <v>30</v>
      </c>
      <c r="AH1" s="10" t="s">
        <v>31</v>
      </c>
      <c r="AI1" s="10" t="s">
        <v>32</v>
      </c>
      <c r="AJ1" s="16" t="s">
        <v>33</v>
      </c>
      <c r="AK1" s="130" t="s">
        <v>806</v>
      </c>
      <c r="AL1" s="3"/>
      <c r="AM1" s="3"/>
      <c r="AN1" s="16" t="s">
        <v>600</v>
      </c>
      <c r="AO1" s="16" t="s">
        <v>34</v>
      </c>
      <c r="AP1" s="16" t="s">
        <v>35</v>
      </c>
      <c r="AQ1" s="12" t="s">
        <v>0</v>
      </c>
      <c r="AR1" s="10" t="s">
        <v>1</v>
      </c>
      <c r="AS1" s="10" t="s">
        <v>2</v>
      </c>
      <c r="AT1" s="10" t="s">
        <v>3</v>
      </c>
      <c r="AU1" s="10" t="s">
        <v>4</v>
      </c>
      <c r="AV1" s="7" t="s">
        <v>5</v>
      </c>
      <c r="AW1" s="15" t="s">
        <v>6</v>
      </c>
      <c r="AX1" s="15" t="s">
        <v>7</v>
      </c>
      <c r="AY1" s="15" t="s">
        <v>8</v>
      </c>
      <c r="AZ1" s="15" t="s">
        <v>9</v>
      </c>
      <c r="BA1" s="15" t="s">
        <v>10</v>
      </c>
      <c r="BB1" s="15" t="s">
        <v>11</v>
      </c>
      <c r="BC1" s="7" t="s">
        <v>12</v>
      </c>
      <c r="BD1" s="14" t="s">
        <v>13</v>
      </c>
      <c r="BE1" s="14" t="s">
        <v>14</v>
      </c>
      <c r="BF1" s="14" t="s">
        <v>15</v>
      </c>
      <c r="BG1" s="14" t="s">
        <v>16</v>
      </c>
      <c r="BH1" s="15" t="s">
        <v>17</v>
      </c>
      <c r="BI1" s="76" t="s">
        <v>18</v>
      </c>
      <c r="BJ1" s="15" t="s">
        <v>19</v>
      </c>
      <c r="BK1" s="15" t="s">
        <v>20</v>
      </c>
      <c r="BL1" s="14" t="s">
        <v>21</v>
      </c>
      <c r="BM1" s="14" t="s">
        <v>22</v>
      </c>
      <c r="BN1" s="14" t="s">
        <v>23</v>
      </c>
      <c r="BO1" s="15" t="s">
        <v>24</v>
      </c>
      <c r="BP1" s="15" t="s">
        <v>25</v>
      </c>
      <c r="BQ1" s="14" t="s">
        <v>26</v>
      </c>
      <c r="BR1" s="8" t="s">
        <v>27</v>
      </c>
      <c r="BS1" s="8" t="s">
        <v>28</v>
      </c>
      <c r="BT1" s="10" t="s">
        <v>628</v>
      </c>
      <c r="BU1" s="8" t="s">
        <v>29</v>
      </c>
      <c r="BV1" s="10" t="s">
        <v>30</v>
      </c>
      <c r="BW1" s="10" t="s">
        <v>31</v>
      </c>
      <c r="BX1" s="10" t="s">
        <v>32</v>
      </c>
      <c r="BY1" s="34" t="s">
        <v>36</v>
      </c>
      <c r="BZ1" s="34" t="s">
        <v>37</v>
      </c>
      <c r="CA1" s="231"/>
      <c r="CB1" s="231"/>
      <c r="CC1" s="231"/>
      <c r="CD1" s="231"/>
    </row>
    <row r="2" spans="1:82" ht="36" x14ac:dyDescent="0.25">
      <c r="A2" s="104" t="s">
        <v>38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G2" s="4" t="s">
        <v>44</v>
      </c>
      <c r="H2" s="5" t="s">
        <v>45</v>
      </c>
      <c r="I2" s="5" t="s">
        <v>46</v>
      </c>
      <c r="J2" s="5" t="s">
        <v>47</v>
      </c>
      <c r="K2" s="5" t="s">
        <v>48</v>
      </c>
      <c r="L2" s="5" t="s">
        <v>49</v>
      </c>
      <c r="M2" s="5" t="s">
        <v>50</v>
      </c>
      <c r="N2" s="4" t="s">
        <v>51</v>
      </c>
      <c r="O2" s="4" t="s">
        <v>52</v>
      </c>
      <c r="P2" s="4" t="s">
        <v>53</v>
      </c>
      <c r="Q2" s="4" t="s">
        <v>54</v>
      </c>
      <c r="R2" s="4" t="s">
        <v>55</v>
      </c>
      <c r="S2" s="5" t="s">
        <v>56</v>
      </c>
      <c r="T2" s="5" t="s">
        <v>57</v>
      </c>
      <c r="U2" s="5" t="s">
        <v>58</v>
      </c>
      <c r="V2" s="5" t="s">
        <v>59</v>
      </c>
      <c r="W2" s="4" t="s">
        <v>60</v>
      </c>
      <c r="X2" s="4" t="s">
        <v>61</v>
      </c>
      <c r="Y2" s="4" t="s">
        <v>62</v>
      </c>
      <c r="Z2" s="5" t="s">
        <v>63</v>
      </c>
      <c r="AA2" s="5" t="s">
        <v>64</v>
      </c>
      <c r="AB2" s="4" t="s">
        <v>65</v>
      </c>
      <c r="AC2" s="5" t="s">
        <v>66</v>
      </c>
      <c r="AD2" s="5" t="s">
        <v>67</v>
      </c>
      <c r="AE2" s="4" t="s">
        <v>629</v>
      </c>
      <c r="AF2" s="5" t="s">
        <v>68</v>
      </c>
      <c r="AG2" s="4" t="s">
        <v>69</v>
      </c>
      <c r="AH2" s="4" t="s">
        <v>70</v>
      </c>
      <c r="AI2" s="4" t="s">
        <v>71</v>
      </c>
      <c r="AJ2" s="35" t="s">
        <v>72</v>
      </c>
      <c r="AK2" s="130"/>
      <c r="AL2" s="6" t="s">
        <v>38</v>
      </c>
      <c r="AM2" s="6" t="s">
        <v>73</v>
      </c>
      <c r="AN2" s="35" t="s">
        <v>601</v>
      </c>
      <c r="AO2" s="132" t="s">
        <v>74</v>
      </c>
      <c r="AP2" s="35" t="s">
        <v>75</v>
      </c>
      <c r="AQ2" s="4" t="s">
        <v>76</v>
      </c>
      <c r="AR2" s="4" t="s">
        <v>77</v>
      </c>
      <c r="AS2" s="4" t="s">
        <v>78</v>
      </c>
      <c r="AT2" s="4" t="s">
        <v>79</v>
      </c>
      <c r="AU2" s="4" t="s">
        <v>80</v>
      </c>
      <c r="AV2" s="4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4" t="s">
        <v>88</v>
      </c>
      <c r="BD2" s="4" t="s">
        <v>89</v>
      </c>
      <c r="BE2" s="4" t="s">
        <v>90</v>
      </c>
      <c r="BF2" s="4" t="s">
        <v>91</v>
      </c>
      <c r="BG2" s="4" t="s">
        <v>92</v>
      </c>
      <c r="BH2" s="5" t="s">
        <v>93</v>
      </c>
      <c r="BI2" s="5" t="s">
        <v>94</v>
      </c>
      <c r="BJ2" s="5" t="s">
        <v>95</v>
      </c>
      <c r="BK2" s="5" t="s">
        <v>96</v>
      </c>
      <c r="BL2" s="4" t="s">
        <v>97</v>
      </c>
      <c r="BM2" s="4" t="s">
        <v>98</v>
      </c>
      <c r="BN2" s="4" t="s">
        <v>99</v>
      </c>
      <c r="BO2" s="5" t="s">
        <v>100</v>
      </c>
      <c r="BP2" s="5" t="s">
        <v>101</v>
      </c>
      <c r="BQ2" s="4" t="s">
        <v>102</v>
      </c>
      <c r="BR2" s="5" t="s">
        <v>103</v>
      </c>
      <c r="BS2" s="5" t="s">
        <v>104</v>
      </c>
      <c r="BT2" s="4" t="s">
        <v>630</v>
      </c>
      <c r="BU2" s="5" t="s">
        <v>105</v>
      </c>
      <c r="BV2" s="4" t="s">
        <v>106</v>
      </c>
      <c r="BW2" s="4" t="s">
        <v>107</v>
      </c>
      <c r="BX2" s="4" t="s">
        <v>108</v>
      </c>
      <c r="BY2" s="4" t="s">
        <v>109</v>
      </c>
      <c r="BZ2" s="4" t="s">
        <v>110</v>
      </c>
      <c r="CA2" s="231"/>
      <c r="CB2" s="231"/>
      <c r="CC2" s="231"/>
      <c r="CD2" s="231"/>
    </row>
    <row r="3" spans="1:82" ht="37.5" x14ac:dyDescent="0.25">
      <c r="A3" s="104" t="s">
        <v>73</v>
      </c>
      <c r="B3" s="28"/>
      <c r="C3" s="4" t="s">
        <v>39</v>
      </c>
      <c r="D3" s="4" t="s">
        <v>39</v>
      </c>
      <c r="E3" s="4" t="s">
        <v>39</v>
      </c>
      <c r="F3" s="4" t="s">
        <v>39</v>
      </c>
      <c r="G3" s="4" t="s">
        <v>111</v>
      </c>
      <c r="H3" s="5" t="s">
        <v>112</v>
      </c>
      <c r="I3" s="5" t="s">
        <v>112</v>
      </c>
      <c r="J3" s="5" t="s">
        <v>112</v>
      </c>
      <c r="K3" s="5" t="s">
        <v>112</v>
      </c>
      <c r="L3" s="5" t="s">
        <v>112</v>
      </c>
      <c r="M3" s="5" t="s">
        <v>112</v>
      </c>
      <c r="N3" s="4" t="s">
        <v>111</v>
      </c>
      <c r="O3" s="4" t="s">
        <v>113</v>
      </c>
      <c r="P3" s="4" t="s">
        <v>113</v>
      </c>
      <c r="Q3" s="4" t="s">
        <v>113</v>
      </c>
      <c r="R3" s="4" t="s">
        <v>113</v>
      </c>
      <c r="S3" s="4" t="s">
        <v>113</v>
      </c>
      <c r="T3" s="4" t="s">
        <v>111</v>
      </c>
      <c r="U3" s="4" t="s">
        <v>57</v>
      </c>
      <c r="V3" s="4" t="s">
        <v>57</v>
      </c>
      <c r="W3" s="4" t="s">
        <v>57</v>
      </c>
      <c r="X3" s="4" t="s">
        <v>57</v>
      </c>
      <c r="Y3" s="4" t="s">
        <v>57</v>
      </c>
      <c r="Z3" s="4" t="s">
        <v>57</v>
      </c>
      <c r="AA3" s="4" t="s">
        <v>57</v>
      </c>
      <c r="AB3" s="4" t="s">
        <v>57</v>
      </c>
      <c r="AC3" s="5" t="s">
        <v>39</v>
      </c>
      <c r="AD3" s="5" t="s">
        <v>39</v>
      </c>
      <c r="AE3" s="5" t="s">
        <v>111</v>
      </c>
      <c r="AF3" s="5" t="s">
        <v>39</v>
      </c>
      <c r="AG3" s="5" t="s">
        <v>39</v>
      </c>
      <c r="AH3" s="5" t="s">
        <v>39</v>
      </c>
      <c r="AI3" s="5" t="s">
        <v>111</v>
      </c>
      <c r="AJ3" s="35"/>
      <c r="AK3" s="131" t="s">
        <v>114</v>
      </c>
      <c r="AL3" s="6"/>
      <c r="AM3" s="6"/>
      <c r="AN3" s="35"/>
      <c r="AO3" s="35"/>
      <c r="AP3" s="35"/>
      <c r="AQ3" s="28"/>
      <c r="AR3" s="4" t="s">
        <v>115</v>
      </c>
      <c r="AS3" s="4" t="s">
        <v>115</v>
      </c>
      <c r="AT3" s="4" t="s">
        <v>115</v>
      </c>
      <c r="AU3" s="4" t="s">
        <v>115</v>
      </c>
      <c r="AV3" s="4" t="s">
        <v>76</v>
      </c>
      <c r="AW3" s="5" t="s">
        <v>81</v>
      </c>
      <c r="AX3" s="5" t="s">
        <v>81</v>
      </c>
      <c r="AY3" s="5" t="s">
        <v>81</v>
      </c>
      <c r="AZ3" s="5" t="s">
        <v>81</v>
      </c>
      <c r="BA3" s="5" t="s">
        <v>81</v>
      </c>
      <c r="BB3" s="5" t="s">
        <v>81</v>
      </c>
      <c r="BC3" s="4" t="s">
        <v>76</v>
      </c>
      <c r="BD3" s="4" t="s">
        <v>116</v>
      </c>
      <c r="BE3" s="4" t="s">
        <v>116</v>
      </c>
      <c r="BF3" s="4" t="s">
        <v>116</v>
      </c>
      <c r="BG3" s="4" t="s">
        <v>116</v>
      </c>
      <c r="BH3" s="4" t="s">
        <v>116</v>
      </c>
      <c r="BI3" s="4" t="s">
        <v>76</v>
      </c>
      <c r="BJ3" s="4" t="s">
        <v>94</v>
      </c>
      <c r="BK3" s="4" t="s">
        <v>94</v>
      </c>
      <c r="BL3" s="4" t="s">
        <v>94</v>
      </c>
      <c r="BM3" s="4" t="s">
        <v>94</v>
      </c>
      <c r="BN3" s="4" t="s">
        <v>94</v>
      </c>
      <c r="BO3" s="4" t="s">
        <v>94</v>
      </c>
      <c r="BP3" s="4" t="s">
        <v>94</v>
      </c>
      <c r="BQ3" s="4" t="s">
        <v>94</v>
      </c>
      <c r="BR3" s="4" t="s">
        <v>76</v>
      </c>
      <c r="BS3" s="4" t="s">
        <v>76</v>
      </c>
      <c r="BT3" s="5" t="s">
        <v>76</v>
      </c>
      <c r="BU3" s="4" t="s">
        <v>76</v>
      </c>
      <c r="BV3" s="4" t="s">
        <v>76</v>
      </c>
      <c r="BW3" s="4" t="s">
        <v>76</v>
      </c>
      <c r="BX3" s="4" t="s">
        <v>76</v>
      </c>
      <c r="BY3" s="4"/>
      <c r="BZ3" s="4"/>
      <c r="CA3" s="231"/>
      <c r="CB3" s="231"/>
      <c r="CC3" s="231"/>
      <c r="CD3" s="231"/>
    </row>
    <row r="4" spans="1:82" ht="18.75" x14ac:dyDescent="0.25">
      <c r="A4" s="262"/>
      <c r="B4" s="28">
        <v>1000</v>
      </c>
      <c r="C4" s="4"/>
      <c r="D4" s="4"/>
      <c r="E4" s="4"/>
      <c r="F4" s="4"/>
      <c r="G4" s="4">
        <v>150</v>
      </c>
      <c r="H4" s="5"/>
      <c r="I4" s="5"/>
      <c r="J4" s="5"/>
      <c r="K4" s="5"/>
      <c r="L4" s="5"/>
      <c r="M4" s="5"/>
      <c r="N4" s="4">
        <v>350</v>
      </c>
      <c r="O4" s="4"/>
      <c r="P4" s="4"/>
      <c r="Q4" s="4"/>
      <c r="R4" s="4"/>
      <c r="S4" s="4"/>
      <c r="T4" s="4">
        <v>550</v>
      </c>
      <c r="U4" s="4"/>
      <c r="V4" s="4"/>
      <c r="W4" s="4"/>
      <c r="X4" s="4"/>
      <c r="Y4" s="4"/>
      <c r="Z4" s="4"/>
      <c r="AA4" s="4"/>
      <c r="AB4" s="4"/>
      <c r="AC4" s="5"/>
      <c r="AD4" s="5"/>
      <c r="AE4" s="5"/>
      <c r="AF4" s="5"/>
      <c r="AG4" s="5"/>
      <c r="AH4" s="5"/>
      <c r="AI4" s="5"/>
      <c r="AJ4" s="35"/>
      <c r="AK4" s="131"/>
      <c r="AL4" s="6"/>
      <c r="AM4" s="6"/>
      <c r="AN4" s="35"/>
      <c r="AO4" s="35"/>
      <c r="AP4" s="35"/>
      <c r="AQ4" s="28">
        <f>B4</f>
        <v>1000</v>
      </c>
      <c r="AR4" s="4"/>
      <c r="AS4" s="4"/>
      <c r="AT4" s="4"/>
      <c r="AU4" s="4"/>
      <c r="AV4" s="4">
        <f>G4</f>
        <v>150</v>
      </c>
      <c r="AW4" s="5"/>
      <c r="AX4" s="5"/>
      <c r="AY4" s="5"/>
      <c r="AZ4" s="5"/>
      <c r="BA4" s="5"/>
      <c r="BB4" s="5"/>
      <c r="BC4" s="4">
        <f>N4</f>
        <v>350</v>
      </c>
      <c r="BD4" s="4"/>
      <c r="BE4" s="4"/>
      <c r="BF4" s="4"/>
      <c r="BG4" s="4"/>
      <c r="BH4" s="4"/>
      <c r="BI4" s="4">
        <f>T4</f>
        <v>550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5"/>
      <c r="BU4" s="4"/>
      <c r="BV4" s="4"/>
      <c r="BW4" s="4"/>
      <c r="BX4" s="4"/>
      <c r="BY4" s="4">
        <f>AQ4</f>
        <v>1000</v>
      </c>
      <c r="BZ4" s="4">
        <f>'Størrelse på strømme'!E74</f>
        <v>16.199559976315154</v>
      </c>
      <c r="CA4" s="231"/>
      <c r="CB4" s="231"/>
      <c r="CC4" s="231"/>
      <c r="CD4" s="231"/>
    </row>
    <row r="5" spans="1:82" x14ac:dyDescent="0.25">
      <c r="A5" s="231"/>
      <c r="B5" s="3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05">
        <f t="shared" ref="AJ5:AJ10" si="0">SUM(C5:G5,N5,T5,AC5:AG5)</f>
        <v>0</v>
      </c>
      <c r="AK5" s="100" t="s">
        <v>117</v>
      </c>
      <c r="AL5" s="13" t="s">
        <v>118</v>
      </c>
      <c r="AM5" s="13"/>
      <c r="AN5" s="37">
        <f>'Størrelse på strømme'!E69</f>
        <v>109.79013335117958</v>
      </c>
      <c r="AO5" s="38">
        <f t="shared" ref="AO5:AO68" si="1">SUM(AR5:AV5,BC5,BI5,BR5:BW5)</f>
        <v>4792.458416999998</v>
      </c>
      <c r="AP5" s="37">
        <f>IF(AJ5=0,0,AO5/AJ5*-1)</f>
        <v>0</v>
      </c>
      <c r="AQ5" s="31"/>
      <c r="AR5" s="11">
        <f>(C7+C5)*-1</f>
        <v>0</v>
      </c>
      <c r="AS5" s="11">
        <f>(D7+D5)*-1</f>
        <v>0</v>
      </c>
      <c r="AT5" s="11">
        <f>(E7+E5)*-1</f>
        <v>3292.9389999999989</v>
      </c>
      <c r="AU5" s="11">
        <f>(F7+F5)*-1</f>
        <v>205.46009999999995</v>
      </c>
      <c r="AV5" s="11">
        <f>SUM(AW5:BB5)</f>
        <v>0</v>
      </c>
      <c r="AW5" s="11">
        <f t="shared" ref="AW5:BB5" si="2">-1*SUM(H5,H7)</f>
        <v>0</v>
      </c>
      <c r="AX5" s="11">
        <f t="shared" si="2"/>
        <v>0</v>
      </c>
      <c r="AY5" s="11">
        <f t="shared" si="2"/>
        <v>0</v>
      </c>
      <c r="AZ5" s="11">
        <f t="shared" si="2"/>
        <v>0</v>
      </c>
      <c r="BA5" s="11">
        <f t="shared" si="2"/>
        <v>0</v>
      </c>
      <c r="BB5" s="11">
        <f t="shared" si="2"/>
        <v>0</v>
      </c>
      <c r="BC5" s="11">
        <f>SUM(BD5:BH5)</f>
        <v>0</v>
      </c>
      <c r="BD5" s="77"/>
      <c r="BE5" s="77"/>
      <c r="BF5" s="77"/>
      <c r="BG5" s="11"/>
      <c r="BH5" s="11"/>
      <c r="BI5" s="11">
        <f t="shared" ref="BI5:BI69" si="3">SUM(BJ5:BQ5)</f>
        <v>649.34800699999994</v>
      </c>
      <c r="BJ5" s="11">
        <f t="shared" ref="BJ5:BQ5" si="4">(U7+U5)*-1</f>
        <v>0</v>
      </c>
      <c r="BK5" s="11">
        <f t="shared" si="4"/>
        <v>54.188107000000002</v>
      </c>
      <c r="BL5" s="11">
        <f t="shared" si="4"/>
        <v>29.672000000000001</v>
      </c>
      <c r="BM5" s="11">
        <f t="shared" si="4"/>
        <v>184.386</v>
      </c>
      <c r="BN5" s="11">
        <f t="shared" si="4"/>
        <v>117.77799999999999</v>
      </c>
      <c r="BO5" s="11">
        <f t="shared" si="4"/>
        <v>0</v>
      </c>
      <c r="BP5" s="11">
        <f t="shared" si="4"/>
        <v>251.11789999999996</v>
      </c>
      <c r="BQ5" s="11">
        <f t="shared" si="4"/>
        <v>12.206</v>
      </c>
      <c r="BR5" s="11"/>
      <c r="BS5" s="11"/>
      <c r="BT5" s="11"/>
      <c r="BU5" s="11">
        <f>-1*SUM(AF5,AF7,AF9,AF66,AF68)</f>
        <v>354.49515000000002</v>
      </c>
      <c r="BV5" s="11">
        <f>-1*SUM(AG5,AG7,AG9,AG66,AG68)</f>
        <v>0</v>
      </c>
      <c r="BW5" s="11">
        <f>-1*SUM(AH5,AH7,AH9,AH66,AH68)</f>
        <v>290.21616</v>
      </c>
      <c r="BX5" s="11"/>
      <c r="BY5" s="123">
        <v>0</v>
      </c>
      <c r="BZ5" s="123">
        <f>(C5*Emissionsfaktorer!$E$4+E5*Emissionsfaktorer!$E$3+F5*Emissionsfaktorer!$E$5+H5*Emissionsfaktorer!$E$7+I5*Emissionsfaktorer!$E$8+J5*Emissionsfaktorer!$E$9+K5*Emissionsfaktorer!$E$10+L5*Emissionsfaktorer!$E$11+M5*Emissionsfaktorer!$E$12)*-1</f>
        <v>0</v>
      </c>
      <c r="CA5" s="231"/>
      <c r="CB5" s="231"/>
      <c r="CC5" s="231"/>
      <c r="CD5" s="231"/>
    </row>
    <row r="6" spans="1:82" x14ac:dyDescent="0.25">
      <c r="A6" s="231"/>
      <c r="B6" s="31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>
        <f>SUM(U6:AB6)</f>
        <v>0</v>
      </c>
      <c r="U6" s="84">
        <f>Nøgletal!$J$283/IF(Nøgletal!$K$399=0,1,Nøgletal!$K$399)*Nøgletal!$J419*-1</f>
        <v>0</v>
      </c>
      <c r="V6" s="84"/>
      <c r="W6" s="84"/>
      <c r="X6" s="84"/>
      <c r="Y6" s="84"/>
      <c r="Z6" s="84">
        <f>Nøgletal!$J$283/IF(Nøgletal!$K$399=0,1,Nøgletal!$K$399)*Nøgletal!$J420*-1</f>
        <v>0</v>
      </c>
      <c r="AA6" s="84">
        <f>Nøgletal!$J$283/IF(Nøgletal!$K$399=0,1,Nøgletal!$K$399)*Nøgletal!$J421*-1</f>
        <v>0</v>
      </c>
      <c r="AB6" s="84">
        <f>Nøgletal!$J$283/IF(Nøgletal!$K$399=0,1,Nøgletal!$K$399)*Nøgletal!$J422*-1</f>
        <v>0</v>
      </c>
      <c r="AC6" s="84"/>
      <c r="AD6" s="84"/>
      <c r="AE6" s="84"/>
      <c r="AF6" s="84"/>
      <c r="AG6" s="84"/>
      <c r="AH6" s="84"/>
      <c r="AI6" s="84"/>
      <c r="AJ6" s="105">
        <f t="shared" si="0"/>
        <v>0</v>
      </c>
      <c r="AK6" s="133" t="s">
        <v>119</v>
      </c>
      <c r="AL6" s="134" t="s">
        <v>120</v>
      </c>
      <c r="AM6" s="134" t="s">
        <v>118</v>
      </c>
      <c r="AN6" s="37"/>
      <c r="AO6" s="38">
        <f t="shared" si="1"/>
        <v>0</v>
      </c>
      <c r="AP6" s="37">
        <v>0</v>
      </c>
      <c r="AQ6" s="31"/>
      <c r="AR6" s="84"/>
      <c r="AS6" s="84"/>
      <c r="AT6" s="84">
        <f>Nøgletal!J283</f>
        <v>0</v>
      </c>
      <c r="AU6" s="84"/>
      <c r="AV6" s="84"/>
      <c r="AW6" s="84"/>
      <c r="AX6" s="84"/>
      <c r="AY6" s="84"/>
      <c r="AZ6" s="84"/>
      <c r="BA6" s="84"/>
      <c r="BB6" s="84"/>
      <c r="BC6" s="84"/>
      <c r="BD6" s="21"/>
      <c r="BE6" s="21"/>
      <c r="BF6" s="21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123">
        <v>0</v>
      </c>
      <c r="BZ6" s="123">
        <f>(C6*Emissionsfaktorer!$E$4+E6*Emissionsfaktorer!$E$3+F6*Emissionsfaktorer!$E$5+H6*Emissionsfaktorer!$E$7+I6*Emissionsfaktorer!$E$8+J6*Emissionsfaktorer!$E$9+K6*Emissionsfaktorer!$E$10+L6*Emissionsfaktorer!$E$11+M6*Emissionsfaktorer!$E$12)*-1</f>
        <v>0</v>
      </c>
      <c r="CA6" s="231"/>
      <c r="CB6" s="231"/>
      <c r="CC6" s="231"/>
      <c r="CD6" s="231"/>
    </row>
    <row r="7" spans="1:82" x14ac:dyDescent="0.25">
      <c r="A7" s="231"/>
      <c r="B7" s="31"/>
      <c r="C7" s="11">
        <f>AR7*-1</f>
        <v>0</v>
      </c>
      <c r="D7" s="11">
        <f>AS7*-1</f>
        <v>0</v>
      </c>
      <c r="E7" s="11">
        <f>AT7*-1</f>
        <v>-3292.9389999999989</v>
      </c>
      <c r="F7" s="11">
        <f>AU7*-1</f>
        <v>-205.46009999999995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>
        <f>SUM(U7:AB7)</f>
        <v>-649.34800699999994</v>
      </c>
      <c r="U7" s="11">
        <f>BJ7*-1</f>
        <v>0</v>
      </c>
      <c r="V7" s="11">
        <f t="shared" ref="V7:AB7" si="5">BK7*-1</f>
        <v>-54.188107000000002</v>
      </c>
      <c r="W7" s="11">
        <f t="shared" si="5"/>
        <v>-29.672000000000001</v>
      </c>
      <c r="X7" s="11">
        <f t="shared" si="5"/>
        <v>-184.386</v>
      </c>
      <c r="Y7" s="11">
        <f t="shared" si="5"/>
        <v>-117.77799999999999</v>
      </c>
      <c r="Z7" s="11">
        <f t="shared" si="5"/>
        <v>0</v>
      </c>
      <c r="AA7" s="11">
        <f t="shared" si="5"/>
        <v>-251.11789999999996</v>
      </c>
      <c r="AB7" s="11">
        <f t="shared" si="5"/>
        <v>-12.206</v>
      </c>
      <c r="AC7" s="11"/>
      <c r="AD7" s="11"/>
      <c r="AE7" s="11"/>
      <c r="AF7" s="11"/>
      <c r="AG7" s="11"/>
      <c r="AH7" s="11"/>
      <c r="AI7" s="11"/>
      <c r="AJ7" s="105">
        <f t="shared" si="0"/>
        <v>-4147.7471069999983</v>
      </c>
      <c r="AK7" s="33" t="s">
        <v>121</v>
      </c>
      <c r="AL7" s="33" t="s">
        <v>122</v>
      </c>
      <c r="AM7" s="13"/>
      <c r="AN7" s="37">
        <f>'Størrelse på strømme'!E69</f>
        <v>109.79013335117958</v>
      </c>
      <c r="AO7" s="38">
        <f t="shared" si="1"/>
        <v>4147.7471069999983</v>
      </c>
      <c r="AP7" s="37">
        <f t="shared" ref="AP7:AP73" si="6">IF(AJ7=0,0,AO7/AJ7*-1)</f>
        <v>1</v>
      </c>
      <c r="AQ7" s="31"/>
      <c r="AR7" s="11">
        <f>(C9+C68)*-1</f>
        <v>0</v>
      </c>
      <c r="AS7" s="11">
        <f>(D9+D68)*-1</f>
        <v>0</v>
      </c>
      <c r="AT7" s="11">
        <f>(E9+E68)*-1</f>
        <v>3292.9389999999989</v>
      </c>
      <c r="AU7" s="11">
        <f>(F9+F68)*-1</f>
        <v>205.46009999999995</v>
      </c>
      <c r="AV7" s="11">
        <f t="shared" ref="AV7:AV69" si="7">SUM(AW7:BB7)</f>
        <v>0</v>
      </c>
      <c r="AW7" s="11"/>
      <c r="AX7" s="11"/>
      <c r="AY7" s="11"/>
      <c r="AZ7" s="11"/>
      <c r="BA7" s="11"/>
      <c r="BB7" s="11"/>
      <c r="BC7" s="11">
        <f t="shared" ref="BC7:BC73" si="8">SUM(BD7:BH7)</f>
        <v>0</v>
      </c>
      <c r="BD7" s="11"/>
      <c r="BE7" s="11"/>
      <c r="BF7" s="11"/>
      <c r="BG7" s="11"/>
      <c r="BH7" s="11"/>
      <c r="BI7" s="11">
        <f t="shared" si="3"/>
        <v>649.34800699999994</v>
      </c>
      <c r="BJ7" s="11">
        <f t="shared" ref="BJ7:BQ7" si="9">(U9+U68)*-1</f>
        <v>0</v>
      </c>
      <c r="BK7" s="11">
        <f t="shared" si="9"/>
        <v>54.188107000000002</v>
      </c>
      <c r="BL7" s="11">
        <f t="shared" si="9"/>
        <v>29.672000000000001</v>
      </c>
      <c r="BM7" s="11">
        <f t="shared" si="9"/>
        <v>184.386</v>
      </c>
      <c r="BN7" s="11">
        <f t="shared" si="9"/>
        <v>117.77799999999999</v>
      </c>
      <c r="BO7" s="11">
        <f t="shared" si="9"/>
        <v>0</v>
      </c>
      <c r="BP7" s="11">
        <f t="shared" si="9"/>
        <v>251.11789999999996</v>
      </c>
      <c r="BQ7" s="11">
        <f t="shared" si="9"/>
        <v>12.206</v>
      </c>
      <c r="BR7" s="11"/>
      <c r="BS7" s="11"/>
      <c r="BT7" s="11"/>
      <c r="BU7" s="11"/>
      <c r="BV7" s="11"/>
      <c r="BW7" s="11"/>
      <c r="BX7" s="11"/>
      <c r="BY7" s="123">
        <v>0</v>
      </c>
      <c r="BZ7" s="123">
        <v>0</v>
      </c>
      <c r="CA7" s="231"/>
      <c r="CB7" s="231"/>
      <c r="CC7" s="231"/>
      <c r="CD7" s="231"/>
    </row>
    <row r="8" spans="1:82" x14ac:dyDescent="0.25">
      <c r="A8" s="231"/>
      <c r="B8" s="3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05">
        <f t="shared" si="0"/>
        <v>0</v>
      </c>
      <c r="AK8" s="13" t="s">
        <v>123</v>
      </c>
      <c r="AL8" s="13" t="s">
        <v>124</v>
      </c>
      <c r="AM8" s="13"/>
      <c r="AN8" s="37"/>
      <c r="AO8" s="38">
        <f t="shared" si="1"/>
        <v>35.1</v>
      </c>
      <c r="AP8" s="37">
        <f t="shared" si="6"/>
        <v>0</v>
      </c>
      <c r="AQ8" s="31"/>
      <c r="AR8" s="11"/>
      <c r="AS8" s="11"/>
      <c r="AT8" s="11"/>
      <c r="AU8" s="29"/>
      <c r="AV8" s="11">
        <f t="shared" si="7"/>
        <v>0</v>
      </c>
      <c r="AW8" s="11"/>
      <c r="AX8" s="11"/>
      <c r="AY8" s="11"/>
      <c r="AZ8" s="11"/>
      <c r="BA8" s="30"/>
      <c r="BB8" s="11"/>
      <c r="BC8" s="11">
        <f>SUM(BD8:BH8)</f>
        <v>35.1</v>
      </c>
      <c r="BD8" s="11">
        <f>-1*SUM(O5,O7,O9)</f>
        <v>35</v>
      </c>
      <c r="BE8" s="11">
        <f>-1*SUM(P5,P7,P9)</f>
        <v>0</v>
      </c>
      <c r="BF8" s="11">
        <f>-1*SUM(Q5,Q7,Q9)</f>
        <v>0.1</v>
      </c>
      <c r="BG8" s="11">
        <f>-1*SUM(R5,R7,R9)</f>
        <v>0</v>
      </c>
      <c r="BH8" s="11">
        <f>-1*SUM(S5,S7,S9)</f>
        <v>0</v>
      </c>
      <c r="BI8" s="11">
        <f t="shared" si="3"/>
        <v>0</v>
      </c>
      <c r="BJ8" s="11"/>
      <c r="BK8" s="11"/>
      <c r="BL8" s="11"/>
      <c r="BM8" s="11"/>
      <c r="BN8" s="11"/>
      <c r="BO8" s="11"/>
      <c r="BP8" s="11"/>
      <c r="BQ8" s="11"/>
      <c r="BR8" s="29"/>
      <c r="BS8" s="29"/>
      <c r="BT8" s="11"/>
      <c r="BU8" s="29"/>
      <c r="BV8" s="29"/>
      <c r="BW8" s="29"/>
      <c r="BX8" s="29"/>
      <c r="BY8" s="123">
        <v>0</v>
      </c>
      <c r="BZ8" s="123">
        <f>(C8*Emissionsfaktorer!$E$4+E8*Emissionsfaktorer!$E$3+F8*Emissionsfaktorer!$E$5+H8*Emissionsfaktorer!$E$7+I8*Emissionsfaktorer!$E$8+J8*Emissionsfaktorer!$E$9+K8*Emissionsfaktorer!$E$10+L8*Emissionsfaktorer!$E$11+M8*Emissionsfaktorer!$E$12)*-1</f>
        <v>0</v>
      </c>
      <c r="CA8" s="2"/>
      <c r="CB8" s="2"/>
      <c r="CC8" s="231"/>
      <c r="CD8" s="231"/>
    </row>
    <row r="9" spans="1:82" x14ac:dyDescent="0.25">
      <c r="A9" s="231"/>
      <c r="B9" s="31"/>
      <c r="C9" s="11">
        <f>SUM(C10:C11,C18,C57,D65)</f>
        <v>0</v>
      </c>
      <c r="D9" s="11">
        <f>SUM(D10:D11,D18,D57,D65)</f>
        <v>0</v>
      </c>
      <c r="E9" s="11">
        <f t="shared" ref="E9:W9" si="10">SUM(E10:E11,E18,E57,E65)</f>
        <v>-2999.9999999999991</v>
      </c>
      <c r="F9" s="11">
        <f t="shared" si="10"/>
        <v>-205.46009999999995</v>
      </c>
      <c r="G9" s="11">
        <f t="shared" si="10"/>
        <v>-48.095999999999989</v>
      </c>
      <c r="H9" s="11">
        <f t="shared" si="10"/>
        <v>0</v>
      </c>
      <c r="I9" s="11">
        <f t="shared" si="10"/>
        <v>0</v>
      </c>
      <c r="J9" s="11">
        <f t="shared" si="10"/>
        <v>-48.095999999999989</v>
      </c>
      <c r="K9" s="11">
        <f t="shared" si="10"/>
        <v>0</v>
      </c>
      <c r="L9" s="11">
        <f t="shared" si="10"/>
        <v>0</v>
      </c>
      <c r="M9" s="11">
        <f t="shared" si="10"/>
        <v>0</v>
      </c>
      <c r="N9" s="11">
        <f t="shared" si="10"/>
        <v>-35.1</v>
      </c>
      <c r="O9" s="11">
        <f t="shared" si="10"/>
        <v>-35</v>
      </c>
      <c r="P9" s="11">
        <f t="shared" si="10"/>
        <v>0</v>
      </c>
      <c r="Q9" s="11">
        <f t="shared" si="10"/>
        <v>-0.1</v>
      </c>
      <c r="R9" s="11">
        <f t="shared" si="10"/>
        <v>0</v>
      </c>
      <c r="S9" s="11">
        <f t="shared" si="10"/>
        <v>0</v>
      </c>
      <c r="T9" s="11">
        <f t="shared" si="10"/>
        <v>-348.15989999999994</v>
      </c>
      <c r="U9" s="11">
        <f t="shared" si="10"/>
        <v>0</v>
      </c>
      <c r="V9" s="11">
        <f t="shared" si="10"/>
        <v>0</v>
      </c>
      <c r="W9" s="11">
        <f t="shared" si="10"/>
        <v>-2.6719999999999993</v>
      </c>
      <c r="X9" s="11">
        <f>SUM(X10:X11,X18,X57,X65)</f>
        <v>-26.385999999999996</v>
      </c>
      <c r="Y9" s="11">
        <f t="shared" ref="Y9:AI9" si="11">SUM(Y10:Y11,Y18,Y57,Y65)</f>
        <v>-55.777999999999992</v>
      </c>
      <c r="Z9" s="11">
        <f t="shared" si="11"/>
        <v>0</v>
      </c>
      <c r="AA9" s="11">
        <f t="shared" si="11"/>
        <v>-251.11789999999996</v>
      </c>
      <c r="AB9" s="11">
        <f t="shared" si="11"/>
        <v>-12.206</v>
      </c>
      <c r="AC9" s="11">
        <f t="shared" si="11"/>
        <v>-145.10808</v>
      </c>
      <c r="AD9" s="11">
        <f t="shared" si="11"/>
        <v>0</v>
      </c>
      <c r="AE9" s="11">
        <f t="shared" si="11"/>
        <v>0</v>
      </c>
      <c r="AF9" s="11">
        <f t="shared" si="11"/>
        <v>-354.49515000000002</v>
      </c>
      <c r="AG9" s="11">
        <f t="shared" si="11"/>
        <v>0</v>
      </c>
      <c r="AH9" s="11">
        <f t="shared" si="11"/>
        <v>0</v>
      </c>
      <c r="AI9" s="11">
        <f t="shared" si="11"/>
        <v>0</v>
      </c>
      <c r="AJ9" s="105">
        <f t="shared" si="0"/>
        <v>-4136.4192299999986</v>
      </c>
      <c r="AK9" s="13" t="s">
        <v>127</v>
      </c>
      <c r="AL9" s="13" t="s">
        <v>128</v>
      </c>
      <c r="AM9" s="13"/>
      <c r="AN9" s="37">
        <f>'Størrelse på strømme'!E63</f>
        <v>275.76757634979094</v>
      </c>
      <c r="AO9" s="38">
        <f t="shared" si="1"/>
        <v>5580.2740890470213</v>
      </c>
      <c r="AP9" s="37">
        <f t="shared" si="6"/>
        <v>1.3490591206460045</v>
      </c>
      <c r="AQ9" s="31"/>
      <c r="AR9" s="11">
        <f>SUM(AR10:AR11,AR18,AR57,AR65)</f>
        <v>0</v>
      </c>
      <c r="AS9" s="11">
        <f t="shared" ref="AS9:BZ9" si="12">SUM(AS10:AS11,AS18,AS57,AS65)</f>
        <v>0</v>
      </c>
      <c r="AT9" s="11">
        <f t="shared" si="12"/>
        <v>0</v>
      </c>
      <c r="AU9" s="11">
        <f t="shared" si="12"/>
        <v>0</v>
      </c>
      <c r="AV9" s="11">
        <f>SUM(AW9:BB9)</f>
        <v>2024.8748929999997</v>
      </c>
      <c r="AW9" s="11">
        <f>H66*-1</f>
        <v>21.299999999999997</v>
      </c>
      <c r="AX9" s="11">
        <f t="shared" ref="AX9:BB9" si="13">I66*-1</f>
        <v>6.5999999999999988</v>
      </c>
      <c r="AY9" s="11">
        <f t="shared" si="13"/>
        <v>121.99999999999997</v>
      </c>
      <c r="AZ9" s="11">
        <f t="shared" si="13"/>
        <v>970.19157699999994</v>
      </c>
      <c r="BA9" s="11">
        <f t="shared" si="13"/>
        <v>344</v>
      </c>
      <c r="BB9" s="11">
        <f t="shared" si="13"/>
        <v>560.7833159999999</v>
      </c>
      <c r="BC9" s="11">
        <f t="shared" si="12"/>
        <v>0</v>
      </c>
      <c r="BD9" s="11">
        <f>SUM(BD10:BD11,BD18,BD57,BD65)</f>
        <v>0</v>
      </c>
      <c r="BE9" s="11">
        <f t="shared" si="12"/>
        <v>0</v>
      </c>
      <c r="BF9" s="11">
        <f t="shared" si="12"/>
        <v>0</v>
      </c>
      <c r="BG9" s="11">
        <f t="shared" si="12"/>
        <v>0</v>
      </c>
      <c r="BH9" s="11">
        <f t="shared" si="12"/>
        <v>0</v>
      </c>
      <c r="BI9" s="11">
        <f t="shared" si="12"/>
        <v>0</v>
      </c>
      <c r="BJ9" s="11">
        <f t="shared" si="12"/>
        <v>0</v>
      </c>
      <c r="BK9" s="11">
        <f t="shared" si="12"/>
        <v>0</v>
      </c>
      <c r="BL9" s="11">
        <f t="shared" si="12"/>
        <v>0</v>
      </c>
      <c r="BM9" s="11">
        <f t="shared" si="12"/>
        <v>0</v>
      </c>
      <c r="BN9" s="11">
        <f t="shared" si="12"/>
        <v>0</v>
      </c>
      <c r="BO9" s="11">
        <f t="shared" si="12"/>
        <v>0</v>
      </c>
      <c r="BP9" s="11">
        <f t="shared" si="12"/>
        <v>0</v>
      </c>
      <c r="BQ9" s="11">
        <f t="shared" si="12"/>
        <v>0</v>
      </c>
      <c r="BR9" s="11">
        <f>SUM(BR10:BR11,BR18,BR57,BR65)+AC9</f>
        <v>1133.799906047022</v>
      </c>
      <c r="BS9" s="11">
        <f>SUM(BS10:BS11,BS18,BS57,BS65)+AD9</f>
        <v>2276.4912099999997</v>
      </c>
      <c r="BT9" s="11">
        <f>SUM(BT10:BT11,BT18,BT57,BT65)+AE9</f>
        <v>0</v>
      </c>
      <c r="BU9" s="11">
        <f t="shared" si="12"/>
        <v>0</v>
      </c>
      <c r="BV9" s="11">
        <f t="shared" si="12"/>
        <v>0</v>
      </c>
      <c r="BW9" s="11">
        <f t="shared" si="12"/>
        <v>145.10808</v>
      </c>
      <c r="BX9" s="11">
        <f t="shared" si="12"/>
        <v>0</v>
      </c>
      <c r="BY9" s="123">
        <f t="shared" si="12"/>
        <v>854.26457599999947</v>
      </c>
      <c r="BZ9" s="123">
        <f t="shared" si="12"/>
        <v>264.99209490227588</v>
      </c>
      <c r="CA9" s="2"/>
      <c r="CB9" s="2"/>
      <c r="CC9" s="231"/>
      <c r="CD9" s="231"/>
    </row>
    <row r="10" spans="1:82" x14ac:dyDescent="0.25">
      <c r="A10" s="231"/>
      <c r="B10" s="31"/>
      <c r="C10" s="20"/>
      <c r="D10" s="20"/>
      <c r="E10" s="20"/>
      <c r="F10" s="20"/>
      <c r="G10" s="20">
        <f t="shared" ref="G10:G17" si="14">SUM(H10:M10)</f>
        <v>0</v>
      </c>
      <c r="H10" s="20"/>
      <c r="I10" s="20"/>
      <c r="J10" s="20"/>
      <c r="K10" s="20"/>
      <c r="L10" s="20"/>
      <c r="M10" s="20"/>
      <c r="N10" s="20">
        <f t="shared" ref="N10:N17" si="15">SUM(O10:S10)</f>
        <v>0</v>
      </c>
      <c r="O10" s="20"/>
      <c r="P10" s="20"/>
      <c r="Q10" s="20"/>
      <c r="R10" s="20"/>
      <c r="S10" s="20"/>
      <c r="T10" s="20">
        <f t="shared" ref="T10:T17" si="16">SUM(U10:AB10)</f>
        <v>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105">
        <f t="shared" si="0"/>
        <v>0</v>
      </c>
      <c r="AK10" s="42" t="s">
        <v>129</v>
      </c>
      <c r="AL10" s="26" t="s">
        <v>130</v>
      </c>
      <c r="AM10" s="26" t="s">
        <v>128</v>
      </c>
      <c r="AN10" s="37"/>
      <c r="AO10" s="38">
        <f t="shared" si="1"/>
        <v>2491.3235150470218</v>
      </c>
      <c r="AP10" s="37">
        <f t="shared" si="6"/>
        <v>0</v>
      </c>
      <c r="AQ10" s="31"/>
      <c r="AR10" s="20"/>
      <c r="AS10" s="20"/>
      <c r="AT10" s="20"/>
      <c r="AU10" s="83"/>
      <c r="AV10" s="24">
        <f>SUM(AW10:BB10)</f>
        <v>2072.9708929999997</v>
      </c>
      <c r="AW10" s="85">
        <f>IF(-(AW$11+AW$18+AW$57+AW65)-(H$70+H$79+H$80+H$84)-H$9&gt;0,-(AW$11+AW$18+AW$57+AW65)-(H$70+H$79+H$80+H$84)-H$9,0)</f>
        <v>21.299999999999997</v>
      </c>
      <c r="AX10" s="85">
        <f t="shared" ref="AX10:BB10" si="17">IF(-(AX$11+AX$18+AX$57+AX65)-(I70+I79+I80+I84)-I$9&gt;0,-(AX$11+AX$18+AX$57+AX65)-(I70+I79+I80+I84)-I$9,0)</f>
        <v>6.5999999999999988</v>
      </c>
      <c r="AY10" s="85">
        <f t="shared" si="17"/>
        <v>170.09599999999995</v>
      </c>
      <c r="AZ10" s="85">
        <f t="shared" si="17"/>
        <v>970.19157699999994</v>
      </c>
      <c r="BA10" s="85">
        <f t="shared" si="17"/>
        <v>344</v>
      </c>
      <c r="BB10" s="85">
        <f t="shared" si="17"/>
        <v>560.7833159999999</v>
      </c>
      <c r="BC10" s="24">
        <f t="shared" si="8"/>
        <v>0</v>
      </c>
      <c r="BD10" s="20"/>
      <c r="BE10" s="20"/>
      <c r="BF10" s="20"/>
      <c r="BG10" s="20"/>
      <c r="BH10" s="24"/>
      <c r="BI10" s="24">
        <f t="shared" si="3"/>
        <v>0</v>
      </c>
      <c r="BJ10" s="20"/>
      <c r="BK10" s="20"/>
      <c r="BL10" s="20"/>
      <c r="BM10" s="20"/>
      <c r="BN10" s="20"/>
      <c r="BO10" s="20"/>
      <c r="BP10" s="83"/>
      <c r="BQ10" s="84"/>
      <c r="BR10" s="85">
        <f>IF(-($BR$11+$BR$18+$BR$57+BR65)-(AC70+AC79+AC80+AC84)/(1-Nøgletal!$J$294)-$AC$9&gt;0,-($BR$11+$BR$18+$BR$57+BR65)-(AC70+AC79+AC80+AC84)/(1-Nøgletal!$J$294)-$AC$9,0)</f>
        <v>418.35262204702224</v>
      </c>
      <c r="BS10" s="83"/>
      <c r="BT10" s="85">
        <f>IF($BT$11+$BT$18+$BT$57+BT65+(AE70+AE79+AE80+AE84+AE9)&lt;0,($BT$11+$BT$18+$BT$57+BT65+(AE70+AE79+AE80+AE84+AE9))*-1,0)</f>
        <v>0</v>
      </c>
      <c r="BU10" s="85"/>
      <c r="BV10" s="83"/>
      <c r="BW10" s="83"/>
      <c r="BX10" s="83"/>
      <c r="BY10" s="124">
        <v>0</v>
      </c>
      <c r="BZ10" s="123">
        <f>BR10*Emissionsfaktorer!E6+BT10*Emissionsfaktorer!E14</f>
        <v>73.630061480275913</v>
      </c>
      <c r="CA10" s="2"/>
      <c r="CB10" s="2"/>
      <c r="CC10" s="231"/>
      <c r="CD10" s="231"/>
    </row>
    <row r="11" spans="1:82" x14ac:dyDescent="0.25">
      <c r="A11" s="231"/>
      <c r="B11" s="31"/>
      <c r="C11" s="20">
        <f>C12+C13+C16+C17</f>
        <v>0</v>
      </c>
      <c r="D11" s="20">
        <f t="shared" ref="D11:AH11" si="18">D12+D13+D16+D17</f>
        <v>0</v>
      </c>
      <c r="E11" s="20">
        <f t="shared" si="18"/>
        <v>0</v>
      </c>
      <c r="F11" s="20">
        <f t="shared" si="18"/>
        <v>0</v>
      </c>
      <c r="G11" s="20">
        <f t="shared" si="18"/>
        <v>0</v>
      </c>
      <c r="H11" s="20">
        <f t="shared" si="18"/>
        <v>0</v>
      </c>
      <c r="I11" s="20">
        <f t="shared" si="18"/>
        <v>0</v>
      </c>
      <c r="J11" s="20">
        <f t="shared" si="18"/>
        <v>0</v>
      </c>
      <c r="K11" s="20">
        <f t="shared" si="18"/>
        <v>0</v>
      </c>
      <c r="L11" s="20">
        <f t="shared" si="18"/>
        <v>0</v>
      </c>
      <c r="M11" s="20">
        <f t="shared" si="18"/>
        <v>0</v>
      </c>
      <c r="N11" s="20">
        <f t="shared" si="18"/>
        <v>-35.1</v>
      </c>
      <c r="O11" s="20">
        <f t="shared" si="18"/>
        <v>-35</v>
      </c>
      <c r="P11" s="20">
        <f t="shared" si="18"/>
        <v>0</v>
      </c>
      <c r="Q11" s="20">
        <f t="shared" si="18"/>
        <v>-0.1</v>
      </c>
      <c r="R11" s="20">
        <f t="shared" si="18"/>
        <v>0</v>
      </c>
      <c r="S11" s="20">
        <f t="shared" si="18"/>
        <v>0</v>
      </c>
      <c r="T11" s="20">
        <f t="shared" si="18"/>
        <v>0</v>
      </c>
      <c r="U11" s="20">
        <f t="shared" si="18"/>
        <v>0</v>
      </c>
      <c r="V11" s="20">
        <f t="shared" si="18"/>
        <v>0</v>
      </c>
      <c r="W11" s="20">
        <f t="shared" si="18"/>
        <v>0</v>
      </c>
      <c r="X11" s="20">
        <f t="shared" si="18"/>
        <v>0</v>
      </c>
      <c r="Y11" s="20">
        <f t="shared" si="18"/>
        <v>0</v>
      </c>
      <c r="Z11" s="20">
        <f t="shared" si="18"/>
        <v>0</v>
      </c>
      <c r="AA11" s="20">
        <f t="shared" si="18"/>
        <v>0</v>
      </c>
      <c r="AB11" s="20">
        <f t="shared" si="18"/>
        <v>0</v>
      </c>
      <c r="AC11" s="20">
        <f t="shared" si="18"/>
        <v>0</v>
      </c>
      <c r="AD11" s="20">
        <f t="shared" si="18"/>
        <v>0</v>
      </c>
      <c r="AE11" s="20">
        <f t="shared" si="18"/>
        <v>0</v>
      </c>
      <c r="AF11" s="20">
        <f t="shared" si="18"/>
        <v>0</v>
      </c>
      <c r="AG11" s="20">
        <f t="shared" si="18"/>
        <v>0</v>
      </c>
      <c r="AH11" s="20">
        <f t="shared" si="18"/>
        <v>0</v>
      </c>
      <c r="AI11" s="20">
        <f>AI12+AI13+AI16+AI17</f>
        <v>0</v>
      </c>
      <c r="AJ11" s="105">
        <f>AJ12+AJ13+AJ16+AJ17</f>
        <v>-35.1</v>
      </c>
      <c r="AK11" s="42" t="s">
        <v>555</v>
      </c>
      <c r="AL11" s="26" t="s">
        <v>558</v>
      </c>
      <c r="AM11" s="26" t="s">
        <v>128</v>
      </c>
      <c r="AN11" s="37">
        <f>'Størrelse på strømme'!E31</f>
        <v>8.241419344640347</v>
      </c>
      <c r="AO11" s="38">
        <f t="shared" si="1"/>
        <v>35.1</v>
      </c>
      <c r="AP11" s="37"/>
      <c r="AQ11" s="31"/>
      <c r="AR11" s="20">
        <f>AR12+AR13+AR16+AR17</f>
        <v>0</v>
      </c>
      <c r="AS11" s="20">
        <f t="shared" ref="AS11:BZ11" si="19">AS12+AS13+AS16+AS17</f>
        <v>0</v>
      </c>
      <c r="AT11" s="20">
        <f t="shared" si="19"/>
        <v>0</v>
      </c>
      <c r="AU11" s="20">
        <f t="shared" si="19"/>
        <v>0</v>
      </c>
      <c r="AV11" s="20">
        <f t="shared" si="19"/>
        <v>0</v>
      </c>
      <c r="AW11" s="20">
        <f t="shared" si="19"/>
        <v>0</v>
      </c>
      <c r="AX11" s="20">
        <f t="shared" si="19"/>
        <v>0</v>
      </c>
      <c r="AY11" s="20">
        <f t="shared" si="19"/>
        <v>0</v>
      </c>
      <c r="AZ11" s="20">
        <f t="shared" si="19"/>
        <v>0</v>
      </c>
      <c r="BA11" s="20">
        <f t="shared" si="19"/>
        <v>0</v>
      </c>
      <c r="BB11" s="20">
        <f t="shared" si="19"/>
        <v>0</v>
      </c>
      <c r="BC11" s="20">
        <f t="shared" si="19"/>
        <v>0</v>
      </c>
      <c r="BD11" s="20">
        <f t="shared" si="19"/>
        <v>0</v>
      </c>
      <c r="BE11" s="20">
        <f t="shared" si="19"/>
        <v>0</v>
      </c>
      <c r="BF11" s="20">
        <f t="shared" si="19"/>
        <v>0</v>
      </c>
      <c r="BG11" s="20">
        <f t="shared" si="19"/>
        <v>0</v>
      </c>
      <c r="BH11" s="20">
        <f t="shared" si="19"/>
        <v>0</v>
      </c>
      <c r="BI11" s="20">
        <f t="shared" si="19"/>
        <v>0</v>
      </c>
      <c r="BJ11" s="20">
        <f t="shared" si="19"/>
        <v>0</v>
      </c>
      <c r="BK11" s="20">
        <f t="shared" si="19"/>
        <v>0</v>
      </c>
      <c r="BL11" s="20">
        <f t="shared" si="19"/>
        <v>0</v>
      </c>
      <c r="BM11" s="20">
        <f t="shared" si="19"/>
        <v>0</v>
      </c>
      <c r="BN11" s="20">
        <f t="shared" si="19"/>
        <v>0</v>
      </c>
      <c r="BO11" s="20">
        <f t="shared" si="19"/>
        <v>0</v>
      </c>
      <c r="BP11" s="20">
        <f t="shared" si="19"/>
        <v>0</v>
      </c>
      <c r="BQ11" s="20">
        <f t="shared" si="19"/>
        <v>0</v>
      </c>
      <c r="BR11" s="20">
        <f t="shared" si="19"/>
        <v>35.1</v>
      </c>
      <c r="BS11" s="20">
        <f t="shared" si="19"/>
        <v>0</v>
      </c>
      <c r="BT11" s="20">
        <f t="shared" si="19"/>
        <v>0</v>
      </c>
      <c r="BU11" s="20">
        <f t="shared" si="19"/>
        <v>0</v>
      </c>
      <c r="BV11" s="20">
        <f t="shared" si="19"/>
        <v>0</v>
      </c>
      <c r="BW11" s="20">
        <f t="shared" si="19"/>
        <v>0</v>
      </c>
      <c r="BX11" s="20">
        <f t="shared" si="19"/>
        <v>0</v>
      </c>
      <c r="BY11" s="263">
        <f t="shared" si="19"/>
        <v>0</v>
      </c>
      <c r="BZ11" s="263">
        <f t="shared" si="19"/>
        <v>0</v>
      </c>
      <c r="CA11" s="2"/>
      <c r="CB11" s="2"/>
      <c r="CC11" s="231"/>
      <c r="CD11" s="231"/>
    </row>
    <row r="12" spans="1:82" x14ac:dyDescent="0.25">
      <c r="A12" s="231"/>
      <c r="B12" s="31"/>
      <c r="C12" s="23"/>
      <c r="D12" s="23"/>
      <c r="E12" s="23"/>
      <c r="F12" s="23"/>
      <c r="G12" s="23">
        <f t="shared" si="14"/>
        <v>0</v>
      </c>
      <c r="H12" s="23"/>
      <c r="I12" s="23"/>
      <c r="J12" s="23"/>
      <c r="K12" s="23"/>
      <c r="L12" s="23"/>
      <c r="M12" s="23"/>
      <c r="N12" s="23">
        <f t="shared" si="15"/>
        <v>-0.1</v>
      </c>
      <c r="O12" s="23"/>
      <c r="P12" s="23"/>
      <c r="Q12" s="23">
        <f>AJ12</f>
        <v>-0.1</v>
      </c>
      <c r="R12" s="23"/>
      <c r="S12" s="23"/>
      <c r="T12" s="23">
        <f t="shared" si="16"/>
        <v>0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105">
        <f t="shared" ref="AJ12:AJ17" si="20">-AO12</f>
        <v>-0.1</v>
      </c>
      <c r="AK12" s="48" t="s">
        <v>131</v>
      </c>
      <c r="AL12" s="25" t="s">
        <v>132</v>
      </c>
      <c r="AM12" s="25" t="s">
        <v>558</v>
      </c>
      <c r="AN12" s="37"/>
      <c r="AO12" s="38">
        <f t="shared" si="1"/>
        <v>0.1</v>
      </c>
      <c r="AP12" s="37">
        <f t="shared" si="6"/>
        <v>1</v>
      </c>
      <c r="AQ12" s="31"/>
      <c r="AR12" s="23"/>
      <c r="AS12" s="23"/>
      <c r="AT12" s="23"/>
      <c r="AU12" s="36"/>
      <c r="AV12" s="91">
        <f t="shared" si="7"/>
        <v>0</v>
      </c>
      <c r="AW12" s="23"/>
      <c r="AX12" s="23"/>
      <c r="AY12" s="23"/>
      <c r="AZ12" s="23"/>
      <c r="BA12" s="92"/>
      <c r="BB12" s="23"/>
      <c r="BC12" s="91">
        <f t="shared" si="8"/>
        <v>0</v>
      </c>
      <c r="BD12" s="23"/>
      <c r="BE12" s="23"/>
      <c r="BF12" s="23"/>
      <c r="BG12" s="23"/>
      <c r="BH12" s="23"/>
      <c r="BI12" s="91">
        <f t="shared" si="3"/>
        <v>0</v>
      </c>
      <c r="BJ12" s="23"/>
      <c r="BK12" s="23"/>
      <c r="BL12" s="23"/>
      <c r="BM12" s="23"/>
      <c r="BN12" s="23"/>
      <c r="BO12" s="23"/>
      <c r="BP12" s="93"/>
      <c r="BQ12" s="36"/>
      <c r="BR12" s="91">
        <f>Nøgletal!J279</f>
        <v>0.1</v>
      </c>
      <c r="BS12" s="36"/>
      <c r="BT12" s="23"/>
      <c r="BU12" s="36"/>
      <c r="BV12" s="36"/>
      <c r="BW12" s="36"/>
      <c r="BX12" s="36"/>
      <c r="BY12" s="124">
        <f>(AJ12+AO12)*-1</f>
        <v>0</v>
      </c>
      <c r="BZ12" s="123">
        <f>(C12*Emissionsfaktorer!$E$4+E12*Emissionsfaktorer!$E$3+F12*Emissionsfaktorer!$E$5+H12*Emissionsfaktorer!$E$7+I12*Emissionsfaktorer!$E$8+J12*Emissionsfaktorer!$E$9+K12*Emissionsfaktorer!$E$10+L12*Emissionsfaktorer!$E$11+M12*Emissionsfaktorer!$E$12)*-1</f>
        <v>0</v>
      </c>
      <c r="CA12" s="2"/>
      <c r="CB12" s="2"/>
      <c r="CC12" s="231"/>
      <c r="CD12" s="231"/>
    </row>
    <row r="13" spans="1:82" x14ac:dyDescent="0.25">
      <c r="A13" s="231"/>
      <c r="B13" s="31"/>
      <c r="C13" s="23">
        <f>C14+C15</f>
        <v>0</v>
      </c>
      <c r="D13" s="23">
        <f t="shared" ref="D13:AH13" si="21">D14+D15</f>
        <v>0</v>
      </c>
      <c r="E13" s="23">
        <f t="shared" si="21"/>
        <v>0</v>
      </c>
      <c r="F13" s="23">
        <f t="shared" si="21"/>
        <v>0</v>
      </c>
      <c r="G13" s="23">
        <f t="shared" si="21"/>
        <v>0</v>
      </c>
      <c r="H13" s="23">
        <f t="shared" si="21"/>
        <v>0</v>
      </c>
      <c r="I13" s="23">
        <f t="shared" si="21"/>
        <v>0</v>
      </c>
      <c r="J13" s="23">
        <f t="shared" si="21"/>
        <v>0</v>
      </c>
      <c r="K13" s="23">
        <f t="shared" si="21"/>
        <v>0</v>
      </c>
      <c r="L13" s="23">
        <f t="shared" si="21"/>
        <v>0</v>
      </c>
      <c r="M13" s="23">
        <f t="shared" si="21"/>
        <v>0</v>
      </c>
      <c r="N13" s="23">
        <f t="shared" si="21"/>
        <v>-35</v>
      </c>
      <c r="O13" s="23">
        <f t="shared" si="21"/>
        <v>-35</v>
      </c>
      <c r="P13" s="23">
        <f t="shared" si="21"/>
        <v>0</v>
      </c>
      <c r="Q13" s="23">
        <f t="shared" si="21"/>
        <v>0</v>
      </c>
      <c r="R13" s="23">
        <f t="shared" si="21"/>
        <v>0</v>
      </c>
      <c r="S13" s="23">
        <f t="shared" si="21"/>
        <v>0</v>
      </c>
      <c r="T13" s="23">
        <f t="shared" si="21"/>
        <v>0</v>
      </c>
      <c r="U13" s="23">
        <f t="shared" si="21"/>
        <v>0</v>
      </c>
      <c r="V13" s="23">
        <f t="shared" si="21"/>
        <v>0</v>
      </c>
      <c r="W13" s="23">
        <f t="shared" si="21"/>
        <v>0</v>
      </c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0</v>
      </c>
      <c r="AF13" s="23">
        <f t="shared" si="21"/>
        <v>0</v>
      </c>
      <c r="AG13" s="23">
        <f t="shared" si="21"/>
        <v>0</v>
      </c>
      <c r="AH13" s="23">
        <f t="shared" si="21"/>
        <v>0</v>
      </c>
      <c r="AI13" s="23">
        <f>AI14+AI15</f>
        <v>0</v>
      </c>
      <c r="AJ13" s="105">
        <f t="shared" si="20"/>
        <v>-35</v>
      </c>
      <c r="AK13" s="48" t="s">
        <v>133</v>
      </c>
      <c r="AL13" s="25" t="s">
        <v>134</v>
      </c>
      <c r="AM13" s="25" t="s">
        <v>558</v>
      </c>
      <c r="AN13" s="37">
        <f>'Størrelse på strømme'!E33</f>
        <v>3.9500329634880638</v>
      </c>
      <c r="AO13" s="38">
        <f t="shared" si="1"/>
        <v>35</v>
      </c>
      <c r="AP13" s="37">
        <f t="shared" si="6"/>
        <v>1</v>
      </c>
      <c r="AQ13" s="31"/>
      <c r="AR13" s="23">
        <f>AR14+AR15</f>
        <v>0</v>
      </c>
      <c r="AS13" s="23">
        <f t="shared" ref="AS13:BZ13" si="22">AS14+AS15</f>
        <v>0</v>
      </c>
      <c r="AT13" s="23">
        <f t="shared" si="22"/>
        <v>0</v>
      </c>
      <c r="AU13" s="23">
        <f t="shared" si="22"/>
        <v>0</v>
      </c>
      <c r="AV13" s="23">
        <f t="shared" si="22"/>
        <v>0</v>
      </c>
      <c r="AW13" s="23">
        <f t="shared" si="22"/>
        <v>0</v>
      </c>
      <c r="AX13" s="23">
        <f t="shared" si="22"/>
        <v>0</v>
      </c>
      <c r="AY13" s="23">
        <f t="shared" si="22"/>
        <v>0</v>
      </c>
      <c r="AZ13" s="23">
        <f t="shared" si="22"/>
        <v>0</v>
      </c>
      <c r="BA13" s="23">
        <f t="shared" si="22"/>
        <v>0</v>
      </c>
      <c r="BB13" s="23">
        <f t="shared" si="22"/>
        <v>0</v>
      </c>
      <c r="BC13" s="23">
        <f t="shared" si="22"/>
        <v>0</v>
      </c>
      <c r="BD13" s="23">
        <f t="shared" si="22"/>
        <v>0</v>
      </c>
      <c r="BE13" s="23">
        <f t="shared" si="22"/>
        <v>0</v>
      </c>
      <c r="BF13" s="23">
        <f t="shared" si="22"/>
        <v>0</v>
      </c>
      <c r="BG13" s="23">
        <f t="shared" si="22"/>
        <v>0</v>
      </c>
      <c r="BH13" s="23">
        <f t="shared" si="22"/>
        <v>0</v>
      </c>
      <c r="BI13" s="23">
        <f t="shared" si="22"/>
        <v>0</v>
      </c>
      <c r="BJ13" s="23">
        <f t="shared" si="22"/>
        <v>0</v>
      </c>
      <c r="BK13" s="23">
        <f t="shared" si="22"/>
        <v>0</v>
      </c>
      <c r="BL13" s="23">
        <f t="shared" si="22"/>
        <v>0</v>
      </c>
      <c r="BM13" s="23">
        <f t="shared" si="22"/>
        <v>0</v>
      </c>
      <c r="BN13" s="23">
        <f t="shared" si="22"/>
        <v>0</v>
      </c>
      <c r="BO13" s="23">
        <f t="shared" si="22"/>
        <v>0</v>
      </c>
      <c r="BP13" s="23">
        <f t="shared" si="22"/>
        <v>0</v>
      </c>
      <c r="BQ13" s="23">
        <f t="shared" si="22"/>
        <v>0</v>
      </c>
      <c r="BR13" s="23">
        <f t="shared" si="22"/>
        <v>35</v>
      </c>
      <c r="BS13" s="23">
        <f t="shared" si="22"/>
        <v>0</v>
      </c>
      <c r="BT13" s="23">
        <f t="shared" si="22"/>
        <v>0</v>
      </c>
      <c r="BU13" s="23">
        <f t="shared" si="22"/>
        <v>0</v>
      </c>
      <c r="BV13" s="23">
        <f t="shared" si="22"/>
        <v>0</v>
      </c>
      <c r="BW13" s="23">
        <f t="shared" si="22"/>
        <v>0</v>
      </c>
      <c r="BX13" s="23">
        <f t="shared" si="22"/>
        <v>0</v>
      </c>
      <c r="BY13" s="263">
        <f t="shared" si="22"/>
        <v>0</v>
      </c>
      <c r="BZ13" s="263">
        <f t="shared" si="22"/>
        <v>0</v>
      </c>
      <c r="CA13" s="2"/>
      <c r="CB13" s="2"/>
      <c r="CC13" s="231"/>
      <c r="CD13" s="231"/>
    </row>
    <row r="14" spans="1:82" x14ac:dyDescent="0.25">
      <c r="A14" s="231"/>
      <c r="B14" s="31"/>
      <c r="C14" s="278"/>
      <c r="D14" s="278"/>
      <c r="E14" s="278"/>
      <c r="F14" s="278"/>
      <c r="G14" s="278">
        <f t="shared" si="14"/>
        <v>0</v>
      </c>
      <c r="H14" s="278"/>
      <c r="I14" s="278"/>
      <c r="J14" s="278"/>
      <c r="K14" s="278"/>
      <c r="L14" s="278"/>
      <c r="M14" s="278"/>
      <c r="N14" s="278">
        <f t="shared" si="15"/>
        <v>-35</v>
      </c>
      <c r="O14" s="278">
        <f>AJ14</f>
        <v>-35</v>
      </c>
      <c r="P14" s="278"/>
      <c r="Q14" s="278"/>
      <c r="R14" s="278"/>
      <c r="S14" s="278"/>
      <c r="T14" s="278">
        <f t="shared" si="16"/>
        <v>0</v>
      </c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105">
        <f t="shared" si="20"/>
        <v>-35</v>
      </c>
      <c r="AK14" s="261" t="s">
        <v>135</v>
      </c>
      <c r="AL14" s="25" t="s">
        <v>136</v>
      </c>
      <c r="AM14" s="25" t="s">
        <v>134</v>
      </c>
      <c r="AN14" s="37"/>
      <c r="AO14" s="38">
        <f t="shared" si="1"/>
        <v>35</v>
      </c>
      <c r="AP14" s="37">
        <f t="shared" si="6"/>
        <v>1</v>
      </c>
      <c r="AQ14" s="31"/>
      <c r="AR14" s="278"/>
      <c r="AS14" s="278"/>
      <c r="AT14" s="278"/>
      <c r="AU14" s="285"/>
      <c r="AV14" s="286">
        <f t="shared" si="7"/>
        <v>0</v>
      </c>
      <c r="AW14" s="278"/>
      <c r="AX14" s="278"/>
      <c r="AY14" s="278"/>
      <c r="AZ14" s="278"/>
      <c r="BA14" s="287"/>
      <c r="BB14" s="278"/>
      <c r="BC14" s="286">
        <f t="shared" si="8"/>
        <v>0</v>
      </c>
      <c r="BD14" s="278"/>
      <c r="BE14" s="278"/>
      <c r="BF14" s="278"/>
      <c r="BG14" s="278"/>
      <c r="BH14" s="286"/>
      <c r="BI14" s="286">
        <f t="shared" si="3"/>
        <v>0</v>
      </c>
      <c r="BJ14" s="278"/>
      <c r="BK14" s="278"/>
      <c r="BL14" s="278"/>
      <c r="BM14" s="278"/>
      <c r="BN14" s="278"/>
      <c r="BO14" s="278"/>
      <c r="BP14" s="285"/>
      <c r="BQ14" s="279"/>
      <c r="BR14" s="288">
        <f>Nøgletal!J277</f>
        <v>35</v>
      </c>
      <c r="BS14" s="285"/>
      <c r="BT14" s="278"/>
      <c r="BU14" s="280"/>
      <c r="BV14" s="285"/>
      <c r="BW14" s="285"/>
      <c r="BX14" s="285"/>
      <c r="BY14" s="124">
        <f>(AJ14+AO14)*-1</f>
        <v>0</v>
      </c>
      <c r="BZ14" s="123">
        <f>(C14*Emissionsfaktorer!$E$4+E14*Emissionsfaktorer!$E$3+F14*Emissionsfaktorer!$E$5+H14*Emissionsfaktorer!$E$7+I14*Emissionsfaktorer!$E$8+J14*Emissionsfaktorer!$E$9+K14*Emissionsfaktorer!$E$10+L14*Emissionsfaktorer!$E$11+M14*Emissionsfaktorer!$E$12)*-1</f>
        <v>0</v>
      </c>
      <c r="CA14" s="231"/>
      <c r="CB14" s="2"/>
      <c r="CC14" s="231"/>
      <c r="CD14" s="231"/>
    </row>
    <row r="15" spans="1:82" x14ac:dyDescent="0.25">
      <c r="A15" s="231"/>
      <c r="B15" s="31"/>
      <c r="C15" s="278"/>
      <c r="D15" s="278"/>
      <c r="E15" s="278"/>
      <c r="F15" s="278"/>
      <c r="G15" s="278">
        <f t="shared" si="14"/>
        <v>0</v>
      </c>
      <c r="H15" s="278"/>
      <c r="I15" s="278"/>
      <c r="J15" s="278"/>
      <c r="K15" s="278"/>
      <c r="L15" s="278"/>
      <c r="M15" s="278"/>
      <c r="N15" s="278">
        <f t="shared" si="15"/>
        <v>0</v>
      </c>
      <c r="O15" s="278">
        <f>AJ15</f>
        <v>0</v>
      </c>
      <c r="P15" s="278"/>
      <c r="Q15" s="278"/>
      <c r="R15" s="278"/>
      <c r="S15" s="278"/>
      <c r="T15" s="278">
        <f t="shared" si="16"/>
        <v>0</v>
      </c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105">
        <f t="shared" si="20"/>
        <v>0</v>
      </c>
      <c r="AK15" s="261" t="s">
        <v>137</v>
      </c>
      <c r="AL15" s="25" t="s">
        <v>138</v>
      </c>
      <c r="AM15" s="25" t="s">
        <v>134</v>
      </c>
      <c r="AN15" s="37"/>
      <c r="AO15" s="38">
        <f t="shared" si="1"/>
        <v>0</v>
      </c>
      <c r="AP15" s="37">
        <f t="shared" si="6"/>
        <v>0</v>
      </c>
      <c r="AQ15" s="31"/>
      <c r="AR15" s="278"/>
      <c r="AS15" s="278"/>
      <c r="AT15" s="278"/>
      <c r="AU15" s="285"/>
      <c r="AV15" s="286">
        <f t="shared" si="7"/>
        <v>0</v>
      </c>
      <c r="AW15" s="278"/>
      <c r="AX15" s="278"/>
      <c r="AY15" s="278"/>
      <c r="AZ15" s="278"/>
      <c r="BA15" s="287"/>
      <c r="BB15" s="278"/>
      <c r="BC15" s="286">
        <f t="shared" si="8"/>
        <v>0</v>
      </c>
      <c r="BD15" s="278"/>
      <c r="BE15" s="278"/>
      <c r="BF15" s="278"/>
      <c r="BG15" s="278"/>
      <c r="BH15" s="286"/>
      <c r="BI15" s="286">
        <f t="shared" si="3"/>
        <v>0</v>
      </c>
      <c r="BJ15" s="278"/>
      <c r="BK15" s="278"/>
      <c r="BL15" s="278"/>
      <c r="BM15" s="278"/>
      <c r="BN15" s="278"/>
      <c r="BO15" s="278"/>
      <c r="BP15" s="285"/>
      <c r="BQ15" s="279"/>
      <c r="BR15" s="288">
        <f>Nøgletal!J278</f>
        <v>0</v>
      </c>
      <c r="BS15" s="285"/>
      <c r="BT15" s="278"/>
      <c r="BU15" s="280"/>
      <c r="BV15" s="285"/>
      <c r="BW15" s="285"/>
      <c r="BX15" s="285"/>
      <c r="BY15" s="124">
        <f>(AJ15+AO15)*-1</f>
        <v>0</v>
      </c>
      <c r="BZ15" s="123">
        <f>(C15*Emissionsfaktorer!$E$4+E15*Emissionsfaktorer!$E$3+F15*Emissionsfaktorer!$E$5+H15*Emissionsfaktorer!$E$7+I15*Emissionsfaktorer!$E$8+J15*Emissionsfaktorer!$E$9+K15*Emissionsfaktorer!$E$10+L15*Emissionsfaktorer!$E$11+M15*Emissionsfaktorer!$E$12)*-1</f>
        <v>0</v>
      </c>
      <c r="CA15" s="231"/>
      <c r="CB15" s="231"/>
      <c r="CC15" s="231"/>
      <c r="CD15" s="231"/>
    </row>
    <row r="16" spans="1:82" x14ac:dyDescent="0.25">
      <c r="A16" s="231"/>
      <c r="B16" s="31"/>
      <c r="C16" s="23"/>
      <c r="D16" s="23"/>
      <c r="E16" s="23"/>
      <c r="F16" s="23"/>
      <c r="G16" s="23">
        <f t="shared" si="14"/>
        <v>0</v>
      </c>
      <c r="H16" s="23"/>
      <c r="I16" s="23"/>
      <c r="J16" s="23"/>
      <c r="K16" s="23"/>
      <c r="L16" s="23"/>
      <c r="M16" s="23"/>
      <c r="N16" s="23">
        <f t="shared" si="15"/>
        <v>0</v>
      </c>
      <c r="O16" s="23"/>
      <c r="P16" s="23">
        <f>AJ16</f>
        <v>0</v>
      </c>
      <c r="Q16" s="23"/>
      <c r="R16" s="23"/>
      <c r="S16" s="23"/>
      <c r="T16" s="23">
        <f t="shared" si="16"/>
        <v>0</v>
      </c>
      <c r="U16" s="23"/>
      <c r="V16" s="23"/>
      <c r="W16" s="23"/>
      <c r="X16" s="23"/>
      <c r="Y16" s="23"/>
      <c r="Z16" s="23"/>
      <c r="AA16" s="23"/>
      <c r="AB16" s="23"/>
      <c r="AC16" s="91"/>
      <c r="AD16" s="91"/>
      <c r="AE16" s="23"/>
      <c r="AF16" s="91"/>
      <c r="AG16" s="23"/>
      <c r="AH16" s="23"/>
      <c r="AI16" s="23"/>
      <c r="AJ16" s="105">
        <f t="shared" si="20"/>
        <v>0</v>
      </c>
      <c r="AK16" s="48" t="s">
        <v>139</v>
      </c>
      <c r="AL16" s="25" t="s">
        <v>140</v>
      </c>
      <c r="AM16" s="25" t="s">
        <v>558</v>
      </c>
      <c r="AN16" s="37"/>
      <c r="AO16" s="38">
        <f t="shared" si="1"/>
        <v>0</v>
      </c>
      <c r="AP16" s="37">
        <f t="shared" si="6"/>
        <v>0</v>
      </c>
      <c r="AQ16" s="31"/>
      <c r="AR16" s="23"/>
      <c r="AS16" s="23"/>
      <c r="AT16" s="23"/>
      <c r="AU16" s="93"/>
      <c r="AV16" s="91">
        <f t="shared" si="7"/>
        <v>0</v>
      </c>
      <c r="AW16" s="23"/>
      <c r="AX16" s="23"/>
      <c r="AY16" s="23"/>
      <c r="AZ16" s="23"/>
      <c r="BA16" s="90"/>
      <c r="BB16" s="23"/>
      <c r="BC16" s="91">
        <f t="shared" si="8"/>
        <v>0</v>
      </c>
      <c r="BD16" s="23"/>
      <c r="BE16" s="23"/>
      <c r="BF16" s="23"/>
      <c r="BG16" s="23"/>
      <c r="BH16" s="91"/>
      <c r="BI16" s="91">
        <f t="shared" si="3"/>
        <v>0</v>
      </c>
      <c r="BJ16" s="23"/>
      <c r="BK16" s="23"/>
      <c r="BL16" s="23"/>
      <c r="BM16" s="23"/>
      <c r="BN16" s="23"/>
      <c r="BO16" s="23"/>
      <c r="BP16" s="93"/>
      <c r="BQ16" s="36"/>
      <c r="BR16" s="284">
        <f>Nøgletal!J280</f>
        <v>0</v>
      </c>
      <c r="BS16" s="93"/>
      <c r="BT16" s="23"/>
      <c r="BU16" s="32"/>
      <c r="BV16" s="93"/>
      <c r="BW16" s="93"/>
      <c r="BX16" s="93"/>
      <c r="BY16" s="124">
        <f>(AJ16+AO16)*-1</f>
        <v>0</v>
      </c>
      <c r="BZ16" s="123">
        <f>(C16*Emissionsfaktorer!$E$4+E16*Emissionsfaktorer!$E$3+F16*Emissionsfaktorer!$E$5+H16*Emissionsfaktorer!$E$7+I16*Emissionsfaktorer!$E$8+J16*Emissionsfaktorer!$E$9+K16*Emissionsfaktorer!$E$10+L16*Emissionsfaktorer!$E$11+M16*Emissionsfaktorer!$E$12)*-1</f>
        <v>0</v>
      </c>
      <c r="CA16" s="231"/>
      <c r="CB16" s="231"/>
      <c r="CC16" s="231"/>
      <c r="CD16" s="231"/>
    </row>
    <row r="17" spans="1:82" x14ac:dyDescent="0.25">
      <c r="A17" s="231"/>
      <c r="B17" s="31"/>
      <c r="C17" s="23"/>
      <c r="D17" s="23"/>
      <c r="E17" s="23"/>
      <c r="F17" s="23"/>
      <c r="G17" s="23">
        <f t="shared" si="14"/>
        <v>0</v>
      </c>
      <c r="H17" s="23"/>
      <c r="I17" s="23"/>
      <c r="J17" s="23"/>
      <c r="K17" s="23"/>
      <c r="L17" s="23"/>
      <c r="M17" s="23"/>
      <c r="N17" s="23">
        <f t="shared" si="15"/>
        <v>0</v>
      </c>
      <c r="O17" s="23"/>
      <c r="P17" s="23"/>
      <c r="Q17" s="23"/>
      <c r="R17" s="23"/>
      <c r="S17" s="23"/>
      <c r="T17" s="23">
        <f t="shared" si="16"/>
        <v>0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f>AJ17</f>
        <v>0</v>
      </c>
      <c r="AJ17" s="105">
        <f t="shared" si="20"/>
        <v>0</v>
      </c>
      <c r="AK17" s="48" t="s">
        <v>141</v>
      </c>
      <c r="AL17" s="25" t="s">
        <v>142</v>
      </c>
      <c r="AM17" s="25" t="s">
        <v>558</v>
      </c>
      <c r="AN17" s="37"/>
      <c r="AO17" s="38">
        <f t="shared" si="1"/>
        <v>0</v>
      </c>
      <c r="AP17" s="37">
        <f t="shared" si="6"/>
        <v>0</v>
      </c>
      <c r="AQ17" s="31"/>
      <c r="AR17" s="23"/>
      <c r="AS17" s="23"/>
      <c r="AT17" s="23"/>
      <c r="AU17" s="93"/>
      <c r="AV17" s="91">
        <f t="shared" si="7"/>
        <v>0</v>
      </c>
      <c r="AW17" s="23"/>
      <c r="AX17" s="23"/>
      <c r="AY17" s="23"/>
      <c r="AZ17" s="23"/>
      <c r="BA17" s="92"/>
      <c r="BB17" s="23"/>
      <c r="BC17" s="91">
        <f t="shared" si="8"/>
        <v>0</v>
      </c>
      <c r="BD17" s="23"/>
      <c r="BE17" s="23"/>
      <c r="BF17" s="23"/>
      <c r="BG17" s="23"/>
      <c r="BH17" s="23"/>
      <c r="BI17" s="91">
        <f t="shared" si="3"/>
        <v>0</v>
      </c>
      <c r="BJ17" s="23"/>
      <c r="BK17" s="23"/>
      <c r="BL17" s="23"/>
      <c r="BM17" s="23"/>
      <c r="BN17" s="23"/>
      <c r="BO17" s="23"/>
      <c r="BP17" s="93"/>
      <c r="BQ17" s="36"/>
      <c r="BR17" s="284">
        <f>Nøgletal!J276</f>
        <v>0</v>
      </c>
      <c r="BS17" s="93"/>
      <c r="BT17" s="23"/>
      <c r="BU17" s="32"/>
      <c r="BV17" s="93"/>
      <c r="BW17" s="93"/>
      <c r="BX17" s="93"/>
      <c r="BY17" s="124">
        <f>(AJ17+AO17)*-1</f>
        <v>0</v>
      </c>
      <c r="BZ17" s="123">
        <f>(C17*Emissionsfaktorer!$E$4+E17*Emissionsfaktorer!$E$3+F17*Emissionsfaktorer!$E$5+H17*Emissionsfaktorer!$E$7+I17*Emissionsfaktorer!$E$8+J17*Emissionsfaktorer!$E$9+K17*Emissionsfaktorer!$E$10+L17*Emissionsfaktorer!$E$11+M17*Emissionsfaktorer!$E$12)*-1</f>
        <v>0</v>
      </c>
      <c r="CA17" s="231"/>
      <c r="CB17" s="231"/>
      <c r="CC17" s="231"/>
      <c r="CD17" s="231"/>
    </row>
    <row r="18" spans="1:82" x14ac:dyDescent="0.25">
      <c r="A18" s="231"/>
      <c r="B18" s="31"/>
      <c r="C18" s="20">
        <f t="shared" ref="C18:AJ18" si="23">C19+C27+C37+C41+C46+C56</f>
        <v>0</v>
      </c>
      <c r="D18" s="20">
        <f t="shared" si="23"/>
        <v>0</v>
      </c>
      <c r="E18" s="20">
        <f t="shared" si="23"/>
        <v>0</v>
      </c>
      <c r="F18" s="20">
        <f t="shared" si="23"/>
        <v>0</v>
      </c>
      <c r="G18" s="20">
        <f t="shared" si="23"/>
        <v>0</v>
      </c>
      <c r="H18" s="20">
        <f t="shared" si="23"/>
        <v>0</v>
      </c>
      <c r="I18" s="20">
        <f t="shared" si="23"/>
        <v>0</v>
      </c>
      <c r="J18" s="20">
        <f t="shared" si="23"/>
        <v>0</v>
      </c>
      <c r="K18" s="20">
        <f t="shared" si="23"/>
        <v>0</v>
      </c>
      <c r="L18" s="20">
        <f t="shared" si="23"/>
        <v>0</v>
      </c>
      <c r="M18" s="20">
        <f t="shared" si="23"/>
        <v>0</v>
      </c>
      <c r="N18" s="20">
        <f t="shared" si="23"/>
        <v>0</v>
      </c>
      <c r="O18" s="20">
        <f t="shared" si="23"/>
        <v>0</v>
      </c>
      <c r="P18" s="20">
        <f t="shared" si="23"/>
        <v>0</v>
      </c>
      <c r="Q18" s="20">
        <f t="shared" si="23"/>
        <v>0</v>
      </c>
      <c r="R18" s="20">
        <f t="shared" si="23"/>
        <v>0</v>
      </c>
      <c r="S18" s="20">
        <f t="shared" si="23"/>
        <v>0</v>
      </c>
      <c r="T18" s="20">
        <f t="shared" si="23"/>
        <v>-9.2000000000000011</v>
      </c>
      <c r="U18" s="20">
        <f t="shared" si="23"/>
        <v>0</v>
      </c>
      <c r="V18" s="20">
        <f t="shared" si="23"/>
        <v>0</v>
      </c>
      <c r="W18" s="20">
        <f t="shared" si="23"/>
        <v>0</v>
      </c>
      <c r="X18" s="20">
        <f t="shared" si="23"/>
        <v>0</v>
      </c>
      <c r="Y18" s="20">
        <f t="shared" si="23"/>
        <v>0</v>
      </c>
      <c r="Z18" s="20">
        <f t="shared" si="23"/>
        <v>0</v>
      </c>
      <c r="AA18" s="20">
        <f t="shared" si="23"/>
        <v>0</v>
      </c>
      <c r="AB18" s="20">
        <f t="shared" si="23"/>
        <v>-9.2000000000000011</v>
      </c>
      <c r="AC18" s="20">
        <f t="shared" si="23"/>
        <v>-145.10808</v>
      </c>
      <c r="AD18" s="20">
        <f t="shared" si="23"/>
        <v>0</v>
      </c>
      <c r="AE18" s="20">
        <f t="shared" si="23"/>
        <v>0</v>
      </c>
      <c r="AF18" s="20">
        <f t="shared" si="23"/>
        <v>-354.49515000000002</v>
      </c>
      <c r="AG18" s="20">
        <f t="shared" si="23"/>
        <v>0</v>
      </c>
      <c r="AH18" s="20">
        <f t="shared" si="23"/>
        <v>0</v>
      </c>
      <c r="AI18" s="20">
        <f t="shared" si="23"/>
        <v>0</v>
      </c>
      <c r="AJ18" s="105">
        <f t="shared" si="23"/>
        <v>-508.80323000000004</v>
      </c>
      <c r="AK18" s="47" t="s">
        <v>556</v>
      </c>
      <c r="AL18" s="25" t="s">
        <v>559</v>
      </c>
      <c r="AM18" s="25" t="s">
        <v>128</v>
      </c>
      <c r="AN18" s="37">
        <f>'Størrelse på strømme'!E35</f>
        <v>35.371783663863347</v>
      </c>
      <c r="AO18" s="38">
        <f t="shared" si="1"/>
        <v>502.37243000000001</v>
      </c>
      <c r="AP18" s="37"/>
      <c r="AQ18" s="31"/>
      <c r="AR18" s="20">
        <f t="shared" ref="AR18:BZ18" si="24">AR19+AR27+AR37+AR41+AR46+AR56</f>
        <v>0</v>
      </c>
      <c r="AS18" s="20">
        <f t="shared" si="24"/>
        <v>0</v>
      </c>
      <c r="AT18" s="20">
        <f t="shared" si="24"/>
        <v>0</v>
      </c>
      <c r="AU18" s="20">
        <f t="shared" si="24"/>
        <v>0</v>
      </c>
      <c r="AV18" s="20">
        <f t="shared" si="24"/>
        <v>0</v>
      </c>
      <c r="AW18" s="20">
        <f t="shared" si="24"/>
        <v>0</v>
      </c>
      <c r="AX18" s="20">
        <f t="shared" si="24"/>
        <v>0</v>
      </c>
      <c r="AY18" s="20">
        <f t="shared" si="24"/>
        <v>0</v>
      </c>
      <c r="AZ18" s="20">
        <f t="shared" si="24"/>
        <v>0</v>
      </c>
      <c r="BA18" s="20">
        <f t="shared" si="24"/>
        <v>0</v>
      </c>
      <c r="BB18" s="20">
        <f t="shared" si="24"/>
        <v>0</v>
      </c>
      <c r="BC18" s="20">
        <f t="shared" si="24"/>
        <v>0</v>
      </c>
      <c r="BD18" s="20">
        <f t="shared" si="24"/>
        <v>0</v>
      </c>
      <c r="BE18" s="20">
        <f t="shared" si="24"/>
        <v>0</v>
      </c>
      <c r="BF18" s="20">
        <f t="shared" si="24"/>
        <v>0</v>
      </c>
      <c r="BG18" s="20">
        <f t="shared" si="24"/>
        <v>0</v>
      </c>
      <c r="BH18" s="20">
        <f t="shared" si="24"/>
        <v>0</v>
      </c>
      <c r="BI18" s="20">
        <f t="shared" si="24"/>
        <v>0</v>
      </c>
      <c r="BJ18" s="20">
        <f t="shared" si="24"/>
        <v>0</v>
      </c>
      <c r="BK18" s="20">
        <f t="shared" si="24"/>
        <v>0</v>
      </c>
      <c r="BL18" s="20">
        <f t="shared" si="24"/>
        <v>0</v>
      </c>
      <c r="BM18" s="20">
        <f t="shared" si="24"/>
        <v>0</v>
      </c>
      <c r="BN18" s="20">
        <f t="shared" si="24"/>
        <v>0</v>
      </c>
      <c r="BO18" s="20">
        <f t="shared" si="24"/>
        <v>0</v>
      </c>
      <c r="BP18" s="20">
        <f t="shared" si="24"/>
        <v>0</v>
      </c>
      <c r="BQ18" s="20">
        <f t="shared" si="24"/>
        <v>0</v>
      </c>
      <c r="BR18" s="20">
        <f t="shared" si="24"/>
        <v>2.7692000000000001</v>
      </c>
      <c r="BS18" s="20">
        <f t="shared" si="24"/>
        <v>354.49515000000002</v>
      </c>
      <c r="BT18" s="20">
        <f t="shared" si="24"/>
        <v>0</v>
      </c>
      <c r="BU18" s="20">
        <f t="shared" si="24"/>
        <v>0</v>
      </c>
      <c r="BV18" s="20">
        <f t="shared" si="24"/>
        <v>0</v>
      </c>
      <c r="BW18" s="20">
        <f t="shared" si="24"/>
        <v>145.10808</v>
      </c>
      <c r="BX18" s="20">
        <f t="shared" si="24"/>
        <v>0</v>
      </c>
      <c r="BY18" s="263">
        <f t="shared" si="24"/>
        <v>6.4308000000000014</v>
      </c>
      <c r="BZ18" s="263">
        <f t="shared" si="24"/>
        <v>0</v>
      </c>
      <c r="CA18" s="231"/>
      <c r="CB18" s="231"/>
      <c r="CC18" s="231"/>
      <c r="CD18" s="231"/>
    </row>
    <row r="19" spans="1:82" x14ac:dyDescent="0.25">
      <c r="A19" s="231"/>
      <c r="B19" s="31"/>
      <c r="C19" s="23">
        <f>SUM(C20:C26)</f>
        <v>0</v>
      </c>
      <c r="D19" s="23">
        <f t="shared" ref="D19:AH19" si="25">SUM(D20:D26)</f>
        <v>0</v>
      </c>
      <c r="E19" s="23">
        <f t="shared" si="25"/>
        <v>0</v>
      </c>
      <c r="F19" s="23">
        <f t="shared" si="25"/>
        <v>0</v>
      </c>
      <c r="G19" s="23">
        <f t="shared" si="25"/>
        <v>0</v>
      </c>
      <c r="H19" s="23">
        <f t="shared" si="25"/>
        <v>0</v>
      </c>
      <c r="I19" s="23">
        <f t="shared" si="25"/>
        <v>0</v>
      </c>
      <c r="J19" s="23">
        <f t="shared" si="25"/>
        <v>0</v>
      </c>
      <c r="K19" s="23">
        <f t="shared" si="25"/>
        <v>0</v>
      </c>
      <c r="L19" s="23">
        <f t="shared" si="25"/>
        <v>0</v>
      </c>
      <c r="M19" s="23">
        <f t="shared" si="25"/>
        <v>0</v>
      </c>
      <c r="N19" s="23">
        <f t="shared" si="25"/>
        <v>0</v>
      </c>
      <c r="O19" s="23">
        <f t="shared" si="25"/>
        <v>0</v>
      </c>
      <c r="P19" s="23">
        <f t="shared" si="25"/>
        <v>0</v>
      </c>
      <c r="Q19" s="23">
        <f t="shared" si="25"/>
        <v>0</v>
      </c>
      <c r="R19" s="23">
        <f t="shared" si="25"/>
        <v>0</v>
      </c>
      <c r="S19" s="23">
        <f t="shared" si="25"/>
        <v>0</v>
      </c>
      <c r="T19" s="23">
        <f t="shared" si="25"/>
        <v>0</v>
      </c>
      <c r="U19" s="23">
        <f t="shared" si="25"/>
        <v>0</v>
      </c>
      <c r="V19" s="23">
        <f t="shared" si="25"/>
        <v>0</v>
      </c>
      <c r="W19" s="23">
        <f t="shared" si="25"/>
        <v>0</v>
      </c>
      <c r="X19" s="23">
        <f t="shared" si="25"/>
        <v>0</v>
      </c>
      <c r="Y19" s="23">
        <f t="shared" si="25"/>
        <v>0</v>
      </c>
      <c r="Z19" s="23">
        <f t="shared" si="25"/>
        <v>0</v>
      </c>
      <c r="AA19" s="23">
        <f t="shared" si="25"/>
        <v>0</v>
      </c>
      <c r="AB19" s="23">
        <f t="shared" si="25"/>
        <v>0</v>
      </c>
      <c r="AC19" s="23">
        <f t="shared" si="25"/>
        <v>0</v>
      </c>
      <c r="AD19" s="23">
        <f t="shared" si="25"/>
        <v>0</v>
      </c>
      <c r="AE19" s="23">
        <f t="shared" si="25"/>
        <v>0</v>
      </c>
      <c r="AF19" s="23">
        <f t="shared" si="25"/>
        <v>0</v>
      </c>
      <c r="AG19" s="23">
        <f t="shared" si="25"/>
        <v>0</v>
      </c>
      <c r="AH19" s="23">
        <f t="shared" si="25"/>
        <v>0</v>
      </c>
      <c r="AI19" s="23">
        <f>SUM(AI20:AI26)</f>
        <v>0</v>
      </c>
      <c r="AJ19" s="105">
        <f>SUM(C19:G19,N19,T19,AC19:AG19)</f>
        <v>0</v>
      </c>
      <c r="AK19" s="48" t="s">
        <v>143</v>
      </c>
      <c r="AL19" s="25" t="s">
        <v>144</v>
      </c>
      <c r="AM19" s="25" t="s">
        <v>559</v>
      </c>
      <c r="AN19" s="37">
        <f>'Størrelse på strømme'!E37</f>
        <v>0</v>
      </c>
      <c r="AO19" s="38">
        <f t="shared" si="1"/>
        <v>0</v>
      </c>
      <c r="AP19" s="37">
        <f t="shared" si="6"/>
        <v>0</v>
      </c>
      <c r="AQ19" s="31"/>
      <c r="AR19" s="23">
        <f>SUM(AR20:AR26)</f>
        <v>0</v>
      </c>
      <c r="AS19" s="23">
        <f t="shared" ref="AS19:BU19" si="26">SUM(AS20:AS26)</f>
        <v>0</v>
      </c>
      <c r="AT19" s="23">
        <f t="shared" si="26"/>
        <v>0</v>
      </c>
      <c r="AU19" s="23">
        <f t="shared" si="26"/>
        <v>0</v>
      </c>
      <c r="AV19" s="23">
        <f t="shared" si="26"/>
        <v>0</v>
      </c>
      <c r="AW19" s="23">
        <f t="shared" si="26"/>
        <v>0</v>
      </c>
      <c r="AX19" s="23">
        <f t="shared" si="26"/>
        <v>0</v>
      </c>
      <c r="AY19" s="23">
        <f t="shared" si="26"/>
        <v>0</v>
      </c>
      <c r="AZ19" s="23">
        <f t="shared" si="26"/>
        <v>0</v>
      </c>
      <c r="BA19" s="23">
        <f t="shared" si="26"/>
        <v>0</v>
      </c>
      <c r="BB19" s="23">
        <f t="shared" si="26"/>
        <v>0</v>
      </c>
      <c r="BC19" s="23">
        <f t="shared" si="26"/>
        <v>0</v>
      </c>
      <c r="BD19" s="23">
        <f t="shared" si="26"/>
        <v>0</v>
      </c>
      <c r="BE19" s="23">
        <f t="shared" si="26"/>
        <v>0</v>
      </c>
      <c r="BF19" s="23">
        <f t="shared" si="26"/>
        <v>0</v>
      </c>
      <c r="BG19" s="23">
        <f t="shared" si="26"/>
        <v>0</v>
      </c>
      <c r="BH19" s="23">
        <f t="shared" si="26"/>
        <v>0</v>
      </c>
      <c r="BI19" s="23">
        <f t="shared" si="26"/>
        <v>0</v>
      </c>
      <c r="BJ19" s="23">
        <f t="shared" si="26"/>
        <v>0</v>
      </c>
      <c r="BK19" s="23">
        <f t="shared" si="26"/>
        <v>0</v>
      </c>
      <c r="BL19" s="23">
        <f t="shared" si="26"/>
        <v>0</v>
      </c>
      <c r="BM19" s="23">
        <f t="shared" si="26"/>
        <v>0</v>
      </c>
      <c r="BN19" s="23">
        <f t="shared" si="26"/>
        <v>0</v>
      </c>
      <c r="BO19" s="23">
        <f t="shared" si="26"/>
        <v>0</v>
      </c>
      <c r="BP19" s="23">
        <f t="shared" si="26"/>
        <v>0</v>
      </c>
      <c r="BQ19" s="23">
        <f t="shared" si="26"/>
        <v>0</v>
      </c>
      <c r="BR19" s="23">
        <f t="shared" si="26"/>
        <v>0</v>
      </c>
      <c r="BS19" s="23">
        <f>Nøgletal!J268/(1-Nøgletal!J295)</f>
        <v>0</v>
      </c>
      <c r="BT19" s="23">
        <f>Nøgletal!K268/(1-Nøgletal!K295)</f>
        <v>0</v>
      </c>
      <c r="BU19" s="23">
        <f t="shared" si="26"/>
        <v>0</v>
      </c>
      <c r="BV19" s="23">
        <f t="shared" ref="BV19" si="27">SUM(BV20:BV26)</f>
        <v>0</v>
      </c>
      <c r="BW19" s="23">
        <f t="shared" ref="BW19:BZ19" si="28">SUM(BW20:BW26)</f>
        <v>0</v>
      </c>
      <c r="BX19" s="23">
        <f t="shared" si="28"/>
        <v>0</v>
      </c>
      <c r="BY19" s="126">
        <f t="shared" si="28"/>
        <v>0</v>
      </c>
      <c r="BZ19" s="126">
        <f t="shared" si="28"/>
        <v>0</v>
      </c>
      <c r="CA19" s="231"/>
      <c r="CB19" s="231"/>
      <c r="CC19" s="231"/>
      <c r="CD19" s="231"/>
    </row>
    <row r="20" spans="1:82" x14ac:dyDescent="0.25">
      <c r="A20" s="231"/>
      <c r="B20" s="31"/>
      <c r="C20" s="278">
        <f>AJ20*Nøgletal!J429</f>
        <v>0</v>
      </c>
      <c r="D20" s="278"/>
      <c r="E20" s="278">
        <f>AJ20*Nøgletal!J431</f>
        <v>0</v>
      </c>
      <c r="F20" s="278"/>
      <c r="G20" s="278">
        <f t="shared" ref="G20:G83" si="29">SUM(H20:M20)</f>
        <v>0</v>
      </c>
      <c r="H20" s="278"/>
      <c r="I20" s="278">
        <f>AJ20*Nøgletal!J430</f>
        <v>0</v>
      </c>
      <c r="J20" s="278"/>
      <c r="K20" s="278"/>
      <c r="L20" s="278"/>
      <c r="M20" s="278"/>
      <c r="N20" s="278">
        <f>SUM(O20:S20)</f>
        <v>0</v>
      </c>
      <c r="O20" s="278"/>
      <c r="P20" s="278"/>
      <c r="Q20" s="278"/>
      <c r="R20" s="278"/>
      <c r="S20" s="278"/>
      <c r="T20" s="278">
        <f t="shared" ref="T20:T83" si="30">SUM(U20:AB20)</f>
        <v>0</v>
      </c>
      <c r="U20" s="278">
        <f>AJ20*Nøgletal!J432</f>
        <v>0</v>
      </c>
      <c r="V20" s="278">
        <f>AJ20*Nøgletal!J433</f>
        <v>0</v>
      </c>
      <c r="W20" s="278">
        <f>AJ20*Nøgletal!J434</f>
        <v>0</v>
      </c>
      <c r="X20" s="278">
        <f>AJ20*Nøgletal!J435</f>
        <v>0</v>
      </c>
      <c r="Y20" s="278">
        <f>AJ20*Nøgletal!J436</f>
        <v>0</v>
      </c>
      <c r="Z20" s="278"/>
      <c r="AA20" s="278"/>
      <c r="AB20" s="278">
        <f>AJ20*Nøgletal!J437</f>
        <v>0</v>
      </c>
      <c r="AC20" s="278"/>
      <c r="AD20" s="278"/>
      <c r="AE20" s="278"/>
      <c r="AF20" s="278"/>
      <c r="AG20" s="278"/>
      <c r="AH20" s="278"/>
      <c r="AI20" s="278"/>
      <c r="AJ20" s="105">
        <f>-AO20/IF(Nøgletal!J345+Nøgletal!K345&gt;0,Nøgletal!J345+Nøgletal!K345,1)</f>
        <v>0</v>
      </c>
      <c r="AK20" s="260" t="s">
        <v>145</v>
      </c>
      <c r="AL20" s="25" t="s">
        <v>146</v>
      </c>
      <c r="AM20" s="25" t="s">
        <v>144</v>
      </c>
      <c r="AN20" s="37"/>
      <c r="AO20" s="38">
        <f t="shared" si="1"/>
        <v>0</v>
      </c>
      <c r="AP20" s="37">
        <f t="shared" si="6"/>
        <v>0</v>
      </c>
      <c r="AQ20" s="31"/>
      <c r="AR20" s="278"/>
      <c r="AS20" s="278"/>
      <c r="AT20" s="278"/>
      <c r="AU20" s="278"/>
      <c r="AV20" s="286">
        <f t="shared" si="7"/>
        <v>0</v>
      </c>
      <c r="AW20" s="278"/>
      <c r="AX20" s="278"/>
      <c r="AY20" s="278"/>
      <c r="AZ20" s="278"/>
      <c r="BA20" s="278"/>
      <c r="BB20" s="278"/>
      <c r="BC20" s="286">
        <f t="shared" si="8"/>
        <v>0</v>
      </c>
      <c r="BD20" s="278"/>
      <c r="BE20" s="278"/>
      <c r="BF20" s="278"/>
      <c r="BG20" s="278"/>
      <c r="BH20" s="278"/>
      <c r="BI20" s="286">
        <f t="shared" si="3"/>
        <v>0</v>
      </c>
      <c r="BJ20" s="278"/>
      <c r="BK20" s="278"/>
      <c r="BL20" s="278"/>
      <c r="BM20" s="278"/>
      <c r="BN20" s="278"/>
      <c r="BO20" s="278"/>
      <c r="BP20" s="278"/>
      <c r="BQ20" s="278"/>
      <c r="BR20" s="288">
        <f>BS20/IF(Nøgletal!K345&gt;0,Nøgletal!K345,1)*Nøgletal!J345</f>
        <v>0</v>
      </c>
      <c r="BS20" s="278">
        <f>BS$19*Nøgletal!J303</f>
        <v>0</v>
      </c>
      <c r="BT20" s="278"/>
      <c r="BU20" s="280"/>
      <c r="BV20" s="280"/>
      <c r="BW20" s="278"/>
      <c r="BX20" s="278"/>
      <c r="BY20" s="124">
        <f t="shared" ref="BY20:BY26" si="31">(AJ20+AO20)*-1</f>
        <v>0</v>
      </c>
      <c r="BZ20" s="123">
        <f>(C20*Emissionsfaktorer!$E$4+E20*Emissionsfaktorer!$E$3+F20*Emissionsfaktorer!$E$5+H20*Emissionsfaktorer!$E$7+I20*Emissionsfaktorer!$E$8+J20*Emissionsfaktorer!$E$9+K20*Emissionsfaktorer!$E$10+L20*Emissionsfaktorer!$E$11+M20*Emissionsfaktorer!$E$12)*-1*(1-Nøgletal!$J$301)+T20*Emissionsfaktorer!$E$13*Nøgletal!$J$301</f>
        <v>0</v>
      </c>
      <c r="CA20" s="231"/>
      <c r="CB20" s="231"/>
      <c r="CC20" s="231"/>
      <c r="CD20" s="231"/>
    </row>
    <row r="21" spans="1:82" x14ac:dyDescent="0.25">
      <c r="A21" s="231"/>
      <c r="B21" s="31"/>
      <c r="C21" s="278"/>
      <c r="D21" s="278"/>
      <c r="E21" s="278">
        <f>AJ21*Nøgletal!J443</f>
        <v>0</v>
      </c>
      <c r="F21" s="278"/>
      <c r="G21" s="278">
        <f t="shared" si="29"/>
        <v>0</v>
      </c>
      <c r="H21" s="278"/>
      <c r="I21" s="278">
        <f>AJ21*Nøgletal!J439</f>
        <v>0</v>
      </c>
      <c r="J21" s="278">
        <f>AJ21*Nøgletal!J440</f>
        <v>0</v>
      </c>
      <c r="K21" s="278">
        <f>AJ21*Nøgletal!J441</f>
        <v>0</v>
      </c>
      <c r="L21" s="278"/>
      <c r="M21" s="278">
        <f>AJ21*Nøgletal!J442</f>
        <v>0</v>
      </c>
      <c r="N21" s="278">
        <f t="shared" ref="N21:N85" si="32">SUM(O21:S21)</f>
        <v>0</v>
      </c>
      <c r="O21" s="278"/>
      <c r="P21" s="278"/>
      <c r="Q21" s="278"/>
      <c r="R21" s="278"/>
      <c r="S21" s="278"/>
      <c r="T21" s="278">
        <f t="shared" si="30"/>
        <v>0</v>
      </c>
      <c r="U21" s="278">
        <f>AJ21*Nøgletal!J444</f>
        <v>0</v>
      </c>
      <c r="V21" s="278">
        <f>AJ21*Nøgletal!J445</f>
        <v>0</v>
      </c>
      <c r="W21" s="278">
        <f>AJ21*Nøgletal!J446</f>
        <v>0</v>
      </c>
      <c r="X21" s="278">
        <f>AJ21*Nøgletal!J447</f>
        <v>0</v>
      </c>
      <c r="Y21" s="278">
        <f>AJ21*Nøgletal!J448</f>
        <v>0</v>
      </c>
      <c r="Z21" s="278"/>
      <c r="AA21" s="278"/>
      <c r="AB21" s="278">
        <f>AJ21*Nøgletal!J449</f>
        <v>0</v>
      </c>
      <c r="AC21" s="278"/>
      <c r="AD21" s="278"/>
      <c r="AE21" s="278"/>
      <c r="AF21" s="278"/>
      <c r="AG21" s="278"/>
      <c r="AH21" s="278"/>
      <c r="AI21" s="278"/>
      <c r="AJ21" s="105">
        <f>-AO21/IF(Nøgletal!J346+Nøgletal!K346&gt;0,Nøgletal!J346+Nøgletal!K346,1)</f>
        <v>0</v>
      </c>
      <c r="AK21" s="260" t="s">
        <v>147</v>
      </c>
      <c r="AL21" s="25" t="s">
        <v>148</v>
      </c>
      <c r="AM21" s="25" t="s">
        <v>144</v>
      </c>
      <c r="AN21" s="37"/>
      <c r="AO21" s="38">
        <f t="shared" si="1"/>
        <v>0</v>
      </c>
      <c r="AP21" s="37">
        <f t="shared" si="6"/>
        <v>0</v>
      </c>
      <c r="AQ21" s="31"/>
      <c r="AR21" s="278"/>
      <c r="AS21" s="278"/>
      <c r="AT21" s="278"/>
      <c r="AU21" s="285"/>
      <c r="AV21" s="286">
        <f t="shared" si="7"/>
        <v>0</v>
      </c>
      <c r="AW21" s="278"/>
      <c r="AX21" s="278"/>
      <c r="AY21" s="278"/>
      <c r="AZ21" s="278"/>
      <c r="BA21" s="287"/>
      <c r="BB21" s="278"/>
      <c r="BC21" s="286">
        <f t="shared" si="8"/>
        <v>0</v>
      </c>
      <c r="BD21" s="278"/>
      <c r="BE21" s="278"/>
      <c r="BF21" s="278"/>
      <c r="BG21" s="278"/>
      <c r="BH21" s="286"/>
      <c r="BI21" s="286">
        <f t="shared" si="3"/>
        <v>0</v>
      </c>
      <c r="BJ21" s="278"/>
      <c r="BK21" s="278"/>
      <c r="BL21" s="278"/>
      <c r="BM21" s="278"/>
      <c r="BN21" s="278"/>
      <c r="BO21" s="278"/>
      <c r="BP21" s="285"/>
      <c r="BQ21" s="279"/>
      <c r="BR21" s="288">
        <f>BS21/IF(Nøgletal!K346&gt;0,Nøgletal!K346,1)*Nøgletal!J346</f>
        <v>0</v>
      </c>
      <c r="BS21" s="278">
        <f>BS$19*Nøgletal!J304</f>
        <v>0</v>
      </c>
      <c r="BT21" s="278"/>
      <c r="BU21" s="280"/>
      <c r="BV21" s="280"/>
      <c r="BW21" s="285"/>
      <c r="BX21" s="285"/>
      <c r="BY21" s="124">
        <f t="shared" si="31"/>
        <v>0</v>
      </c>
      <c r="BZ21" s="123">
        <f>(C21*Emissionsfaktorer!$E$4+E21*Emissionsfaktorer!$E$3+F21*Emissionsfaktorer!$E$5+H21*Emissionsfaktorer!$E$7+I21*Emissionsfaktorer!$E$8+J21*Emissionsfaktorer!$E$9+K21*Emissionsfaktorer!$E$10+L21*Emissionsfaktorer!$E$11+M21*Emissionsfaktorer!$E$12)*-1*(1-Nøgletal!$J$301)+T21*Emissionsfaktorer!$E$13*Nøgletal!$J$301</f>
        <v>0</v>
      </c>
      <c r="CA21" s="231"/>
      <c r="CB21" s="231"/>
      <c r="CC21" s="231"/>
      <c r="CD21" s="231"/>
    </row>
    <row r="22" spans="1:82" x14ac:dyDescent="0.25">
      <c r="A22" s="231"/>
      <c r="B22" s="31"/>
      <c r="C22" s="278"/>
      <c r="D22" s="278"/>
      <c r="E22" s="278">
        <f>AJ22*Nøgletal!J451</f>
        <v>0</v>
      </c>
      <c r="F22" s="278"/>
      <c r="G22" s="278">
        <f t="shared" si="29"/>
        <v>0</v>
      </c>
      <c r="H22" s="278"/>
      <c r="I22" s="278"/>
      <c r="J22" s="278"/>
      <c r="K22" s="278"/>
      <c r="L22" s="278"/>
      <c r="M22" s="278"/>
      <c r="N22" s="278">
        <f t="shared" si="32"/>
        <v>0</v>
      </c>
      <c r="O22" s="278"/>
      <c r="P22" s="278"/>
      <c r="Q22" s="278"/>
      <c r="R22" s="278"/>
      <c r="S22" s="278"/>
      <c r="T22" s="278">
        <f t="shared" si="30"/>
        <v>0</v>
      </c>
      <c r="U22" s="278">
        <f>AJ22*Nøgletal!J452</f>
        <v>0</v>
      </c>
      <c r="V22" s="278"/>
      <c r="W22" s="278"/>
      <c r="X22" s="278"/>
      <c r="Y22" s="278"/>
      <c r="Z22" s="278"/>
      <c r="AA22" s="278"/>
      <c r="AB22" s="278">
        <f>AJ22*Nøgletal!J453</f>
        <v>0</v>
      </c>
      <c r="AC22" s="278"/>
      <c r="AD22" s="278"/>
      <c r="AE22" s="278"/>
      <c r="AF22" s="278"/>
      <c r="AG22" s="278"/>
      <c r="AH22" s="278"/>
      <c r="AI22" s="278"/>
      <c r="AJ22" s="105">
        <f>-AO22/IF(Nøgletal!J347+Nøgletal!K347&gt;0,Nøgletal!J347+Nøgletal!K347,1)</f>
        <v>0</v>
      </c>
      <c r="AK22" s="260" t="s">
        <v>149</v>
      </c>
      <c r="AL22" s="25" t="s">
        <v>150</v>
      </c>
      <c r="AM22" s="25" t="s">
        <v>144</v>
      </c>
      <c r="AN22" s="37"/>
      <c r="AO22" s="38">
        <f t="shared" si="1"/>
        <v>0</v>
      </c>
      <c r="AP22" s="37">
        <f t="shared" si="6"/>
        <v>0</v>
      </c>
      <c r="AQ22" s="31"/>
      <c r="AR22" s="278"/>
      <c r="AS22" s="278"/>
      <c r="AT22" s="278"/>
      <c r="AU22" s="285"/>
      <c r="AV22" s="286">
        <f t="shared" si="7"/>
        <v>0</v>
      </c>
      <c r="AW22" s="278"/>
      <c r="AX22" s="278"/>
      <c r="AY22" s="278"/>
      <c r="AZ22" s="278"/>
      <c r="BA22" s="287"/>
      <c r="BB22" s="278"/>
      <c r="BC22" s="286">
        <f t="shared" si="8"/>
        <v>0</v>
      </c>
      <c r="BD22" s="278"/>
      <c r="BE22" s="278"/>
      <c r="BF22" s="278"/>
      <c r="BG22" s="278"/>
      <c r="BH22" s="286"/>
      <c r="BI22" s="286">
        <f t="shared" si="3"/>
        <v>0</v>
      </c>
      <c r="BJ22" s="278"/>
      <c r="BK22" s="278"/>
      <c r="BL22" s="278"/>
      <c r="BM22" s="278"/>
      <c r="BN22" s="278"/>
      <c r="BO22" s="278"/>
      <c r="BP22" s="285"/>
      <c r="BQ22" s="279"/>
      <c r="BR22" s="288">
        <f>BS22/IF(Nøgletal!K347&gt;0,Nøgletal!K347,1)*Nøgletal!J347</f>
        <v>0</v>
      </c>
      <c r="BS22" s="278">
        <f>BS$19*Nøgletal!J305</f>
        <v>0</v>
      </c>
      <c r="BT22" s="278"/>
      <c r="BU22" s="280"/>
      <c r="BV22" s="280"/>
      <c r="BW22" s="285"/>
      <c r="BX22" s="285"/>
      <c r="BY22" s="124">
        <f t="shared" si="31"/>
        <v>0</v>
      </c>
      <c r="BZ22" s="123">
        <f>(C22*Emissionsfaktorer!$E$4+E22*Emissionsfaktorer!$E$3+F22*Emissionsfaktorer!$E$5+H22*Emissionsfaktorer!$E$7+I22*Emissionsfaktorer!$E$8+J22*Emissionsfaktorer!$E$9+K22*Emissionsfaktorer!$E$10+L22*Emissionsfaktorer!$E$11+M22*Emissionsfaktorer!$E$12)*-1*(1-Nøgletal!$J$301)+T22*Emissionsfaktorer!$E$13*Nøgletal!$J$301</f>
        <v>0</v>
      </c>
      <c r="CA22" s="231"/>
      <c r="CB22" s="231"/>
      <c r="CC22" s="231"/>
      <c r="CD22" s="231"/>
    </row>
    <row r="23" spans="1:82" x14ac:dyDescent="0.25">
      <c r="A23" s="231"/>
      <c r="B23" s="31"/>
      <c r="C23" s="278">
        <f>AJ23*Nøgletal!J455</f>
        <v>0</v>
      </c>
      <c r="D23" s="278"/>
      <c r="E23" s="278">
        <f>AJ23*Nøgletal!J457</f>
        <v>0</v>
      </c>
      <c r="F23" s="278"/>
      <c r="G23" s="278">
        <f t="shared" si="29"/>
        <v>0</v>
      </c>
      <c r="H23" s="278"/>
      <c r="I23" s="278">
        <f>AJ23*Nøgletal!J456</f>
        <v>0</v>
      </c>
      <c r="J23" s="278"/>
      <c r="K23" s="278"/>
      <c r="L23" s="278"/>
      <c r="M23" s="278"/>
      <c r="N23" s="278">
        <f t="shared" si="32"/>
        <v>0</v>
      </c>
      <c r="O23" s="278"/>
      <c r="P23" s="278"/>
      <c r="Q23" s="278"/>
      <c r="R23" s="278"/>
      <c r="S23" s="278"/>
      <c r="T23" s="278">
        <f t="shared" si="30"/>
        <v>0</v>
      </c>
      <c r="U23" s="278">
        <f>AJ23*Nøgletal!J458</f>
        <v>0</v>
      </c>
      <c r="V23" s="278">
        <f>AJ23*Nøgletal!J459</f>
        <v>0</v>
      </c>
      <c r="W23" s="278">
        <f>AJ23*Nøgletal!J460</f>
        <v>0</v>
      </c>
      <c r="X23" s="278">
        <f>AJ23*Nøgletal!J461</f>
        <v>0</v>
      </c>
      <c r="Y23" s="278">
        <f>AJ23*Nøgletal!J462</f>
        <v>0</v>
      </c>
      <c r="Z23" s="278"/>
      <c r="AA23" s="278"/>
      <c r="AB23" s="278">
        <f>AJ23*Nøgletal!J463</f>
        <v>0</v>
      </c>
      <c r="AC23" s="278"/>
      <c r="AD23" s="278"/>
      <c r="AE23" s="278"/>
      <c r="AF23" s="278"/>
      <c r="AG23" s="278"/>
      <c r="AH23" s="278"/>
      <c r="AI23" s="278"/>
      <c r="AJ23" s="105">
        <f>-AO23/IF(Nøgletal!J348+Nøgletal!K348&gt;0,Nøgletal!J348+Nøgletal!K348,1)</f>
        <v>0</v>
      </c>
      <c r="AK23" s="260" t="s">
        <v>151</v>
      </c>
      <c r="AL23" s="25" t="s">
        <v>152</v>
      </c>
      <c r="AM23" s="25" t="s">
        <v>144</v>
      </c>
      <c r="AN23" s="37"/>
      <c r="AO23" s="38">
        <f t="shared" si="1"/>
        <v>0</v>
      </c>
      <c r="AP23" s="37">
        <f t="shared" si="6"/>
        <v>0</v>
      </c>
      <c r="AQ23" s="31"/>
      <c r="AR23" s="278"/>
      <c r="AS23" s="278"/>
      <c r="AT23" s="278"/>
      <c r="AU23" s="285"/>
      <c r="AV23" s="286">
        <f t="shared" si="7"/>
        <v>0</v>
      </c>
      <c r="AW23" s="278"/>
      <c r="AX23" s="278"/>
      <c r="AY23" s="278"/>
      <c r="AZ23" s="278"/>
      <c r="BA23" s="287"/>
      <c r="BB23" s="278"/>
      <c r="BC23" s="286">
        <f t="shared" si="8"/>
        <v>0</v>
      </c>
      <c r="BD23" s="278"/>
      <c r="BE23" s="278"/>
      <c r="BF23" s="278"/>
      <c r="BG23" s="278"/>
      <c r="BH23" s="286"/>
      <c r="BI23" s="286">
        <f t="shared" si="3"/>
        <v>0</v>
      </c>
      <c r="BJ23" s="278"/>
      <c r="BK23" s="278"/>
      <c r="BL23" s="278"/>
      <c r="BM23" s="278"/>
      <c r="BN23" s="278"/>
      <c r="BO23" s="278"/>
      <c r="BP23" s="285"/>
      <c r="BQ23" s="279"/>
      <c r="BR23" s="288">
        <f>BS23/IF(Nøgletal!K348&gt;0,Nøgletal!K348,1)*Nøgletal!J348</f>
        <v>0</v>
      </c>
      <c r="BS23" s="278">
        <f>BS$19*Nøgletal!J306</f>
        <v>0</v>
      </c>
      <c r="BT23" s="278"/>
      <c r="BU23" s="280"/>
      <c r="BV23" s="280"/>
      <c r="BW23" s="285"/>
      <c r="BX23" s="285"/>
      <c r="BY23" s="124">
        <f t="shared" si="31"/>
        <v>0</v>
      </c>
      <c r="BZ23" s="123">
        <f>(C23*Emissionsfaktorer!$E$4+E23*Emissionsfaktorer!$E$3+F23*Emissionsfaktorer!$E$5+H23*Emissionsfaktorer!$E$7+I23*Emissionsfaktorer!$E$8+J23*Emissionsfaktorer!$E$9+K23*Emissionsfaktorer!$E$10+L23*Emissionsfaktorer!$E$11+M23*Emissionsfaktorer!$E$12)*-1*(1-Nøgletal!$J$301)+T23*Emissionsfaktorer!$E$13*Nøgletal!$J$301</f>
        <v>0</v>
      </c>
      <c r="CA23" s="231"/>
      <c r="CB23" s="231"/>
      <c r="CC23" s="231"/>
      <c r="CD23" s="231"/>
    </row>
    <row r="24" spans="1:82" x14ac:dyDescent="0.25">
      <c r="A24" s="231"/>
      <c r="B24" s="31"/>
      <c r="C24" s="278"/>
      <c r="D24" s="278"/>
      <c r="E24" s="278"/>
      <c r="F24" s="278"/>
      <c r="G24" s="278">
        <f t="shared" si="29"/>
        <v>0</v>
      </c>
      <c r="H24" s="278"/>
      <c r="I24" s="278"/>
      <c r="J24" s="278"/>
      <c r="K24" s="278"/>
      <c r="L24" s="278"/>
      <c r="M24" s="278"/>
      <c r="N24" s="278">
        <f t="shared" si="32"/>
        <v>0</v>
      </c>
      <c r="O24" s="278"/>
      <c r="P24" s="278"/>
      <c r="Q24" s="278"/>
      <c r="R24" s="278"/>
      <c r="S24" s="278">
        <f>-AO24*(1-1/IF(Nøgletal!K349&gt;0,Nøgletal!K349,1))</f>
        <v>0</v>
      </c>
      <c r="T24" s="278">
        <f t="shared" si="30"/>
        <v>0</v>
      </c>
      <c r="U24" s="278"/>
      <c r="V24" s="278"/>
      <c r="W24" s="278"/>
      <c r="X24" s="278"/>
      <c r="Y24" s="278"/>
      <c r="Z24" s="278"/>
      <c r="AA24" s="278"/>
      <c r="AB24" s="278"/>
      <c r="AC24" s="278">
        <f>-AO24/Nøgletal!K465/(1-Nøgletal!J294)</f>
        <v>0</v>
      </c>
      <c r="AD24" s="278"/>
      <c r="AE24" s="278"/>
      <c r="AF24" s="278"/>
      <c r="AG24" s="278"/>
      <c r="AH24" s="278"/>
      <c r="AI24" s="278"/>
      <c r="AJ24" s="105">
        <f>SUM(C24:G24,N24,T24,AC24:AG24)</f>
        <v>0</v>
      </c>
      <c r="AK24" s="260" t="s">
        <v>153</v>
      </c>
      <c r="AL24" s="25" t="s">
        <v>154</v>
      </c>
      <c r="AM24" s="25" t="s">
        <v>144</v>
      </c>
      <c r="AN24" s="37"/>
      <c r="AO24" s="38">
        <f t="shared" si="1"/>
        <v>0</v>
      </c>
      <c r="AP24" s="37">
        <f t="shared" si="6"/>
        <v>0</v>
      </c>
      <c r="AQ24" s="31"/>
      <c r="AR24" s="278"/>
      <c r="AS24" s="278"/>
      <c r="AT24" s="278"/>
      <c r="AU24" s="285"/>
      <c r="AV24" s="286">
        <f t="shared" si="7"/>
        <v>0</v>
      </c>
      <c r="AW24" s="278"/>
      <c r="AX24" s="278"/>
      <c r="AY24" s="278"/>
      <c r="AZ24" s="278"/>
      <c r="BA24" s="287"/>
      <c r="BB24" s="278"/>
      <c r="BC24" s="286">
        <f t="shared" si="8"/>
        <v>0</v>
      </c>
      <c r="BD24" s="278"/>
      <c r="BE24" s="278"/>
      <c r="BF24" s="278"/>
      <c r="BG24" s="278"/>
      <c r="BH24" s="286"/>
      <c r="BI24" s="286">
        <f t="shared" si="3"/>
        <v>0</v>
      </c>
      <c r="BJ24" s="278"/>
      <c r="BK24" s="278"/>
      <c r="BL24" s="278"/>
      <c r="BM24" s="278"/>
      <c r="BN24" s="278"/>
      <c r="BO24" s="278"/>
      <c r="BP24" s="285"/>
      <c r="BQ24" s="279"/>
      <c r="BR24" s="288"/>
      <c r="BS24" s="278">
        <f>BS$19*Nøgletal!J307</f>
        <v>0</v>
      </c>
      <c r="BT24" s="278"/>
      <c r="BU24" s="280"/>
      <c r="BV24" s="280"/>
      <c r="BW24" s="285"/>
      <c r="BX24" s="285"/>
      <c r="BY24" s="124">
        <f t="shared" si="31"/>
        <v>0</v>
      </c>
      <c r="BZ24" s="123">
        <f>(C24*Emissionsfaktorer!$E$4+E24*Emissionsfaktorer!$E$3+F24*Emissionsfaktorer!$E$5+H24*Emissionsfaktorer!$E$7+I24*Emissionsfaktorer!$E$8+J24*Emissionsfaktorer!$E$9+K24*Emissionsfaktorer!$E$10+L24*Emissionsfaktorer!$E$11+M24*Emissionsfaktorer!$E$12)*-1*(1-Nøgletal!$J$301)+T24*Emissionsfaktorer!$E$13*Nøgletal!$J$301</f>
        <v>0</v>
      </c>
      <c r="CA24" s="231"/>
      <c r="CB24" s="231"/>
      <c r="CC24" s="231"/>
      <c r="CD24" s="231"/>
    </row>
    <row r="25" spans="1:82" x14ac:dyDescent="0.25">
      <c r="A25" s="231"/>
      <c r="B25" s="31"/>
      <c r="C25" s="278"/>
      <c r="D25" s="278"/>
      <c r="E25" s="278"/>
      <c r="F25" s="278"/>
      <c r="G25" s="278">
        <f t="shared" si="29"/>
        <v>0</v>
      </c>
      <c r="H25" s="278"/>
      <c r="I25" s="278"/>
      <c r="J25" s="278"/>
      <c r="K25" s="278"/>
      <c r="L25" s="278"/>
      <c r="M25" s="278"/>
      <c r="N25" s="278">
        <f t="shared" si="32"/>
        <v>0</v>
      </c>
      <c r="O25" s="278"/>
      <c r="P25" s="278"/>
      <c r="Q25" s="278"/>
      <c r="R25" s="278"/>
      <c r="S25" s="278"/>
      <c r="T25" s="278">
        <f t="shared" si="30"/>
        <v>0</v>
      </c>
      <c r="U25" s="278"/>
      <c r="V25" s="278"/>
      <c r="W25" s="278"/>
      <c r="X25" s="278"/>
      <c r="Y25" s="278"/>
      <c r="Z25" s="278"/>
      <c r="AA25" s="278"/>
      <c r="AB25" s="278"/>
      <c r="AC25" s="278">
        <f>AJ25</f>
        <v>0</v>
      </c>
      <c r="AD25" s="278"/>
      <c r="AE25" s="278"/>
      <c r="AF25" s="278"/>
      <c r="AG25" s="278"/>
      <c r="AH25" s="278"/>
      <c r="AI25" s="278"/>
      <c r="AJ25" s="105">
        <f>-AO25/IF(Nøgletal!J350+Nøgletal!K350&gt;0,Nøgletal!J350+Nøgletal!K350,1)/(1-Nøgletal!J294)</f>
        <v>0</v>
      </c>
      <c r="AK25" s="260" t="s">
        <v>155</v>
      </c>
      <c r="AL25" s="25" t="s">
        <v>156</v>
      </c>
      <c r="AM25" s="25" t="s">
        <v>144</v>
      </c>
      <c r="AN25" s="37"/>
      <c r="AO25" s="38">
        <f t="shared" si="1"/>
        <v>0</v>
      </c>
      <c r="AP25" s="37">
        <f t="shared" si="6"/>
        <v>0</v>
      </c>
      <c r="AQ25" s="31"/>
      <c r="AR25" s="278"/>
      <c r="AS25" s="278"/>
      <c r="AT25" s="278"/>
      <c r="AU25" s="285"/>
      <c r="AV25" s="286">
        <f t="shared" si="7"/>
        <v>0</v>
      </c>
      <c r="AW25" s="278"/>
      <c r="AX25" s="278"/>
      <c r="AY25" s="278"/>
      <c r="AZ25" s="278"/>
      <c r="BA25" s="287"/>
      <c r="BB25" s="278"/>
      <c r="BC25" s="286">
        <f t="shared" si="8"/>
        <v>0</v>
      </c>
      <c r="BD25" s="278"/>
      <c r="BE25" s="278"/>
      <c r="BF25" s="278"/>
      <c r="BG25" s="278"/>
      <c r="BH25" s="286"/>
      <c r="BI25" s="286">
        <f t="shared" si="3"/>
        <v>0</v>
      </c>
      <c r="BJ25" s="278"/>
      <c r="BK25" s="278"/>
      <c r="BL25" s="278"/>
      <c r="BM25" s="278"/>
      <c r="BN25" s="278"/>
      <c r="BO25" s="278"/>
      <c r="BP25" s="285"/>
      <c r="BQ25" s="279"/>
      <c r="BR25" s="288"/>
      <c r="BS25" s="278">
        <f>BS$19*Nøgletal!J308</f>
        <v>0</v>
      </c>
      <c r="BT25" s="278"/>
      <c r="BU25" s="280"/>
      <c r="BV25" s="280"/>
      <c r="BW25" s="285"/>
      <c r="BX25" s="285"/>
      <c r="BY25" s="124">
        <f t="shared" si="31"/>
        <v>0</v>
      </c>
      <c r="BZ25" s="123">
        <f>(C25*Emissionsfaktorer!$E$4+E25*Emissionsfaktorer!$E$3+F25*Emissionsfaktorer!$E$5+H25*Emissionsfaktorer!$E$7+I25*Emissionsfaktorer!$E$8+J25*Emissionsfaktorer!$E$9+K25*Emissionsfaktorer!$E$10+L25*Emissionsfaktorer!$E$11+M25*Emissionsfaktorer!$E$12)*-1*(1-Nøgletal!$J$301)+T25*Emissionsfaktorer!$E$13*Nøgletal!$J$301</f>
        <v>0</v>
      </c>
      <c r="CA25" s="231"/>
      <c r="CB25" s="231"/>
      <c r="CC25" s="231"/>
      <c r="CD25" s="231"/>
    </row>
    <row r="26" spans="1:82" x14ac:dyDescent="0.25">
      <c r="A26" s="231"/>
      <c r="B26" s="31"/>
      <c r="C26" s="278"/>
      <c r="D26" s="278"/>
      <c r="E26" s="278"/>
      <c r="F26" s="278"/>
      <c r="G26" s="278">
        <f t="shared" si="29"/>
        <v>0</v>
      </c>
      <c r="H26" s="278"/>
      <c r="I26" s="278"/>
      <c r="J26" s="278"/>
      <c r="K26" s="278"/>
      <c r="L26" s="278"/>
      <c r="M26" s="278"/>
      <c r="N26" s="278">
        <f t="shared" si="32"/>
        <v>0</v>
      </c>
      <c r="O26" s="278"/>
      <c r="P26" s="278"/>
      <c r="Q26" s="278"/>
      <c r="R26" s="278"/>
      <c r="S26" s="278"/>
      <c r="T26" s="278">
        <f t="shared" si="30"/>
        <v>0</v>
      </c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105">
        <f>-AO26/IF(Nøgletal!J352+Nøgletal!K352&gt;0,Nøgletal!J352+Nøgletal!K352,1)/(1-Nøgletal!J295)</f>
        <v>0</v>
      </c>
      <c r="AK26" s="260" t="s">
        <v>157</v>
      </c>
      <c r="AL26" s="25" t="s">
        <v>158</v>
      </c>
      <c r="AM26" s="25" t="s">
        <v>144</v>
      </c>
      <c r="AN26" s="37"/>
      <c r="AO26" s="38">
        <f t="shared" si="1"/>
        <v>0</v>
      </c>
      <c r="AP26" s="37">
        <f t="shared" si="6"/>
        <v>0</v>
      </c>
      <c r="AQ26" s="31"/>
      <c r="AR26" s="278"/>
      <c r="AS26" s="278"/>
      <c r="AT26" s="278"/>
      <c r="AU26" s="289"/>
      <c r="AV26" s="286">
        <f t="shared" si="7"/>
        <v>0</v>
      </c>
      <c r="AW26" s="278"/>
      <c r="AX26" s="278"/>
      <c r="AY26" s="278"/>
      <c r="AZ26" s="278"/>
      <c r="BA26" s="290"/>
      <c r="BB26" s="278"/>
      <c r="BC26" s="286">
        <f t="shared" si="8"/>
        <v>0</v>
      </c>
      <c r="BD26" s="278"/>
      <c r="BE26" s="278"/>
      <c r="BF26" s="278"/>
      <c r="BG26" s="278"/>
      <c r="BH26" s="278"/>
      <c r="BI26" s="286">
        <f t="shared" si="3"/>
        <v>0</v>
      </c>
      <c r="BJ26" s="278"/>
      <c r="BK26" s="278"/>
      <c r="BL26" s="278"/>
      <c r="BM26" s="278"/>
      <c r="BN26" s="278"/>
      <c r="BO26" s="278"/>
      <c r="BP26" s="289"/>
      <c r="BQ26" s="279"/>
      <c r="BR26" s="288"/>
      <c r="BS26" s="278"/>
      <c r="BT26" s="278"/>
      <c r="BU26" s="280"/>
      <c r="BV26" s="280"/>
      <c r="BW26" s="289"/>
      <c r="BX26" s="289"/>
      <c r="BY26" s="124">
        <f t="shared" si="31"/>
        <v>0</v>
      </c>
      <c r="BZ26" s="123">
        <f>(C26*Emissionsfaktorer!$E$4+E26*Emissionsfaktorer!$E$3+F26*Emissionsfaktorer!$E$5+H26*Emissionsfaktorer!$E$7+I26*Emissionsfaktorer!$E$8+J26*Emissionsfaktorer!$E$9+K26*Emissionsfaktorer!$E$10+L26*Emissionsfaktorer!$E$11+M26*Emissionsfaktorer!$E$12)*-1*(1-Nøgletal!$J$301)+T26*Emissionsfaktorer!$E$13*Nøgletal!$J$301</f>
        <v>0</v>
      </c>
      <c r="CA26" s="231"/>
      <c r="CB26" s="231"/>
      <c r="CC26" s="231"/>
      <c r="CD26" s="231"/>
    </row>
    <row r="27" spans="1:82" x14ac:dyDescent="0.25">
      <c r="A27" s="231"/>
      <c r="B27" s="31"/>
      <c r="C27" s="23">
        <f>SUM(C28:C36)</f>
        <v>0</v>
      </c>
      <c r="D27" s="23"/>
      <c r="E27" s="23">
        <f>SUM(E28:E36)</f>
        <v>0</v>
      </c>
      <c r="F27" s="23">
        <f>SUM(F28:F36)</f>
        <v>0</v>
      </c>
      <c r="G27" s="23">
        <f t="shared" ref="G27:AH27" si="33">SUM(G28:G36)</f>
        <v>0</v>
      </c>
      <c r="H27" s="23">
        <f t="shared" si="33"/>
        <v>0</v>
      </c>
      <c r="I27" s="23">
        <f t="shared" si="33"/>
        <v>0</v>
      </c>
      <c r="J27" s="23">
        <f t="shared" si="33"/>
        <v>0</v>
      </c>
      <c r="K27" s="23">
        <f t="shared" si="33"/>
        <v>0</v>
      </c>
      <c r="L27" s="23">
        <f t="shared" si="33"/>
        <v>0</v>
      </c>
      <c r="M27" s="23">
        <f t="shared" si="33"/>
        <v>0</v>
      </c>
      <c r="N27" s="23">
        <f t="shared" si="33"/>
        <v>0</v>
      </c>
      <c r="O27" s="23">
        <f t="shared" si="33"/>
        <v>0</v>
      </c>
      <c r="P27" s="23">
        <f t="shared" si="33"/>
        <v>0</v>
      </c>
      <c r="Q27" s="23">
        <f t="shared" si="33"/>
        <v>0</v>
      </c>
      <c r="R27" s="23">
        <f t="shared" si="33"/>
        <v>0</v>
      </c>
      <c r="S27" s="23">
        <f t="shared" si="33"/>
        <v>0</v>
      </c>
      <c r="T27" s="23">
        <f t="shared" si="33"/>
        <v>0</v>
      </c>
      <c r="U27" s="23">
        <f t="shared" si="33"/>
        <v>0</v>
      </c>
      <c r="V27" s="23">
        <f t="shared" si="33"/>
        <v>0</v>
      </c>
      <c r="W27" s="23">
        <f t="shared" si="33"/>
        <v>0</v>
      </c>
      <c r="X27" s="23">
        <f t="shared" si="33"/>
        <v>0</v>
      </c>
      <c r="Y27" s="23">
        <f t="shared" si="33"/>
        <v>0</v>
      </c>
      <c r="Z27" s="23">
        <f t="shared" si="33"/>
        <v>0</v>
      </c>
      <c r="AA27" s="23">
        <f t="shared" si="33"/>
        <v>0</v>
      </c>
      <c r="AB27" s="23">
        <f t="shared" si="33"/>
        <v>0</v>
      </c>
      <c r="AC27" s="23">
        <f t="shared" si="33"/>
        <v>0</v>
      </c>
      <c r="AD27" s="23">
        <f t="shared" si="33"/>
        <v>0</v>
      </c>
      <c r="AE27" s="23">
        <f t="shared" si="33"/>
        <v>0</v>
      </c>
      <c r="AF27" s="23">
        <f t="shared" si="33"/>
        <v>0</v>
      </c>
      <c r="AG27" s="23">
        <f t="shared" si="33"/>
        <v>0</v>
      </c>
      <c r="AH27" s="23">
        <f t="shared" si="33"/>
        <v>0</v>
      </c>
      <c r="AI27" s="23"/>
      <c r="AJ27" s="105">
        <f>SUM(C27:G27,N27,T27,AC27:AG27)</f>
        <v>0</v>
      </c>
      <c r="AK27" s="48" t="s">
        <v>171</v>
      </c>
      <c r="AL27" s="25" t="s">
        <v>172</v>
      </c>
      <c r="AM27" s="25" t="s">
        <v>559</v>
      </c>
      <c r="AN27" s="37">
        <f>'Størrelse på strømme'!E39</f>
        <v>0</v>
      </c>
      <c r="AO27" s="38">
        <f t="shared" si="1"/>
        <v>0</v>
      </c>
      <c r="AP27" s="37">
        <f t="shared" si="6"/>
        <v>0</v>
      </c>
      <c r="AQ27" s="31"/>
      <c r="AR27" s="23">
        <f>SUM(AR28:AR36)</f>
        <v>0</v>
      </c>
      <c r="AS27" s="23"/>
      <c r="AT27" s="23">
        <f>SUM(AT28:AT36)</f>
        <v>0</v>
      </c>
      <c r="AU27" s="23">
        <f>SUM(AU28:AU36)</f>
        <v>0</v>
      </c>
      <c r="AV27" s="91">
        <f t="shared" si="7"/>
        <v>0</v>
      </c>
      <c r="AW27" s="23">
        <f t="shared" ref="AW27:BZ27" si="34">SUM(AW28:AW36)</f>
        <v>0</v>
      </c>
      <c r="AX27" s="23">
        <f t="shared" si="34"/>
        <v>0</v>
      </c>
      <c r="AY27" s="23">
        <f t="shared" si="34"/>
        <v>0</v>
      </c>
      <c r="AZ27" s="23">
        <f t="shared" si="34"/>
        <v>0</v>
      </c>
      <c r="BA27" s="23">
        <f t="shared" si="34"/>
        <v>0</v>
      </c>
      <c r="BB27" s="23">
        <f t="shared" si="34"/>
        <v>0</v>
      </c>
      <c r="BC27" s="91">
        <f t="shared" si="8"/>
        <v>0</v>
      </c>
      <c r="BD27" s="23">
        <f t="shared" si="34"/>
        <v>0</v>
      </c>
      <c r="BE27" s="23">
        <f t="shared" si="34"/>
        <v>0</v>
      </c>
      <c r="BF27" s="23">
        <f t="shared" si="34"/>
        <v>0</v>
      </c>
      <c r="BG27" s="23">
        <f t="shared" si="34"/>
        <v>0</v>
      </c>
      <c r="BH27" s="23">
        <f t="shared" si="34"/>
        <v>0</v>
      </c>
      <c r="BI27" s="91">
        <f t="shared" si="3"/>
        <v>0</v>
      </c>
      <c r="BJ27" s="23">
        <f t="shared" si="34"/>
        <v>0</v>
      </c>
      <c r="BK27" s="23">
        <f t="shared" si="34"/>
        <v>0</v>
      </c>
      <c r="BL27" s="23">
        <f t="shared" si="34"/>
        <v>0</v>
      </c>
      <c r="BM27" s="23">
        <f t="shared" si="34"/>
        <v>0</v>
      </c>
      <c r="BN27" s="23">
        <f t="shared" si="34"/>
        <v>0</v>
      </c>
      <c r="BO27" s="23">
        <f t="shared" si="34"/>
        <v>0</v>
      </c>
      <c r="BP27" s="23">
        <f t="shared" si="34"/>
        <v>0</v>
      </c>
      <c r="BQ27" s="23">
        <f t="shared" si="34"/>
        <v>0</v>
      </c>
      <c r="BR27" s="23">
        <f t="shared" si="34"/>
        <v>0</v>
      </c>
      <c r="BS27" s="23">
        <f>Nøgletal!J270/(1-Nøgletal!J297)</f>
        <v>0</v>
      </c>
      <c r="BT27" s="23">
        <f>Nøgletal!K270/(1-Nøgletal!K297)</f>
        <v>0</v>
      </c>
      <c r="BU27" s="23">
        <f t="shared" si="34"/>
        <v>0</v>
      </c>
      <c r="BV27" s="23">
        <f t="shared" si="34"/>
        <v>0</v>
      </c>
      <c r="BW27" s="23">
        <f t="shared" si="34"/>
        <v>0</v>
      </c>
      <c r="BX27" s="23"/>
      <c r="BY27" s="126">
        <f t="shared" si="34"/>
        <v>0</v>
      </c>
      <c r="BZ27" s="126">
        <f t="shared" si="34"/>
        <v>0</v>
      </c>
      <c r="CA27" s="231"/>
      <c r="CB27" s="231"/>
      <c r="CC27" s="231"/>
      <c r="CD27" s="231"/>
    </row>
    <row r="28" spans="1:82" x14ac:dyDescent="0.25">
      <c r="A28" s="231"/>
      <c r="B28" s="31"/>
      <c r="C28" s="278">
        <f>AJ28*Nøgletal!J479</f>
        <v>0</v>
      </c>
      <c r="D28" s="278"/>
      <c r="E28" s="278">
        <f>AJ28*Nøgletal!J481</f>
        <v>0</v>
      </c>
      <c r="F28" s="278"/>
      <c r="G28" s="278">
        <f t="shared" si="29"/>
        <v>0</v>
      </c>
      <c r="H28" s="278"/>
      <c r="I28" s="278">
        <f>AJ28*Nøgletal!J480</f>
        <v>0</v>
      </c>
      <c r="J28" s="278"/>
      <c r="K28" s="278"/>
      <c r="L28" s="278"/>
      <c r="M28" s="278"/>
      <c r="N28" s="278">
        <f t="shared" si="32"/>
        <v>0</v>
      </c>
      <c r="O28" s="278"/>
      <c r="P28" s="278"/>
      <c r="Q28" s="278"/>
      <c r="R28" s="278"/>
      <c r="S28" s="278"/>
      <c r="T28" s="278">
        <f t="shared" si="30"/>
        <v>0</v>
      </c>
      <c r="U28" s="278">
        <f>AJ28*Nøgletal!J482</f>
        <v>0</v>
      </c>
      <c r="V28" s="278">
        <f>AJ28*Nøgletal!J483</f>
        <v>0</v>
      </c>
      <c r="W28" s="278">
        <f>AJ28*Nøgletal!J484</f>
        <v>0</v>
      </c>
      <c r="X28" s="278">
        <f>AJ28*Nøgletal!J485</f>
        <v>0</v>
      </c>
      <c r="Y28" s="278">
        <f>AJ28*Nøgletal!J486</f>
        <v>0</v>
      </c>
      <c r="Z28" s="278"/>
      <c r="AA28" s="278"/>
      <c r="AB28" s="278"/>
      <c r="AC28" s="279"/>
      <c r="AD28" s="279"/>
      <c r="AE28" s="279"/>
      <c r="AF28" s="279"/>
      <c r="AG28" s="279"/>
      <c r="AH28" s="279"/>
      <c r="AI28" s="279"/>
      <c r="AJ28" s="105">
        <f>-AO28/IF(Nøgletal!J357+Nøgletal!K357&gt;0,Nøgletal!J357+Nøgletal!K357,1)</f>
        <v>0</v>
      </c>
      <c r="AK28" s="260" t="s">
        <v>173</v>
      </c>
      <c r="AL28" s="106" t="s">
        <v>174</v>
      </c>
      <c r="AM28" s="98" t="s">
        <v>172</v>
      </c>
      <c r="AN28" s="37"/>
      <c r="AO28" s="38">
        <f t="shared" si="1"/>
        <v>0</v>
      </c>
      <c r="AP28" s="37">
        <f t="shared" si="6"/>
        <v>0</v>
      </c>
      <c r="AQ28" s="31"/>
      <c r="AR28" s="279"/>
      <c r="AS28" s="279"/>
      <c r="AT28" s="279"/>
      <c r="AU28" s="279"/>
      <c r="AV28" s="286">
        <f t="shared" si="7"/>
        <v>0</v>
      </c>
      <c r="AW28" s="279"/>
      <c r="AX28" s="279"/>
      <c r="AY28" s="279"/>
      <c r="AZ28" s="279"/>
      <c r="BA28" s="279"/>
      <c r="BB28" s="279"/>
      <c r="BC28" s="286">
        <f t="shared" si="8"/>
        <v>0</v>
      </c>
      <c r="BD28" s="279"/>
      <c r="BE28" s="279"/>
      <c r="BF28" s="279"/>
      <c r="BG28" s="279"/>
      <c r="BH28" s="279"/>
      <c r="BI28" s="286">
        <f t="shared" si="3"/>
        <v>0</v>
      </c>
      <c r="BJ28" s="279"/>
      <c r="BK28" s="279"/>
      <c r="BL28" s="279"/>
      <c r="BM28" s="279"/>
      <c r="BN28" s="279"/>
      <c r="BO28" s="279"/>
      <c r="BP28" s="279"/>
      <c r="BQ28" s="279"/>
      <c r="BR28" s="286">
        <f>BS28/IF(Nøgletal!K357&gt;0,Nøgletal!K357,1)*Nøgletal!J357</f>
        <v>0</v>
      </c>
      <c r="BS28" s="286">
        <f>BS$27*Nøgletal!J317</f>
        <v>0</v>
      </c>
      <c r="BT28" s="279"/>
      <c r="BU28" s="279"/>
      <c r="BV28" s="279"/>
      <c r="BW28" s="279"/>
      <c r="BX28" s="279"/>
      <c r="BY28" s="124">
        <f t="shared" ref="BY28:BY36" si="35">(AJ28+AO28)*-1</f>
        <v>0</v>
      </c>
      <c r="BZ28" s="123">
        <f>(C28*Emissionsfaktorer!$E$4+E28*Emissionsfaktorer!$E$3+F28*Emissionsfaktorer!$E$5+H28*Emissionsfaktorer!$E$7+I28*Emissionsfaktorer!$E$8+J28*Emissionsfaktorer!$E$9+K28*Emissionsfaktorer!$E$10+L28*Emissionsfaktorer!$E$11+M28*Emissionsfaktorer!$E$12)*-1*(1-Nøgletal!$J$315)+T28*Emissionsfaktorer!$E$13*Nøgletal!$J$315</f>
        <v>0</v>
      </c>
      <c r="CA28" s="231"/>
      <c r="CB28" s="231"/>
      <c r="CC28" s="231"/>
      <c r="CD28" s="231"/>
    </row>
    <row r="29" spans="1:82" x14ac:dyDescent="0.25">
      <c r="A29" s="231"/>
      <c r="B29" s="31"/>
      <c r="C29" s="278"/>
      <c r="D29" s="278"/>
      <c r="E29" s="278">
        <f>AJ29*Nøgletal!J492</f>
        <v>0</v>
      </c>
      <c r="F29" s="278"/>
      <c r="G29" s="278">
        <f t="shared" si="29"/>
        <v>0</v>
      </c>
      <c r="H29" s="278"/>
      <c r="I29" s="278">
        <f>AJ29*Nøgletal!J488</f>
        <v>0</v>
      </c>
      <c r="J29" s="278">
        <f>AJ29*Nøgletal!J489</f>
        <v>0</v>
      </c>
      <c r="K29" s="278">
        <f>AJ29*Nøgletal!J490</f>
        <v>0</v>
      </c>
      <c r="L29" s="278"/>
      <c r="M29" s="278">
        <f>AJ29*Nøgletal!J491</f>
        <v>0</v>
      </c>
      <c r="N29" s="278">
        <f t="shared" si="32"/>
        <v>0</v>
      </c>
      <c r="O29" s="278"/>
      <c r="P29" s="278"/>
      <c r="Q29" s="278"/>
      <c r="R29" s="278"/>
      <c r="S29" s="278"/>
      <c r="T29" s="278">
        <f t="shared" si="30"/>
        <v>0</v>
      </c>
      <c r="U29" s="278">
        <f>AJ29*Nøgletal!J493</f>
        <v>0</v>
      </c>
      <c r="V29" s="278">
        <f>AJ29*Nøgletal!J494</f>
        <v>0</v>
      </c>
      <c r="W29" s="278">
        <f>AJ29*Nøgletal!J495</f>
        <v>0</v>
      </c>
      <c r="X29" s="278">
        <f>AJ29*Nøgletal!J496</f>
        <v>0</v>
      </c>
      <c r="Y29" s="278">
        <f>Nøgletal!J497</f>
        <v>0</v>
      </c>
      <c r="Z29" s="278"/>
      <c r="AA29" s="278"/>
      <c r="AB29" s="278">
        <f>AJ29*Nøgletal!J498</f>
        <v>0</v>
      </c>
      <c r="AC29" s="278"/>
      <c r="AD29" s="278"/>
      <c r="AE29" s="278"/>
      <c r="AF29" s="278"/>
      <c r="AG29" s="278"/>
      <c r="AH29" s="278"/>
      <c r="AI29" s="278"/>
      <c r="AJ29" s="105">
        <f>-AO29/IF(Nøgletal!J358+Nøgletal!K358&gt;0,Nøgletal!J358+Nøgletal!K358,1)</f>
        <v>0</v>
      </c>
      <c r="AK29" s="260" t="s">
        <v>175</v>
      </c>
      <c r="AL29" s="26" t="s">
        <v>176</v>
      </c>
      <c r="AM29" s="98" t="s">
        <v>172</v>
      </c>
      <c r="AN29" s="37"/>
      <c r="AO29" s="38">
        <f t="shared" si="1"/>
        <v>0</v>
      </c>
      <c r="AP29" s="37">
        <f t="shared" si="6"/>
        <v>0</v>
      </c>
      <c r="AQ29" s="31"/>
      <c r="AR29" s="278"/>
      <c r="AS29" s="278"/>
      <c r="AT29" s="278"/>
      <c r="AU29" s="285"/>
      <c r="AV29" s="286">
        <f t="shared" si="7"/>
        <v>0</v>
      </c>
      <c r="AW29" s="278"/>
      <c r="AX29" s="278"/>
      <c r="AY29" s="278"/>
      <c r="AZ29" s="278"/>
      <c r="BA29" s="287"/>
      <c r="BB29" s="278"/>
      <c r="BC29" s="286">
        <f t="shared" si="8"/>
        <v>0</v>
      </c>
      <c r="BD29" s="278"/>
      <c r="BE29" s="278"/>
      <c r="BF29" s="278"/>
      <c r="BG29" s="278"/>
      <c r="BH29" s="286"/>
      <c r="BI29" s="286">
        <f t="shared" si="3"/>
        <v>0</v>
      </c>
      <c r="BJ29" s="278"/>
      <c r="BK29" s="278"/>
      <c r="BL29" s="278"/>
      <c r="BM29" s="278"/>
      <c r="BN29" s="278"/>
      <c r="BO29" s="278"/>
      <c r="BP29" s="285"/>
      <c r="BQ29" s="279"/>
      <c r="BR29" s="286">
        <f>BS29/IF(Nøgletal!K358&gt;0,Nøgletal!K358,1)*Nøgletal!J358</f>
        <v>0</v>
      </c>
      <c r="BS29" s="286">
        <f>BS$27*Nøgletal!J318</f>
        <v>0</v>
      </c>
      <c r="BT29" s="278"/>
      <c r="BU29" s="280"/>
      <c r="BV29" s="280"/>
      <c r="BW29" s="285"/>
      <c r="BX29" s="285"/>
      <c r="BY29" s="124">
        <f t="shared" si="35"/>
        <v>0</v>
      </c>
      <c r="BZ29" s="123">
        <f>(C29*Emissionsfaktorer!$E$4+E29*Emissionsfaktorer!$E$3+F29*Emissionsfaktorer!$E$5+H29*Emissionsfaktorer!$E$7+I29*Emissionsfaktorer!$E$8+J29*Emissionsfaktorer!$E$9+K29*Emissionsfaktorer!$E$10+L29*Emissionsfaktorer!$E$11+M29*Emissionsfaktorer!$E$12)*-1*(1-Nøgletal!$J$315)+T29*Emissionsfaktorer!$E$13*Nøgletal!$J$315</f>
        <v>0</v>
      </c>
      <c r="CA29" s="231"/>
      <c r="CB29" s="231"/>
      <c r="CC29" s="231"/>
      <c r="CD29" s="231"/>
    </row>
    <row r="30" spans="1:82" x14ac:dyDescent="0.25">
      <c r="A30" s="231"/>
      <c r="B30" s="31"/>
      <c r="C30" s="278"/>
      <c r="D30" s="278"/>
      <c r="E30" s="278">
        <f>AJ30*Nøgletal!J500</f>
        <v>0</v>
      </c>
      <c r="F30" s="278"/>
      <c r="G30" s="278">
        <f t="shared" si="29"/>
        <v>0</v>
      </c>
      <c r="H30" s="278"/>
      <c r="I30" s="278"/>
      <c r="J30" s="278"/>
      <c r="K30" s="278"/>
      <c r="L30" s="278"/>
      <c r="M30" s="278"/>
      <c r="N30" s="278">
        <f t="shared" si="32"/>
        <v>0</v>
      </c>
      <c r="O30" s="278"/>
      <c r="P30" s="278"/>
      <c r="Q30" s="278"/>
      <c r="R30" s="278"/>
      <c r="S30" s="278"/>
      <c r="T30" s="278">
        <f t="shared" si="30"/>
        <v>0</v>
      </c>
      <c r="U30" s="278">
        <f>AJ30*Nøgletal!J501</f>
        <v>0</v>
      </c>
      <c r="V30" s="278"/>
      <c r="W30" s="278"/>
      <c r="X30" s="278"/>
      <c r="Y30" s="278"/>
      <c r="Z30" s="278"/>
      <c r="AA30" s="278"/>
      <c r="AB30" s="278">
        <f>AJ30*Nøgletal!J502</f>
        <v>0</v>
      </c>
      <c r="AC30" s="278"/>
      <c r="AD30" s="278"/>
      <c r="AE30" s="278"/>
      <c r="AF30" s="278"/>
      <c r="AG30" s="278"/>
      <c r="AH30" s="278"/>
      <c r="AI30" s="278"/>
      <c r="AJ30" s="105">
        <f>-AO30/IF(Nøgletal!J359+Nøgletal!K359&gt;0,Nøgletal!J359+Nøgletal!K359,1)</f>
        <v>0</v>
      </c>
      <c r="AK30" s="260" t="s">
        <v>177</v>
      </c>
      <c r="AL30" s="26" t="s">
        <v>178</v>
      </c>
      <c r="AM30" s="98" t="s">
        <v>172</v>
      </c>
      <c r="AN30" s="37"/>
      <c r="AO30" s="38">
        <f t="shared" si="1"/>
        <v>0</v>
      </c>
      <c r="AP30" s="37">
        <f t="shared" si="6"/>
        <v>0</v>
      </c>
      <c r="AQ30" s="31"/>
      <c r="AR30" s="278"/>
      <c r="AS30" s="278"/>
      <c r="AT30" s="278"/>
      <c r="AU30" s="285"/>
      <c r="AV30" s="286">
        <f t="shared" si="7"/>
        <v>0</v>
      </c>
      <c r="AW30" s="278"/>
      <c r="AX30" s="278"/>
      <c r="AY30" s="278"/>
      <c r="AZ30" s="278"/>
      <c r="BA30" s="287"/>
      <c r="BB30" s="278"/>
      <c r="BC30" s="286">
        <f t="shared" si="8"/>
        <v>0</v>
      </c>
      <c r="BD30" s="278"/>
      <c r="BE30" s="278"/>
      <c r="BF30" s="278"/>
      <c r="BG30" s="278"/>
      <c r="BH30" s="286"/>
      <c r="BI30" s="286">
        <f t="shared" si="3"/>
        <v>0</v>
      </c>
      <c r="BJ30" s="278"/>
      <c r="BK30" s="278"/>
      <c r="BL30" s="278"/>
      <c r="BM30" s="278"/>
      <c r="BN30" s="278"/>
      <c r="BO30" s="278"/>
      <c r="BP30" s="285"/>
      <c r="BQ30" s="279"/>
      <c r="BR30" s="286">
        <f>BS30/IF(Nøgletal!K359&gt;0,Nøgletal!K359,1)*Nøgletal!J359</f>
        <v>0</v>
      </c>
      <c r="BS30" s="286">
        <f>BS$27*Nøgletal!J319</f>
        <v>0</v>
      </c>
      <c r="BT30" s="278"/>
      <c r="BU30" s="280"/>
      <c r="BV30" s="280"/>
      <c r="BW30" s="285"/>
      <c r="BX30" s="285"/>
      <c r="BY30" s="124">
        <f t="shared" si="35"/>
        <v>0</v>
      </c>
      <c r="BZ30" s="123">
        <f>(C30*Emissionsfaktorer!$E$4+E30*Emissionsfaktorer!$E$3+F30*Emissionsfaktorer!$E$5+H30*Emissionsfaktorer!$E$7+I30*Emissionsfaktorer!$E$8+J30*Emissionsfaktorer!$E$9+K30*Emissionsfaktorer!$E$10+L30*Emissionsfaktorer!$E$11+M30*Emissionsfaktorer!$E$12)*-1*(1-Nøgletal!$J$315)+T30*Emissionsfaktorer!$E$13*Nøgletal!$J$315</f>
        <v>0</v>
      </c>
      <c r="CA30" s="231"/>
      <c r="CB30" s="231"/>
      <c r="CC30" s="231"/>
      <c r="CD30" s="231"/>
    </row>
    <row r="31" spans="1:82" x14ac:dyDescent="0.25">
      <c r="A31" s="231"/>
      <c r="B31" s="31"/>
      <c r="C31" s="278">
        <f>AJ31*Nøgletal!J504</f>
        <v>0</v>
      </c>
      <c r="D31" s="278"/>
      <c r="E31" s="278">
        <f>AJ31*Nøgletal!J506</f>
        <v>0</v>
      </c>
      <c r="F31" s="278"/>
      <c r="G31" s="278">
        <f t="shared" si="29"/>
        <v>0</v>
      </c>
      <c r="H31" s="278"/>
      <c r="I31" s="278">
        <f>AJ31*Nøgletal!J505</f>
        <v>0</v>
      </c>
      <c r="J31" s="278"/>
      <c r="K31" s="278"/>
      <c r="L31" s="278"/>
      <c r="M31" s="278"/>
      <c r="N31" s="278">
        <f t="shared" si="32"/>
        <v>0</v>
      </c>
      <c r="O31" s="278"/>
      <c r="P31" s="278"/>
      <c r="Q31" s="278"/>
      <c r="R31" s="278"/>
      <c r="S31" s="278"/>
      <c r="T31" s="278">
        <f t="shared" si="30"/>
        <v>0</v>
      </c>
      <c r="U31" s="278">
        <f>AJ31*Nøgletal!J507</f>
        <v>0</v>
      </c>
      <c r="V31" s="278">
        <f>AJ31*Nøgletal!J508</f>
        <v>0</v>
      </c>
      <c r="W31" s="278">
        <f>AJ31*Nøgletal!J509</f>
        <v>0</v>
      </c>
      <c r="X31" s="278">
        <f>AJ31*Nøgletal!J510</f>
        <v>0</v>
      </c>
      <c r="Y31" s="278">
        <f>AJ31*Nøgletal!J511</f>
        <v>0</v>
      </c>
      <c r="Z31" s="278"/>
      <c r="AA31" s="278"/>
      <c r="AB31" s="278">
        <f>AJ31*Nøgletal!J512</f>
        <v>0</v>
      </c>
      <c r="AC31" s="278"/>
      <c r="AD31" s="278"/>
      <c r="AE31" s="278"/>
      <c r="AF31" s="278"/>
      <c r="AG31" s="278"/>
      <c r="AH31" s="278"/>
      <c r="AI31" s="278"/>
      <c r="AJ31" s="105">
        <f>-AO31/IF(Nøgletal!J360+Nøgletal!K360&gt;0,Nøgletal!J360+Nøgletal!K360,1)</f>
        <v>0</v>
      </c>
      <c r="AK31" s="260" t="s">
        <v>179</v>
      </c>
      <c r="AL31" s="25" t="s">
        <v>180</v>
      </c>
      <c r="AM31" s="98" t="s">
        <v>172</v>
      </c>
      <c r="AN31" s="37"/>
      <c r="AO31" s="38">
        <f t="shared" si="1"/>
        <v>0</v>
      </c>
      <c r="AP31" s="37">
        <f t="shared" si="6"/>
        <v>0</v>
      </c>
      <c r="AQ31" s="31"/>
      <c r="AR31" s="280"/>
      <c r="AS31" s="280"/>
      <c r="AT31" s="278"/>
      <c r="AU31" s="280"/>
      <c r="AV31" s="286">
        <f t="shared" si="7"/>
        <v>0</v>
      </c>
      <c r="AW31" s="280"/>
      <c r="AX31" s="278"/>
      <c r="AY31" s="278"/>
      <c r="AZ31" s="278"/>
      <c r="BA31" s="287"/>
      <c r="BB31" s="278"/>
      <c r="BC31" s="286">
        <f t="shared" si="8"/>
        <v>0</v>
      </c>
      <c r="BD31" s="278"/>
      <c r="BE31" s="278"/>
      <c r="BF31" s="278"/>
      <c r="BG31" s="278"/>
      <c r="BH31" s="286"/>
      <c r="BI31" s="286">
        <f t="shared" si="3"/>
        <v>0</v>
      </c>
      <c r="BJ31" s="278"/>
      <c r="BK31" s="278"/>
      <c r="BL31" s="278"/>
      <c r="BM31" s="278"/>
      <c r="BN31" s="278"/>
      <c r="BO31" s="278"/>
      <c r="BP31" s="280"/>
      <c r="BQ31" s="279"/>
      <c r="BR31" s="286">
        <f>BS31/IF(Nøgletal!K360&gt;0,Nøgletal!K360,1)*Nøgletal!J360</f>
        <v>0</v>
      </c>
      <c r="BS31" s="286">
        <f>BS$27*Nøgletal!J320</f>
        <v>0</v>
      </c>
      <c r="BT31" s="278"/>
      <c r="BU31" s="280"/>
      <c r="BV31" s="280"/>
      <c r="BW31" s="280"/>
      <c r="BX31" s="280"/>
      <c r="BY31" s="124">
        <f t="shared" si="35"/>
        <v>0</v>
      </c>
      <c r="BZ31" s="123">
        <f>(C31*Emissionsfaktorer!$E$4+E31*Emissionsfaktorer!$E$3+F31*Emissionsfaktorer!$E$5+H31*Emissionsfaktorer!$E$7+I31*Emissionsfaktorer!$E$8+J31*Emissionsfaktorer!$E$9+K31*Emissionsfaktorer!$E$10+L31*Emissionsfaktorer!$E$11+M31*Emissionsfaktorer!$E$12)*-1*(1-Nøgletal!$J$315)+T31*Emissionsfaktorer!$E$13*Nøgletal!$J$315</f>
        <v>0</v>
      </c>
      <c r="CA31" s="231"/>
      <c r="CB31" s="231"/>
      <c r="CC31" s="231"/>
      <c r="CD31" s="231"/>
    </row>
    <row r="32" spans="1:82" x14ac:dyDescent="0.25">
      <c r="A32" s="231"/>
      <c r="B32" s="31"/>
      <c r="C32" s="278"/>
      <c r="D32" s="278"/>
      <c r="E32" s="278"/>
      <c r="F32" s="278"/>
      <c r="G32" s="278">
        <f t="shared" si="29"/>
        <v>0</v>
      </c>
      <c r="H32" s="278"/>
      <c r="I32" s="278"/>
      <c r="J32" s="278"/>
      <c r="K32" s="278"/>
      <c r="L32" s="278"/>
      <c r="M32" s="278"/>
      <c r="N32" s="278">
        <f t="shared" si="32"/>
        <v>0</v>
      </c>
      <c r="O32" s="278"/>
      <c r="P32" s="278"/>
      <c r="Q32" s="278"/>
      <c r="R32" s="278"/>
      <c r="S32" s="278">
        <f>AO32*(1-1/IF(Nøgletal!K361&gt;0,Nøgletal!K361,1))</f>
        <v>0</v>
      </c>
      <c r="T32" s="278">
        <f t="shared" si="30"/>
        <v>0</v>
      </c>
      <c r="U32" s="278"/>
      <c r="V32" s="278"/>
      <c r="W32" s="278"/>
      <c r="X32" s="278"/>
      <c r="Y32" s="278"/>
      <c r="Z32" s="278"/>
      <c r="AA32" s="278"/>
      <c r="AB32" s="278"/>
      <c r="AC32" s="278">
        <f>-AO32/Nøgletal!K514/(1-Nøgletal!J294)</f>
        <v>0</v>
      </c>
      <c r="AD32" s="278"/>
      <c r="AE32" s="278"/>
      <c r="AF32" s="278"/>
      <c r="AG32" s="278"/>
      <c r="AH32" s="278"/>
      <c r="AI32" s="278"/>
      <c r="AJ32" s="105">
        <f>SUM(C32:G32,N32,T32,AC32:AG32)</f>
        <v>0</v>
      </c>
      <c r="AK32" s="260" t="s">
        <v>181</v>
      </c>
      <c r="AL32" s="25" t="s">
        <v>182</v>
      </c>
      <c r="AM32" s="98" t="s">
        <v>172</v>
      </c>
      <c r="AN32" s="37"/>
      <c r="AO32" s="38">
        <f t="shared" si="1"/>
        <v>0</v>
      </c>
      <c r="AP32" s="37">
        <f t="shared" si="6"/>
        <v>0</v>
      </c>
      <c r="AQ32" s="31"/>
      <c r="AR32" s="278"/>
      <c r="AS32" s="278"/>
      <c r="AT32" s="278"/>
      <c r="AU32" s="280"/>
      <c r="AV32" s="286">
        <f t="shared" si="7"/>
        <v>0</v>
      </c>
      <c r="AW32" s="278"/>
      <c r="AX32" s="278"/>
      <c r="AY32" s="278"/>
      <c r="AZ32" s="278"/>
      <c r="BA32" s="287"/>
      <c r="BB32" s="278"/>
      <c r="BC32" s="286">
        <f t="shared" si="8"/>
        <v>0</v>
      </c>
      <c r="BD32" s="278"/>
      <c r="BE32" s="278"/>
      <c r="BF32" s="278"/>
      <c r="BG32" s="278"/>
      <c r="BH32" s="286"/>
      <c r="BI32" s="286">
        <f t="shared" si="3"/>
        <v>0</v>
      </c>
      <c r="BJ32" s="278"/>
      <c r="BK32" s="278"/>
      <c r="BL32" s="278"/>
      <c r="BM32" s="278"/>
      <c r="BN32" s="278"/>
      <c r="BO32" s="278"/>
      <c r="BP32" s="280"/>
      <c r="BQ32" s="279"/>
      <c r="BR32" s="286"/>
      <c r="BS32" s="286">
        <f>BS$27*Nøgletal!J321</f>
        <v>0</v>
      </c>
      <c r="BT32" s="278"/>
      <c r="BU32" s="280"/>
      <c r="BV32" s="280"/>
      <c r="BW32" s="280"/>
      <c r="BX32" s="280"/>
      <c r="BY32" s="124">
        <f t="shared" si="35"/>
        <v>0</v>
      </c>
      <c r="BZ32" s="123">
        <f>(C32*Emissionsfaktorer!$E$4+E32*Emissionsfaktorer!$E$3+F32*Emissionsfaktorer!$E$5+H32*Emissionsfaktorer!$E$7+I32*Emissionsfaktorer!$E$8+J32*Emissionsfaktorer!$E$9+K32*Emissionsfaktorer!$E$10+L32*Emissionsfaktorer!$E$11+M32*Emissionsfaktorer!$E$12)*-1*(1-Nøgletal!$J$315)+T32*Emissionsfaktorer!$E$13*Nøgletal!$J$315</f>
        <v>0</v>
      </c>
      <c r="CA32" s="231"/>
      <c r="CB32" s="231"/>
      <c r="CC32" s="231"/>
      <c r="CD32" s="231"/>
    </row>
    <row r="33" spans="1:82" x14ac:dyDescent="0.25">
      <c r="A33" s="231"/>
      <c r="B33" s="31"/>
      <c r="C33" s="278"/>
      <c r="D33" s="278"/>
      <c r="E33" s="278"/>
      <c r="F33" s="278"/>
      <c r="G33" s="278">
        <f t="shared" si="29"/>
        <v>0</v>
      </c>
      <c r="H33" s="278"/>
      <c r="I33" s="278"/>
      <c r="J33" s="278"/>
      <c r="K33" s="278"/>
      <c r="L33" s="278"/>
      <c r="M33" s="278"/>
      <c r="N33" s="278">
        <f t="shared" si="32"/>
        <v>0</v>
      </c>
      <c r="O33" s="278"/>
      <c r="P33" s="278"/>
      <c r="Q33" s="278"/>
      <c r="R33" s="278"/>
      <c r="S33" s="278"/>
      <c r="T33" s="278">
        <f t="shared" si="30"/>
        <v>0</v>
      </c>
      <c r="U33" s="278"/>
      <c r="V33" s="278"/>
      <c r="W33" s="278"/>
      <c r="X33" s="278"/>
      <c r="Y33" s="278"/>
      <c r="Z33" s="278"/>
      <c r="AA33" s="278"/>
      <c r="AB33" s="278"/>
      <c r="AC33" s="278">
        <f>AJ33</f>
        <v>0</v>
      </c>
      <c r="AD33" s="278"/>
      <c r="AE33" s="278"/>
      <c r="AF33" s="278"/>
      <c r="AG33" s="278"/>
      <c r="AH33" s="278"/>
      <c r="AI33" s="278"/>
      <c r="AJ33" s="105">
        <f>-AO33/IF(Nøgletal!J362+Nøgletal!K362&gt;0,Nøgletal!J362+Nøgletal!K362,1)/(1-Nøgletal!J294)</f>
        <v>0</v>
      </c>
      <c r="AK33" s="260" t="s">
        <v>183</v>
      </c>
      <c r="AL33" s="27" t="s">
        <v>184</v>
      </c>
      <c r="AM33" s="98" t="s">
        <v>172</v>
      </c>
      <c r="AN33" s="37"/>
      <c r="AO33" s="38">
        <f t="shared" si="1"/>
        <v>0</v>
      </c>
      <c r="AP33" s="37">
        <f t="shared" si="6"/>
        <v>0</v>
      </c>
      <c r="AQ33" s="31"/>
      <c r="AR33" s="278"/>
      <c r="AS33" s="278"/>
      <c r="AT33" s="278"/>
      <c r="AU33" s="285"/>
      <c r="AV33" s="286">
        <f t="shared" si="7"/>
        <v>0</v>
      </c>
      <c r="AW33" s="278"/>
      <c r="AX33" s="278"/>
      <c r="AY33" s="278"/>
      <c r="AZ33" s="278"/>
      <c r="BA33" s="290"/>
      <c r="BB33" s="278"/>
      <c r="BC33" s="286">
        <f t="shared" si="8"/>
        <v>0</v>
      </c>
      <c r="BD33" s="278"/>
      <c r="BE33" s="278"/>
      <c r="BF33" s="278"/>
      <c r="BG33" s="278"/>
      <c r="BH33" s="278"/>
      <c r="BI33" s="286">
        <f t="shared" si="3"/>
        <v>0</v>
      </c>
      <c r="BJ33" s="278"/>
      <c r="BK33" s="278"/>
      <c r="BL33" s="278"/>
      <c r="BM33" s="278"/>
      <c r="BN33" s="278"/>
      <c r="BO33" s="278"/>
      <c r="BP33" s="285"/>
      <c r="BQ33" s="279"/>
      <c r="BR33" s="286"/>
      <c r="BS33" s="286">
        <f>BS$27*Nøgletal!J322</f>
        <v>0</v>
      </c>
      <c r="BT33" s="278"/>
      <c r="BU33" s="280"/>
      <c r="BV33" s="280"/>
      <c r="BW33" s="285"/>
      <c r="BX33" s="285"/>
      <c r="BY33" s="124">
        <f t="shared" si="35"/>
        <v>0</v>
      </c>
      <c r="BZ33" s="123">
        <f>(C33*Emissionsfaktorer!$E$4+E33*Emissionsfaktorer!$E$3+F33*Emissionsfaktorer!$E$5+H33*Emissionsfaktorer!$E$7+I33*Emissionsfaktorer!$E$8+J33*Emissionsfaktorer!$E$9+K33*Emissionsfaktorer!$E$10+L33*Emissionsfaktorer!$E$11+M33*Emissionsfaktorer!$E$12)*-1*(1-Nøgletal!$J$315)+T33*Emissionsfaktorer!$E$13*Nøgletal!$J$315</f>
        <v>0</v>
      </c>
      <c r="CA33" s="231"/>
      <c r="CB33" s="231"/>
      <c r="CC33" s="231"/>
      <c r="CD33" s="231"/>
    </row>
    <row r="34" spans="1:82" x14ac:dyDescent="0.25">
      <c r="A34" s="231"/>
      <c r="B34" s="31"/>
      <c r="C34" s="278"/>
      <c r="D34" s="278"/>
      <c r="E34" s="278"/>
      <c r="F34" s="278"/>
      <c r="G34" s="278">
        <f t="shared" si="29"/>
        <v>0</v>
      </c>
      <c r="H34" s="278"/>
      <c r="I34" s="278"/>
      <c r="J34" s="278"/>
      <c r="K34" s="278"/>
      <c r="L34" s="278"/>
      <c r="M34" s="278"/>
      <c r="N34" s="278">
        <f t="shared" si="32"/>
        <v>0</v>
      </c>
      <c r="O34" s="278"/>
      <c r="P34" s="278"/>
      <c r="Q34" s="278">
        <f>AJ34</f>
        <v>0</v>
      </c>
      <c r="R34" s="278"/>
      <c r="S34" s="278"/>
      <c r="T34" s="278">
        <f t="shared" si="30"/>
        <v>0</v>
      </c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105">
        <f>-AO34/IF(Nøgletal!J363+Nøgletal!K363&gt;0,Nøgletal!J363+Nøgletal!K363,1)</f>
        <v>0</v>
      </c>
      <c r="AK34" s="260" t="s">
        <v>185</v>
      </c>
      <c r="AL34" s="25" t="s">
        <v>186</v>
      </c>
      <c r="AM34" s="98" t="s">
        <v>172</v>
      </c>
      <c r="AN34" s="37"/>
      <c r="AO34" s="38">
        <f t="shared" si="1"/>
        <v>0</v>
      </c>
      <c r="AP34" s="37">
        <f t="shared" si="6"/>
        <v>0</v>
      </c>
      <c r="AQ34" s="31"/>
      <c r="AR34" s="278"/>
      <c r="AS34" s="278"/>
      <c r="AT34" s="278"/>
      <c r="AU34" s="280"/>
      <c r="AV34" s="286">
        <f t="shared" si="7"/>
        <v>0</v>
      </c>
      <c r="AW34" s="278"/>
      <c r="AX34" s="278"/>
      <c r="AY34" s="278"/>
      <c r="AZ34" s="278"/>
      <c r="BA34" s="290"/>
      <c r="BB34" s="278"/>
      <c r="BC34" s="286">
        <f t="shared" si="8"/>
        <v>0</v>
      </c>
      <c r="BD34" s="278"/>
      <c r="BE34" s="278"/>
      <c r="BF34" s="278"/>
      <c r="BG34" s="278"/>
      <c r="BH34" s="278"/>
      <c r="BI34" s="286">
        <f t="shared" si="3"/>
        <v>0</v>
      </c>
      <c r="BJ34" s="278"/>
      <c r="BK34" s="278"/>
      <c r="BL34" s="278"/>
      <c r="BM34" s="278"/>
      <c r="BN34" s="278"/>
      <c r="BO34" s="278"/>
      <c r="BP34" s="280"/>
      <c r="BQ34" s="279"/>
      <c r="BR34" s="286">
        <f>BS34/IF(Nøgletal!K363&gt;0,Nøgletal!K363,1)*Nøgletal!J363</f>
        <v>0</v>
      </c>
      <c r="BS34" s="286">
        <f>BS$27*Nøgletal!J323</f>
        <v>0</v>
      </c>
      <c r="BT34" s="278"/>
      <c r="BU34" s="280"/>
      <c r="BV34" s="280"/>
      <c r="BW34" s="280"/>
      <c r="BX34" s="280"/>
      <c r="BY34" s="124">
        <f t="shared" si="35"/>
        <v>0</v>
      </c>
      <c r="BZ34" s="123">
        <f>(C34*Emissionsfaktorer!$E$4+E34*Emissionsfaktorer!$E$3+F34*Emissionsfaktorer!$E$5+H34*Emissionsfaktorer!$E$7+I34*Emissionsfaktorer!$E$8+J34*Emissionsfaktorer!$E$9+K34*Emissionsfaktorer!$E$10+L34*Emissionsfaktorer!$E$11+M34*Emissionsfaktorer!$E$12)*-1*(1-Nøgletal!$J$315)+T34*Emissionsfaktorer!$E$13*Nøgletal!$J$315</f>
        <v>0</v>
      </c>
      <c r="CA34" s="231"/>
      <c r="CB34" s="231"/>
      <c r="CC34" s="231"/>
      <c r="CD34" s="231"/>
    </row>
    <row r="35" spans="1:82" x14ac:dyDescent="0.25">
      <c r="A35" s="231"/>
      <c r="B35" s="31"/>
      <c r="C35" s="278">
        <f>AJ35*Nøgletal!J518</f>
        <v>0</v>
      </c>
      <c r="D35" s="278"/>
      <c r="E35" s="278">
        <f>AJ35*Nøgletal!J520</f>
        <v>0</v>
      </c>
      <c r="F35" s="278"/>
      <c r="G35" s="278">
        <f t="shared" si="29"/>
        <v>0</v>
      </c>
      <c r="H35" s="278"/>
      <c r="I35" s="278">
        <f>AJ35*Nøgletal!J519</f>
        <v>0</v>
      </c>
      <c r="J35" s="278"/>
      <c r="K35" s="278"/>
      <c r="L35" s="278"/>
      <c r="M35" s="278"/>
      <c r="N35" s="278">
        <f t="shared" si="32"/>
        <v>0</v>
      </c>
      <c r="O35" s="278"/>
      <c r="P35" s="278"/>
      <c r="Q35" s="278"/>
      <c r="R35" s="278"/>
      <c r="S35" s="278"/>
      <c r="T35" s="278">
        <f t="shared" si="30"/>
        <v>0</v>
      </c>
      <c r="U35" s="278">
        <f>AJ35*Nøgletal!J521</f>
        <v>0</v>
      </c>
      <c r="V35" s="278">
        <f>AJ35*Nøgletal!J522</f>
        <v>0</v>
      </c>
      <c r="W35" s="278">
        <f>AJ35*Nøgletal!J523</f>
        <v>0</v>
      </c>
      <c r="X35" s="278">
        <f>AJ35*Nøgletal!J524</f>
        <v>0</v>
      </c>
      <c r="Y35" s="278">
        <f>AJ35*Nøgletal!J525</f>
        <v>0</v>
      </c>
      <c r="Z35" s="278"/>
      <c r="AA35" s="278"/>
      <c r="AB35" s="278">
        <f>AJ35*Nøgletal!J526</f>
        <v>0</v>
      </c>
      <c r="AC35" s="280"/>
      <c r="AD35" s="280"/>
      <c r="AE35" s="280"/>
      <c r="AF35" s="280"/>
      <c r="AG35" s="280"/>
      <c r="AH35" s="280"/>
      <c r="AI35" s="280"/>
      <c r="AJ35" s="105">
        <f>-AO35/IF(Nøgletal!J364+Nøgletal!K364&gt;0,Nøgletal!J364+Nøgletal!K364,1)</f>
        <v>0</v>
      </c>
      <c r="AK35" s="260" t="s">
        <v>187</v>
      </c>
      <c r="AL35" s="17" t="s">
        <v>188</v>
      </c>
      <c r="AM35" s="98" t="s">
        <v>172</v>
      </c>
      <c r="AN35" s="37"/>
      <c r="AO35" s="38">
        <f t="shared" si="1"/>
        <v>0</v>
      </c>
      <c r="AP35" s="37">
        <f t="shared" si="6"/>
        <v>0</v>
      </c>
      <c r="AQ35" s="31"/>
      <c r="AR35" s="278"/>
      <c r="AS35" s="278"/>
      <c r="AT35" s="280"/>
      <c r="AU35" s="280"/>
      <c r="AV35" s="286">
        <f t="shared" si="7"/>
        <v>0</v>
      </c>
      <c r="AW35" s="280"/>
      <c r="AX35" s="280"/>
      <c r="AY35" s="280"/>
      <c r="AZ35" s="280"/>
      <c r="BA35" s="287"/>
      <c r="BB35" s="280"/>
      <c r="BC35" s="286">
        <f t="shared" si="8"/>
        <v>0</v>
      </c>
      <c r="BD35" s="280"/>
      <c r="BE35" s="280"/>
      <c r="BF35" s="280"/>
      <c r="BG35" s="280"/>
      <c r="BH35" s="286"/>
      <c r="BI35" s="286">
        <f t="shared" si="3"/>
        <v>0</v>
      </c>
      <c r="BJ35" s="278"/>
      <c r="BK35" s="280"/>
      <c r="BL35" s="280"/>
      <c r="BM35" s="280"/>
      <c r="BN35" s="280"/>
      <c r="BO35" s="280"/>
      <c r="BP35" s="280"/>
      <c r="BQ35" s="279"/>
      <c r="BR35" s="286">
        <f>BS35/IF(Nøgletal!K364&gt;0,Nøgletal!K364,1)*Nøgletal!J364</f>
        <v>0</v>
      </c>
      <c r="BS35" s="286">
        <f>BS$27*Nøgletal!J324</f>
        <v>0</v>
      </c>
      <c r="BT35" s="280"/>
      <c r="BU35" s="280"/>
      <c r="BV35" s="280"/>
      <c r="BW35" s="280"/>
      <c r="BX35" s="280"/>
      <c r="BY35" s="124">
        <f t="shared" si="35"/>
        <v>0</v>
      </c>
      <c r="BZ35" s="123">
        <f>(C35*Emissionsfaktorer!$E$4+E35*Emissionsfaktorer!$E$3+F35*Emissionsfaktorer!$E$5+H35*Emissionsfaktorer!$E$7+I35*Emissionsfaktorer!$E$8+J35*Emissionsfaktorer!$E$9+K35*Emissionsfaktorer!$E$10+L35*Emissionsfaktorer!$E$11+M35*Emissionsfaktorer!$E$12)*-1*(1-Nøgletal!$J$315)+T35*Emissionsfaktorer!$E$13*Nøgletal!$J$315</f>
        <v>0</v>
      </c>
      <c r="CA35" s="231"/>
      <c r="CB35" s="231"/>
      <c r="CC35" s="231"/>
      <c r="CD35" s="231"/>
    </row>
    <row r="36" spans="1:82" x14ac:dyDescent="0.25">
      <c r="A36" s="231"/>
      <c r="B36" s="31"/>
      <c r="C36" s="278"/>
      <c r="D36" s="278"/>
      <c r="E36" s="278"/>
      <c r="F36" s="278"/>
      <c r="G36" s="278">
        <f t="shared" si="29"/>
        <v>0</v>
      </c>
      <c r="H36" s="278"/>
      <c r="I36" s="278"/>
      <c r="J36" s="278"/>
      <c r="K36" s="278"/>
      <c r="L36" s="278"/>
      <c r="M36" s="278"/>
      <c r="N36" s="278">
        <f t="shared" si="32"/>
        <v>0</v>
      </c>
      <c r="O36" s="278"/>
      <c r="P36" s="278"/>
      <c r="Q36" s="278"/>
      <c r="R36" s="278"/>
      <c r="S36" s="278"/>
      <c r="T36" s="278">
        <f t="shared" si="30"/>
        <v>0</v>
      </c>
      <c r="U36" s="278"/>
      <c r="V36" s="278"/>
      <c r="W36" s="278"/>
      <c r="X36" s="278"/>
      <c r="Y36" s="278"/>
      <c r="Z36" s="278"/>
      <c r="AA36" s="278"/>
      <c r="AB36" s="278"/>
      <c r="AC36" s="280"/>
      <c r="AD36" s="280"/>
      <c r="AE36" s="280"/>
      <c r="AF36" s="280"/>
      <c r="AG36" s="280"/>
      <c r="AH36" s="280"/>
      <c r="AI36" s="280"/>
      <c r="AJ36" s="105">
        <f>SUM(C36:G36,N36,T36,AC36:AG36)</f>
        <v>0</v>
      </c>
      <c r="AK36" s="260" t="s">
        <v>189</v>
      </c>
      <c r="AL36" s="17" t="s">
        <v>190</v>
      </c>
      <c r="AM36" s="98" t="s">
        <v>172</v>
      </c>
      <c r="AN36" s="37"/>
      <c r="AO36" s="38">
        <f t="shared" si="1"/>
        <v>0</v>
      </c>
      <c r="AP36" s="37">
        <f t="shared" si="6"/>
        <v>0</v>
      </c>
      <c r="AQ36" s="31"/>
      <c r="AR36" s="280"/>
      <c r="AS36" s="280"/>
      <c r="AT36" s="280"/>
      <c r="AU36" s="280"/>
      <c r="AV36" s="286">
        <f t="shared" si="7"/>
        <v>0</v>
      </c>
      <c r="AW36" s="280"/>
      <c r="AX36" s="280"/>
      <c r="AY36" s="280"/>
      <c r="AZ36" s="280"/>
      <c r="BA36" s="287"/>
      <c r="BB36" s="280"/>
      <c r="BC36" s="286">
        <f t="shared" si="8"/>
        <v>0</v>
      </c>
      <c r="BD36" s="280"/>
      <c r="BE36" s="280"/>
      <c r="BF36" s="280"/>
      <c r="BG36" s="280"/>
      <c r="BH36" s="286"/>
      <c r="BI36" s="286">
        <f t="shared" si="3"/>
        <v>0</v>
      </c>
      <c r="BJ36" s="278"/>
      <c r="BK36" s="280"/>
      <c r="BL36" s="280"/>
      <c r="BM36" s="280"/>
      <c r="BN36" s="280"/>
      <c r="BO36" s="280"/>
      <c r="BP36" s="280"/>
      <c r="BQ36" s="279"/>
      <c r="BR36" s="291"/>
      <c r="BS36" s="289"/>
      <c r="BT36" s="280"/>
      <c r="BU36" s="280"/>
      <c r="BV36" s="280"/>
      <c r="BW36" s="280"/>
      <c r="BX36" s="280"/>
      <c r="BY36" s="124">
        <f t="shared" si="35"/>
        <v>0</v>
      </c>
      <c r="BZ36" s="123">
        <f>(C36*Emissionsfaktorer!$E$4+E36*Emissionsfaktorer!$E$3+F36*Emissionsfaktorer!$E$5+H36*Emissionsfaktorer!$E$7+I36*Emissionsfaktorer!$E$8+J36*Emissionsfaktorer!$E$9+K36*Emissionsfaktorer!$E$10+L36*Emissionsfaktorer!$E$11+M36*Emissionsfaktorer!$E$12)*-1*(1-Nøgletal!$J$315)+T36*Emissionsfaktorer!$E$13*Nøgletal!$J$315</f>
        <v>0</v>
      </c>
      <c r="CA36" s="231"/>
      <c r="CB36" s="231"/>
      <c r="CC36" s="231"/>
      <c r="CD36" s="231"/>
    </row>
    <row r="37" spans="1:82" x14ac:dyDescent="0.25">
      <c r="A37" s="231"/>
      <c r="B37" s="31"/>
      <c r="C37" s="23">
        <f>SUM(C38:C40)</f>
        <v>0</v>
      </c>
      <c r="D37" s="23"/>
      <c r="E37" s="23">
        <f>SUM(E38:E40)</f>
        <v>0</v>
      </c>
      <c r="F37" s="23">
        <f>SUM(F38:F40)</f>
        <v>0</v>
      </c>
      <c r="G37" s="23">
        <f t="shared" ref="G37:AH37" si="36">SUM(G38:G40)</f>
        <v>0</v>
      </c>
      <c r="H37" s="23">
        <f t="shared" si="36"/>
        <v>0</v>
      </c>
      <c r="I37" s="23">
        <f t="shared" si="36"/>
        <v>0</v>
      </c>
      <c r="J37" s="23">
        <f t="shared" si="36"/>
        <v>0</v>
      </c>
      <c r="K37" s="23">
        <f t="shared" si="36"/>
        <v>0</v>
      </c>
      <c r="L37" s="23">
        <f t="shared" si="36"/>
        <v>0</v>
      </c>
      <c r="M37" s="23">
        <f t="shared" si="36"/>
        <v>0</v>
      </c>
      <c r="N37" s="23">
        <f t="shared" si="36"/>
        <v>0</v>
      </c>
      <c r="O37" s="23">
        <f t="shared" si="36"/>
        <v>0</v>
      </c>
      <c r="P37" s="23">
        <f t="shared" si="36"/>
        <v>0</v>
      </c>
      <c r="Q37" s="23">
        <f t="shared" si="36"/>
        <v>0</v>
      </c>
      <c r="R37" s="23">
        <f t="shared" si="36"/>
        <v>0</v>
      </c>
      <c r="S37" s="23">
        <f t="shared" si="36"/>
        <v>0</v>
      </c>
      <c r="T37" s="23">
        <f t="shared" si="36"/>
        <v>-9.2000000000000011</v>
      </c>
      <c r="U37" s="23">
        <f t="shared" si="36"/>
        <v>0</v>
      </c>
      <c r="V37" s="23">
        <f t="shared" si="36"/>
        <v>0</v>
      </c>
      <c r="W37" s="23">
        <f t="shared" si="36"/>
        <v>0</v>
      </c>
      <c r="X37" s="23">
        <f t="shared" si="36"/>
        <v>0</v>
      </c>
      <c r="Y37" s="23">
        <f t="shared" si="36"/>
        <v>0</v>
      </c>
      <c r="Z37" s="23">
        <f t="shared" si="36"/>
        <v>0</v>
      </c>
      <c r="AA37" s="23">
        <f t="shared" si="36"/>
        <v>0</v>
      </c>
      <c r="AB37" s="23">
        <f t="shared" si="36"/>
        <v>-9.2000000000000011</v>
      </c>
      <c r="AC37" s="23">
        <f t="shared" si="36"/>
        <v>0</v>
      </c>
      <c r="AD37" s="23">
        <f t="shared" si="36"/>
        <v>0</v>
      </c>
      <c r="AE37" s="23">
        <f t="shared" si="36"/>
        <v>0</v>
      </c>
      <c r="AF37" s="23">
        <f t="shared" si="36"/>
        <v>0</v>
      </c>
      <c r="AG37" s="23">
        <f t="shared" si="36"/>
        <v>0</v>
      </c>
      <c r="AH37" s="23">
        <f t="shared" si="36"/>
        <v>0</v>
      </c>
      <c r="AI37" s="23"/>
      <c r="AJ37" s="105">
        <f>SUM(C37:G37,N37,T37,AC37:AG37)</f>
        <v>-9.2000000000000011</v>
      </c>
      <c r="AK37" s="48" t="s">
        <v>191</v>
      </c>
      <c r="AL37" s="17" t="s">
        <v>192</v>
      </c>
      <c r="AM37" s="25" t="s">
        <v>559</v>
      </c>
      <c r="AN37" s="37">
        <f>'Størrelse på strømme'!E41</f>
        <v>0</v>
      </c>
      <c r="AO37" s="38">
        <f t="shared" si="1"/>
        <v>2.7692000000000001</v>
      </c>
      <c r="AP37" s="37">
        <f t="shared" si="6"/>
        <v>0.30099999999999999</v>
      </c>
      <c r="AQ37" s="31"/>
      <c r="AR37" s="23">
        <f>SUM(AR38:AR40)</f>
        <v>0</v>
      </c>
      <c r="AS37" s="23"/>
      <c r="AT37" s="23">
        <f>SUM(AT38:AT40)</f>
        <v>0</v>
      </c>
      <c r="AU37" s="23">
        <f>SUM(AU38:AU40)</f>
        <v>0</v>
      </c>
      <c r="AV37" s="91">
        <f t="shared" si="7"/>
        <v>0</v>
      </c>
      <c r="AW37" s="23">
        <f t="shared" ref="AW37:BZ37" si="37">SUM(AW38:AW40)</f>
        <v>0</v>
      </c>
      <c r="AX37" s="23">
        <f t="shared" si="37"/>
        <v>0</v>
      </c>
      <c r="AY37" s="23">
        <f t="shared" si="37"/>
        <v>0</v>
      </c>
      <c r="AZ37" s="23">
        <f t="shared" si="37"/>
        <v>0</v>
      </c>
      <c r="BA37" s="23">
        <f t="shared" si="37"/>
        <v>0</v>
      </c>
      <c r="BB37" s="23">
        <f t="shared" si="37"/>
        <v>0</v>
      </c>
      <c r="BC37" s="91">
        <f t="shared" si="8"/>
        <v>0</v>
      </c>
      <c r="BD37" s="23">
        <f t="shared" si="37"/>
        <v>0</v>
      </c>
      <c r="BE37" s="23">
        <f t="shared" si="37"/>
        <v>0</v>
      </c>
      <c r="BF37" s="23">
        <f t="shared" si="37"/>
        <v>0</v>
      </c>
      <c r="BG37" s="23">
        <f t="shared" si="37"/>
        <v>0</v>
      </c>
      <c r="BH37" s="23">
        <f t="shared" si="37"/>
        <v>0</v>
      </c>
      <c r="BI37" s="91">
        <f t="shared" si="3"/>
        <v>0</v>
      </c>
      <c r="BJ37" s="23">
        <f t="shared" si="37"/>
        <v>0</v>
      </c>
      <c r="BK37" s="23">
        <f t="shared" si="37"/>
        <v>0</v>
      </c>
      <c r="BL37" s="23">
        <f t="shared" si="37"/>
        <v>0</v>
      </c>
      <c r="BM37" s="23">
        <f t="shared" si="37"/>
        <v>0</v>
      </c>
      <c r="BN37" s="23">
        <f t="shared" si="37"/>
        <v>0</v>
      </c>
      <c r="BO37" s="23">
        <f t="shared" si="37"/>
        <v>0</v>
      </c>
      <c r="BP37" s="23">
        <f t="shared" si="37"/>
        <v>0</v>
      </c>
      <c r="BQ37" s="23">
        <f t="shared" si="37"/>
        <v>0</v>
      </c>
      <c r="BR37" s="23">
        <f t="shared" si="37"/>
        <v>2.7692000000000001</v>
      </c>
      <c r="BS37" s="23">
        <f>Nøgletal!J271/(1-Nøgletal!J298)</f>
        <v>0</v>
      </c>
      <c r="BT37" s="23">
        <f>Nøgletal!K271/(1-Nøgletal!K298)</f>
        <v>0</v>
      </c>
      <c r="BU37" s="23">
        <f t="shared" si="37"/>
        <v>0</v>
      </c>
      <c r="BV37" s="23">
        <f t="shared" si="37"/>
        <v>0</v>
      </c>
      <c r="BW37" s="23">
        <f t="shared" si="37"/>
        <v>0</v>
      </c>
      <c r="BX37" s="23"/>
      <c r="BY37" s="126">
        <f t="shared" si="37"/>
        <v>6.4308000000000014</v>
      </c>
      <c r="BZ37" s="126">
        <f t="shared" si="37"/>
        <v>0</v>
      </c>
      <c r="CA37" s="231"/>
      <c r="CB37" s="231"/>
      <c r="CC37" s="231"/>
      <c r="CD37" s="231"/>
    </row>
    <row r="38" spans="1:82" x14ac:dyDescent="0.25">
      <c r="A38" s="231"/>
      <c r="B38" s="31"/>
      <c r="C38" s="278"/>
      <c r="D38" s="278"/>
      <c r="E38" s="278">
        <f>AJ38*Nøgletal!J532</f>
        <v>0</v>
      </c>
      <c r="F38" s="278"/>
      <c r="G38" s="278">
        <f t="shared" si="29"/>
        <v>0</v>
      </c>
      <c r="H38" s="278"/>
      <c r="I38" s="278">
        <f>AJ38*Nøgletal!J528</f>
        <v>0</v>
      </c>
      <c r="J38" s="278">
        <f>AJ38*Nøgletal!J529</f>
        <v>0</v>
      </c>
      <c r="K38" s="278">
        <f>AJ38*Nøgletal!J530</f>
        <v>0</v>
      </c>
      <c r="L38" s="278"/>
      <c r="M38" s="278">
        <f>AJ38*Nøgletal!J531</f>
        <v>0</v>
      </c>
      <c r="N38" s="278">
        <f t="shared" si="32"/>
        <v>0</v>
      </c>
      <c r="O38" s="278"/>
      <c r="P38" s="278"/>
      <c r="Q38" s="278"/>
      <c r="R38" s="278"/>
      <c r="S38" s="278"/>
      <c r="T38" s="278">
        <f t="shared" si="30"/>
        <v>-9.2000000000000011</v>
      </c>
      <c r="U38" s="278">
        <f>AJ38*Nøgletal!J533</f>
        <v>0</v>
      </c>
      <c r="V38" s="278">
        <f>Nøgletal!J534</f>
        <v>0</v>
      </c>
      <c r="W38" s="278">
        <f>AJ38*Nøgletal!J535</f>
        <v>0</v>
      </c>
      <c r="X38" s="278">
        <f>Nøgletal!J536</f>
        <v>0</v>
      </c>
      <c r="Y38" s="278">
        <f>AJ38*Nøgletal!J537</f>
        <v>0</v>
      </c>
      <c r="Z38" s="278"/>
      <c r="AA38" s="278"/>
      <c r="AB38" s="278">
        <f>AJ38*Nøgletal!J538</f>
        <v>-9.2000000000000011</v>
      </c>
      <c r="AC38" s="280"/>
      <c r="AD38" s="280"/>
      <c r="AE38" s="280"/>
      <c r="AF38" s="280"/>
      <c r="AG38" s="280"/>
      <c r="AH38" s="280"/>
      <c r="AI38" s="280"/>
      <c r="AJ38" s="105">
        <f>-AO38/IF(Nøgletal!J366+Nøgletal!K366&gt;0,Nøgletal!J366+Nøgletal!K366,1)</f>
        <v>-9.2000000000000011</v>
      </c>
      <c r="AK38" s="260" t="s">
        <v>193</v>
      </c>
      <c r="AL38" s="17" t="s">
        <v>194</v>
      </c>
      <c r="AM38" s="17" t="s">
        <v>192</v>
      </c>
      <c r="AN38" s="37"/>
      <c r="AO38" s="38">
        <f t="shared" si="1"/>
        <v>2.7692000000000001</v>
      </c>
      <c r="AP38" s="37">
        <f t="shared" si="6"/>
        <v>0.30099999999999999</v>
      </c>
      <c r="AQ38" s="31"/>
      <c r="AR38" s="280"/>
      <c r="AS38" s="280"/>
      <c r="AT38" s="280"/>
      <c r="AU38" s="280"/>
      <c r="AV38" s="286">
        <f t="shared" si="7"/>
        <v>0</v>
      </c>
      <c r="AW38" s="280"/>
      <c r="AX38" s="280"/>
      <c r="AY38" s="280"/>
      <c r="AZ38" s="280"/>
      <c r="BA38" s="287"/>
      <c r="BB38" s="280"/>
      <c r="BC38" s="286">
        <f t="shared" si="8"/>
        <v>0</v>
      </c>
      <c r="BD38" s="280"/>
      <c r="BE38" s="280"/>
      <c r="BF38" s="280"/>
      <c r="BG38" s="280"/>
      <c r="BH38" s="286"/>
      <c r="BI38" s="286">
        <f t="shared" si="3"/>
        <v>0</v>
      </c>
      <c r="BJ38" s="278"/>
      <c r="BK38" s="280"/>
      <c r="BL38" s="280"/>
      <c r="BM38" s="280"/>
      <c r="BN38" s="280"/>
      <c r="BO38" s="280"/>
      <c r="BP38" s="280"/>
      <c r="BQ38" s="279"/>
      <c r="BR38" s="288">
        <f>Nøgletal!J275</f>
        <v>2.7692000000000001</v>
      </c>
      <c r="BS38" s="292">
        <f>BS$37*Nøgletal!J327</f>
        <v>0</v>
      </c>
      <c r="BT38" s="280"/>
      <c r="BU38" s="280"/>
      <c r="BV38" s="280"/>
      <c r="BW38" s="280"/>
      <c r="BX38" s="280"/>
      <c r="BY38" s="124">
        <f>(AJ38+AO38)*-1</f>
        <v>6.4308000000000014</v>
      </c>
      <c r="BZ38" s="123">
        <f>(C38*Emissionsfaktorer!$E$4+E38*Emissionsfaktorer!$E$3+F38*Emissionsfaktorer!$E$5+H38*Emissionsfaktorer!$E$7+I38*Emissionsfaktorer!$E$8+J38*Emissionsfaktorer!$E$9+K38*Emissionsfaktorer!$E$10+L38*Emissionsfaktorer!$E$11+M38*Emissionsfaktorer!$E$12)*-1*(1-Nøgletal!$J$325)+T38*Emissionsfaktorer!$E$13*Nøgletal!$J$325</f>
        <v>0</v>
      </c>
      <c r="CA38" s="231"/>
      <c r="CB38" s="231"/>
      <c r="CC38" s="231"/>
      <c r="CD38" s="231"/>
    </row>
    <row r="39" spans="1:82" x14ac:dyDescent="0.25">
      <c r="A39" s="231"/>
      <c r="B39" s="31"/>
      <c r="C39" s="278">
        <f>AJ39*Nøgletal!J540</f>
        <v>0</v>
      </c>
      <c r="D39" s="278"/>
      <c r="E39" s="278">
        <f>AJ39*Nøgletal!J542</f>
        <v>0</v>
      </c>
      <c r="F39" s="278"/>
      <c r="G39" s="278">
        <f t="shared" si="29"/>
        <v>0</v>
      </c>
      <c r="H39" s="278"/>
      <c r="I39" s="278">
        <f>AJ39*Nøgletal!J541</f>
        <v>0</v>
      </c>
      <c r="J39" s="278"/>
      <c r="K39" s="278"/>
      <c r="L39" s="278"/>
      <c r="M39" s="278"/>
      <c r="N39" s="278">
        <f t="shared" si="32"/>
        <v>0</v>
      </c>
      <c r="O39" s="278"/>
      <c r="P39" s="278"/>
      <c r="Q39" s="278"/>
      <c r="R39" s="278"/>
      <c r="S39" s="278"/>
      <c r="T39" s="278">
        <f t="shared" si="30"/>
        <v>0</v>
      </c>
      <c r="U39" s="278">
        <f>AJ39*Nøgletal!J543</f>
        <v>0</v>
      </c>
      <c r="V39" s="278">
        <f>AJ39*Nøgletal!J544</f>
        <v>0</v>
      </c>
      <c r="W39" s="278">
        <f>AJ39*Nøgletal!J545</f>
        <v>0</v>
      </c>
      <c r="X39" s="278">
        <f>AJ39*Nøgletal!J547</f>
        <v>0</v>
      </c>
      <c r="Y39" s="278">
        <f>AJ39*Nøgletal!J548</f>
        <v>0</v>
      </c>
      <c r="Z39" s="278"/>
      <c r="AA39" s="278"/>
      <c r="AB39" s="278">
        <f>Nøgletal!J549</f>
        <v>0</v>
      </c>
      <c r="AC39" s="281"/>
      <c r="AD39" s="281"/>
      <c r="AE39" s="281"/>
      <c r="AF39" s="281"/>
      <c r="AG39" s="281"/>
      <c r="AH39" s="281"/>
      <c r="AI39" s="281"/>
      <c r="AJ39" s="105">
        <f>-AO39/IF(Nøgletal!J367+Nøgletal!K367&gt;0,Nøgletal!J367+Nøgletal!K367,1)</f>
        <v>0</v>
      </c>
      <c r="AK39" s="260" t="s">
        <v>195</v>
      </c>
      <c r="AL39" s="17" t="s">
        <v>196</v>
      </c>
      <c r="AM39" s="17" t="s">
        <v>192</v>
      </c>
      <c r="AN39" s="37"/>
      <c r="AO39" s="38">
        <f t="shared" si="1"/>
        <v>0</v>
      </c>
      <c r="AP39" s="37">
        <f t="shared" si="6"/>
        <v>0</v>
      </c>
      <c r="AQ39" s="31"/>
      <c r="AR39" s="293"/>
      <c r="AS39" s="293"/>
      <c r="AT39" s="293"/>
      <c r="AU39" s="280"/>
      <c r="AV39" s="286">
        <f t="shared" si="7"/>
        <v>0</v>
      </c>
      <c r="AW39" s="293"/>
      <c r="AX39" s="293"/>
      <c r="AY39" s="293"/>
      <c r="AZ39" s="293"/>
      <c r="BA39" s="287"/>
      <c r="BB39" s="293"/>
      <c r="BC39" s="286">
        <f t="shared" si="8"/>
        <v>0</v>
      </c>
      <c r="BD39" s="293"/>
      <c r="BE39" s="293"/>
      <c r="BF39" s="293"/>
      <c r="BG39" s="293"/>
      <c r="BH39" s="286"/>
      <c r="BI39" s="286">
        <f t="shared" si="3"/>
        <v>0</v>
      </c>
      <c r="BJ39" s="278"/>
      <c r="BK39" s="293"/>
      <c r="BL39" s="293"/>
      <c r="BM39" s="293"/>
      <c r="BN39" s="293"/>
      <c r="BO39" s="293"/>
      <c r="BP39" s="280"/>
      <c r="BQ39" s="279"/>
      <c r="BR39" s="288">
        <f>BS39/IF(Nøgletal!K367&gt;0,Nøgletal!K367,1)*Nøgletal!J367</f>
        <v>0</v>
      </c>
      <c r="BS39" s="292">
        <f>BS$37*Nøgletal!J328</f>
        <v>0</v>
      </c>
      <c r="BT39" s="281"/>
      <c r="BU39" s="280"/>
      <c r="BV39" s="280"/>
      <c r="BW39" s="280"/>
      <c r="BX39" s="280"/>
      <c r="BY39" s="124">
        <f>(AJ39+AO39)*-1</f>
        <v>0</v>
      </c>
      <c r="BZ39" s="123">
        <f>(C39*Emissionsfaktorer!$E$4+E39*Emissionsfaktorer!$E$3+F39*Emissionsfaktorer!$E$5+H39*Emissionsfaktorer!$E$7+I39*Emissionsfaktorer!$E$8+J39*Emissionsfaktorer!$E$9+K39*Emissionsfaktorer!$E$10+L39*Emissionsfaktorer!$E$11+M39*Emissionsfaktorer!$E$12)*-1*(1-Nøgletal!$J$325)+T39*Emissionsfaktorer!$E$13*Nøgletal!$J$325</f>
        <v>0</v>
      </c>
      <c r="CA39" s="231"/>
      <c r="CB39" s="231"/>
      <c r="CC39" s="231"/>
      <c r="CD39" s="231"/>
    </row>
    <row r="40" spans="1:82" x14ac:dyDescent="0.25">
      <c r="A40" s="231"/>
      <c r="B40" s="31"/>
      <c r="C40" s="278"/>
      <c r="D40" s="278"/>
      <c r="E40" s="278"/>
      <c r="F40" s="278"/>
      <c r="G40" s="278">
        <f t="shared" si="29"/>
        <v>0</v>
      </c>
      <c r="H40" s="278"/>
      <c r="I40" s="278"/>
      <c r="J40" s="278"/>
      <c r="K40" s="278"/>
      <c r="L40" s="278"/>
      <c r="M40" s="278"/>
      <c r="N40" s="278">
        <f t="shared" si="32"/>
        <v>0</v>
      </c>
      <c r="O40" s="278"/>
      <c r="P40" s="278"/>
      <c r="Q40" s="278"/>
      <c r="R40" s="278"/>
      <c r="S40" s="278"/>
      <c r="T40" s="278">
        <f t="shared" si="30"/>
        <v>0</v>
      </c>
      <c r="U40" s="278"/>
      <c r="V40" s="278"/>
      <c r="W40" s="278"/>
      <c r="X40" s="278"/>
      <c r="Y40" s="278"/>
      <c r="Z40" s="278"/>
      <c r="AA40" s="278"/>
      <c r="AB40" s="278"/>
      <c r="AC40" s="281"/>
      <c r="AD40" s="281"/>
      <c r="AE40" s="281"/>
      <c r="AF40" s="281"/>
      <c r="AG40" s="281"/>
      <c r="AH40" s="281"/>
      <c r="AI40" s="281"/>
      <c r="AJ40" s="105">
        <f>SUM(C40:G40,N40,T40,AC40:AG40)</f>
        <v>0</v>
      </c>
      <c r="AK40" s="260" t="s">
        <v>197</v>
      </c>
      <c r="AL40" s="17" t="s">
        <v>198</v>
      </c>
      <c r="AM40" s="17" t="s">
        <v>192</v>
      </c>
      <c r="AN40" s="37"/>
      <c r="AO40" s="38">
        <f t="shared" si="1"/>
        <v>0</v>
      </c>
      <c r="AP40" s="37">
        <f t="shared" si="6"/>
        <v>0</v>
      </c>
      <c r="AQ40" s="31"/>
      <c r="AR40" s="293"/>
      <c r="AS40" s="293"/>
      <c r="AT40" s="293"/>
      <c r="AU40" s="280"/>
      <c r="AV40" s="286">
        <f t="shared" si="7"/>
        <v>0</v>
      </c>
      <c r="AW40" s="293"/>
      <c r="AX40" s="293"/>
      <c r="AY40" s="293"/>
      <c r="AZ40" s="293"/>
      <c r="BA40" s="287"/>
      <c r="BB40" s="293"/>
      <c r="BC40" s="286">
        <f t="shared" si="8"/>
        <v>0</v>
      </c>
      <c r="BD40" s="293"/>
      <c r="BE40" s="293"/>
      <c r="BF40" s="293"/>
      <c r="BG40" s="293"/>
      <c r="BH40" s="286"/>
      <c r="BI40" s="286">
        <f t="shared" si="3"/>
        <v>0</v>
      </c>
      <c r="BJ40" s="278"/>
      <c r="BK40" s="293"/>
      <c r="BL40" s="293"/>
      <c r="BM40" s="293"/>
      <c r="BN40" s="293"/>
      <c r="BO40" s="293"/>
      <c r="BP40" s="280"/>
      <c r="BQ40" s="279"/>
      <c r="BR40" s="288"/>
      <c r="BS40" s="292"/>
      <c r="BT40" s="281"/>
      <c r="BU40" s="280"/>
      <c r="BV40" s="280"/>
      <c r="BW40" s="280"/>
      <c r="BX40" s="280"/>
      <c r="BY40" s="124">
        <f>(AJ40+AO40)*-1</f>
        <v>0</v>
      </c>
      <c r="BZ40" s="123">
        <f>(C40*Emissionsfaktorer!$E$4+E40*Emissionsfaktorer!$E$3+F40*Emissionsfaktorer!$E$5+H40*Emissionsfaktorer!$E$7+I40*Emissionsfaktorer!$E$8+J40*Emissionsfaktorer!$E$9+K40*Emissionsfaktorer!$E$10+L40*Emissionsfaktorer!$E$11+M40*Emissionsfaktorer!$E$12)*-1*(1-Nøgletal!$J$325)+T40*Emissionsfaktorer!$E$13*Nøgletal!$J$325</f>
        <v>0</v>
      </c>
      <c r="CA40" s="231"/>
      <c r="CB40" s="231"/>
      <c r="CC40" s="231"/>
      <c r="CD40" s="231"/>
    </row>
    <row r="41" spans="1:82" x14ac:dyDescent="0.25">
      <c r="A41" s="231"/>
      <c r="B41" s="31"/>
      <c r="C41" s="23">
        <f>SUM(C42:C45)</f>
        <v>0</v>
      </c>
      <c r="D41" s="23"/>
      <c r="E41" s="23">
        <f>SUM(E42:E45)</f>
        <v>0</v>
      </c>
      <c r="F41" s="23">
        <f>SUM(F42:F45)</f>
        <v>0</v>
      </c>
      <c r="G41" s="23">
        <f>SUM(H41:M41)</f>
        <v>0</v>
      </c>
      <c r="H41" s="23">
        <f>SUM(H42:H45)</f>
        <v>0</v>
      </c>
      <c r="I41" s="23">
        <f t="shared" ref="I41:AH41" si="38">SUM(I42:I45)</f>
        <v>0</v>
      </c>
      <c r="J41" s="23">
        <f t="shared" si="38"/>
        <v>0</v>
      </c>
      <c r="K41" s="23">
        <f t="shared" si="38"/>
        <v>0</v>
      </c>
      <c r="L41" s="23">
        <f t="shared" si="38"/>
        <v>0</v>
      </c>
      <c r="M41" s="23">
        <f t="shared" si="38"/>
        <v>0</v>
      </c>
      <c r="N41" s="23">
        <f t="shared" si="38"/>
        <v>0</v>
      </c>
      <c r="O41" s="23">
        <f t="shared" si="38"/>
        <v>0</v>
      </c>
      <c r="P41" s="23">
        <f t="shared" si="38"/>
        <v>0</v>
      </c>
      <c r="Q41" s="23">
        <f t="shared" si="38"/>
        <v>0</v>
      </c>
      <c r="R41" s="23">
        <f t="shared" si="38"/>
        <v>0</v>
      </c>
      <c r="S41" s="23">
        <f t="shared" si="38"/>
        <v>0</v>
      </c>
      <c r="T41" s="23">
        <f>SUM(U41:AB41)</f>
        <v>0</v>
      </c>
      <c r="U41" s="23">
        <f t="shared" si="38"/>
        <v>0</v>
      </c>
      <c r="V41" s="23">
        <f t="shared" si="38"/>
        <v>0</v>
      </c>
      <c r="W41" s="23">
        <f t="shared" si="38"/>
        <v>0</v>
      </c>
      <c r="X41" s="23">
        <f t="shared" si="38"/>
        <v>0</v>
      </c>
      <c r="Y41" s="23">
        <f t="shared" si="38"/>
        <v>0</v>
      </c>
      <c r="Z41" s="23">
        <f t="shared" si="38"/>
        <v>0</v>
      </c>
      <c r="AA41" s="23">
        <f t="shared" si="38"/>
        <v>0</v>
      </c>
      <c r="AB41" s="23">
        <f t="shared" si="38"/>
        <v>0</v>
      </c>
      <c r="AC41" s="23">
        <f t="shared" si="38"/>
        <v>0</v>
      </c>
      <c r="AD41" s="23">
        <f t="shared" si="38"/>
        <v>0</v>
      </c>
      <c r="AE41" s="23">
        <f t="shared" si="38"/>
        <v>0</v>
      </c>
      <c r="AF41" s="23">
        <f t="shared" si="38"/>
        <v>0</v>
      </c>
      <c r="AG41" s="23">
        <f t="shared" si="38"/>
        <v>0</v>
      </c>
      <c r="AH41" s="23">
        <f t="shared" si="38"/>
        <v>0</v>
      </c>
      <c r="AI41" s="23"/>
      <c r="AJ41" s="105">
        <f>SUM(C41:G41,N41,T41,AC41:AG41)</f>
        <v>0</v>
      </c>
      <c r="AK41" s="48" t="s">
        <v>161</v>
      </c>
      <c r="AL41" s="25" t="s">
        <v>162</v>
      </c>
      <c r="AM41" s="25" t="s">
        <v>559</v>
      </c>
      <c r="AN41" s="37">
        <f>'Størrelse på strømme'!E43</f>
        <v>0</v>
      </c>
      <c r="AO41" s="38">
        <f t="shared" si="1"/>
        <v>0</v>
      </c>
      <c r="AP41" s="37">
        <f>IF(AJ41=0,0,AO41/AJ41*-1)</f>
        <v>0</v>
      </c>
      <c r="AQ41" s="31"/>
      <c r="AR41" s="23">
        <f>SUM(AR42:AR45)</f>
        <v>0</v>
      </c>
      <c r="AS41" s="23"/>
      <c r="AT41" s="23">
        <f>SUM(AT42:AT45)</f>
        <v>0</v>
      </c>
      <c r="AU41" s="23">
        <f>SUM(AU42:AU45)</f>
        <v>0</v>
      </c>
      <c r="AV41" s="91">
        <f>SUM(AW41:BB41)</f>
        <v>0</v>
      </c>
      <c r="AW41" s="23">
        <f t="shared" ref="AW41:BZ41" si="39">SUM(AW42:AW45)</f>
        <v>0</v>
      </c>
      <c r="AX41" s="23">
        <f t="shared" si="39"/>
        <v>0</v>
      </c>
      <c r="AY41" s="23">
        <f t="shared" si="39"/>
        <v>0</v>
      </c>
      <c r="AZ41" s="23">
        <f t="shared" si="39"/>
        <v>0</v>
      </c>
      <c r="BA41" s="23">
        <f t="shared" si="39"/>
        <v>0</v>
      </c>
      <c r="BB41" s="23">
        <f t="shared" si="39"/>
        <v>0</v>
      </c>
      <c r="BC41" s="91">
        <f>SUM(BD41:BH41)</f>
        <v>0</v>
      </c>
      <c r="BD41" s="23">
        <f t="shared" si="39"/>
        <v>0</v>
      </c>
      <c r="BE41" s="23">
        <f t="shared" si="39"/>
        <v>0</v>
      </c>
      <c r="BF41" s="23">
        <f t="shared" si="39"/>
        <v>0</v>
      </c>
      <c r="BG41" s="23">
        <f t="shared" si="39"/>
        <v>0</v>
      </c>
      <c r="BH41" s="23">
        <f t="shared" si="39"/>
        <v>0</v>
      </c>
      <c r="BI41" s="91">
        <f>SUM(BJ41:BQ41)</f>
        <v>0</v>
      </c>
      <c r="BJ41" s="23">
        <f t="shared" si="39"/>
        <v>0</v>
      </c>
      <c r="BK41" s="23">
        <f t="shared" si="39"/>
        <v>0</v>
      </c>
      <c r="BL41" s="23">
        <f t="shared" si="39"/>
        <v>0</v>
      </c>
      <c r="BM41" s="23">
        <f t="shared" si="39"/>
        <v>0</v>
      </c>
      <c r="BN41" s="23">
        <f t="shared" si="39"/>
        <v>0</v>
      </c>
      <c r="BO41" s="23">
        <f t="shared" si="39"/>
        <v>0</v>
      </c>
      <c r="BP41" s="23">
        <f t="shared" si="39"/>
        <v>0</v>
      </c>
      <c r="BQ41" s="23">
        <f t="shared" si="39"/>
        <v>0</v>
      </c>
      <c r="BR41" s="23">
        <f t="shared" si="39"/>
        <v>0</v>
      </c>
      <c r="BS41" s="23">
        <f>Nøgletal!J269/(1-Nøgletal!J296)</f>
        <v>0</v>
      </c>
      <c r="BT41" s="23">
        <f>Nøgletal!K269/(1-Nøgletal!K296)</f>
        <v>0</v>
      </c>
      <c r="BU41" s="23">
        <f t="shared" si="39"/>
        <v>0</v>
      </c>
      <c r="BV41" s="23">
        <f t="shared" si="39"/>
        <v>0</v>
      </c>
      <c r="BW41" s="23">
        <f t="shared" si="39"/>
        <v>0</v>
      </c>
      <c r="BX41" s="23"/>
      <c r="BY41" s="126">
        <f t="shared" si="39"/>
        <v>0</v>
      </c>
      <c r="BZ41" s="126">
        <f t="shared" si="39"/>
        <v>0</v>
      </c>
      <c r="CA41" s="231"/>
      <c r="CB41" s="231"/>
      <c r="CC41" s="231"/>
      <c r="CD41" s="231"/>
    </row>
    <row r="42" spans="1:82" x14ac:dyDescent="0.25">
      <c r="A42" s="231"/>
      <c r="B42" s="31"/>
      <c r="C42" s="278"/>
      <c r="D42" s="278"/>
      <c r="E42" s="278"/>
      <c r="F42" s="278">
        <f>AJ42*Nøgletal!J469</f>
        <v>0</v>
      </c>
      <c r="G42" s="278">
        <f>SUM(H42:M42)</f>
        <v>0</v>
      </c>
      <c r="H42" s="278"/>
      <c r="I42" s="278"/>
      <c r="J42" s="278"/>
      <c r="K42" s="278"/>
      <c r="L42" s="278"/>
      <c r="M42" s="278"/>
      <c r="N42" s="278">
        <f>SUM(O42:S42)</f>
        <v>0</v>
      </c>
      <c r="O42" s="278"/>
      <c r="P42" s="278"/>
      <c r="Q42" s="278"/>
      <c r="R42" s="278"/>
      <c r="S42" s="278"/>
      <c r="T42" s="278">
        <f>SUM(U42:AB42)</f>
        <v>0</v>
      </c>
      <c r="U42" s="278"/>
      <c r="V42" s="278"/>
      <c r="W42" s="278"/>
      <c r="X42" s="278"/>
      <c r="Y42" s="278"/>
      <c r="Z42" s="278">
        <f>AJ42*Nøgletal!J467</f>
        <v>0</v>
      </c>
      <c r="AA42" s="278">
        <f>AJ42*Nøgletal!J468</f>
        <v>0</v>
      </c>
      <c r="AB42" s="278"/>
      <c r="AC42" s="278"/>
      <c r="AD42" s="278"/>
      <c r="AE42" s="278"/>
      <c r="AF42" s="278"/>
      <c r="AG42" s="278"/>
      <c r="AH42" s="278"/>
      <c r="AI42" s="278"/>
      <c r="AJ42" s="105">
        <f>-AO42/IF(Nøgletal!J353+Nøgletal!K353&gt;0,Nøgletal!J353+Nøgletal!K353,1)</f>
        <v>0</v>
      </c>
      <c r="AK42" s="260" t="s">
        <v>163</v>
      </c>
      <c r="AL42" s="25" t="s">
        <v>164</v>
      </c>
      <c r="AM42" s="25" t="s">
        <v>162</v>
      </c>
      <c r="AN42" s="37"/>
      <c r="AO42" s="38">
        <f t="shared" si="1"/>
        <v>0</v>
      </c>
      <c r="AP42" s="37">
        <f>IF(AJ42=0,0,AO42/AJ42*-1)</f>
        <v>0</v>
      </c>
      <c r="AQ42" s="31"/>
      <c r="AR42" s="278"/>
      <c r="AS42" s="278"/>
      <c r="AT42" s="278"/>
      <c r="AU42" s="289"/>
      <c r="AV42" s="286">
        <f>SUM(AW42:BB42)</f>
        <v>0</v>
      </c>
      <c r="AW42" s="278"/>
      <c r="AX42" s="278"/>
      <c r="AY42" s="278"/>
      <c r="AZ42" s="278"/>
      <c r="BA42" s="290"/>
      <c r="BB42" s="278"/>
      <c r="BC42" s="286">
        <f>SUM(BD42:BH42)</f>
        <v>0</v>
      </c>
      <c r="BD42" s="278"/>
      <c r="BE42" s="278"/>
      <c r="BF42" s="278"/>
      <c r="BG42" s="278"/>
      <c r="BH42" s="278"/>
      <c r="BI42" s="286">
        <f>SUM(BJ42:BQ42)</f>
        <v>0</v>
      </c>
      <c r="BJ42" s="278"/>
      <c r="BK42" s="278"/>
      <c r="BL42" s="278"/>
      <c r="BM42" s="278"/>
      <c r="BN42" s="278"/>
      <c r="BO42" s="278"/>
      <c r="BP42" s="289"/>
      <c r="BQ42" s="279"/>
      <c r="BR42" s="288">
        <f>BS42/IF(Nøgletal!K353&gt;0,Nøgletal!K353,1)*Nøgletal!J353</f>
        <v>0</v>
      </c>
      <c r="BS42" s="289">
        <f>BS$41*Nøgletal!J312</f>
        <v>0</v>
      </c>
      <c r="BT42" s="278"/>
      <c r="BU42" s="280"/>
      <c r="BV42" s="280"/>
      <c r="BW42" s="289"/>
      <c r="BX42" s="289"/>
      <c r="BY42" s="124">
        <f>(AJ42+AO42)*-1</f>
        <v>0</v>
      </c>
      <c r="BZ42" s="123">
        <f>(C42*Emissionsfaktorer!$E$4+E42*Emissionsfaktorer!$E$3+F42*Emissionsfaktorer!$E$5+H42*Emissionsfaktorer!$E$7+I42*Emissionsfaktorer!$E$8+J42*Emissionsfaktorer!$E$9+K42*Emissionsfaktorer!$E$10+L42*Emissionsfaktorer!$E$11+M42*Emissionsfaktorer!$E$12)*-1*(1-Nøgletal!$J$310)+T42*Emissionsfaktorer!$E$13*Nøgletal!$J$310</f>
        <v>0</v>
      </c>
      <c r="CA42" s="231"/>
      <c r="CB42" s="231"/>
      <c r="CC42" s="231"/>
      <c r="CD42" s="231"/>
    </row>
    <row r="43" spans="1:82" x14ac:dyDescent="0.25">
      <c r="A43" s="231"/>
      <c r="B43" s="31"/>
      <c r="C43" s="278"/>
      <c r="D43" s="278"/>
      <c r="E43" s="278"/>
      <c r="F43" s="278">
        <f>AJ43*Nøgletal!J473</f>
        <v>0</v>
      </c>
      <c r="G43" s="278">
        <f>SUM(H43:M43)</f>
        <v>0</v>
      </c>
      <c r="H43" s="278"/>
      <c r="I43" s="278"/>
      <c r="J43" s="278"/>
      <c r="K43" s="278"/>
      <c r="L43" s="278"/>
      <c r="M43" s="278"/>
      <c r="N43" s="278">
        <f>SUM(O43:S43)</f>
        <v>0</v>
      </c>
      <c r="O43" s="278"/>
      <c r="P43" s="278"/>
      <c r="Q43" s="278"/>
      <c r="R43" s="278"/>
      <c r="S43" s="278"/>
      <c r="T43" s="278">
        <f>SUM(U43:AB43)</f>
        <v>0</v>
      </c>
      <c r="U43" s="278"/>
      <c r="V43" s="278"/>
      <c r="W43" s="278"/>
      <c r="X43" s="278"/>
      <c r="Y43" s="278"/>
      <c r="Z43" s="278">
        <f>AJ43*Nøgletal!J471</f>
        <v>0</v>
      </c>
      <c r="AA43" s="278">
        <f>AJ43*Nøgletal!J472</f>
        <v>0</v>
      </c>
      <c r="AB43" s="278"/>
      <c r="AC43" s="282"/>
      <c r="AD43" s="282"/>
      <c r="AE43" s="282"/>
      <c r="AF43" s="282"/>
      <c r="AG43" s="282"/>
      <c r="AH43" s="282"/>
      <c r="AI43" s="282"/>
      <c r="AJ43" s="105">
        <f>-AO43/IF(Nøgletal!J354+Nøgletal!K354&gt;0,Nøgletal!J354+Nøgletal!K354,1)</f>
        <v>0</v>
      </c>
      <c r="AK43" s="260" t="s">
        <v>165</v>
      </c>
      <c r="AL43" s="25" t="s">
        <v>166</v>
      </c>
      <c r="AM43" s="25" t="s">
        <v>162</v>
      </c>
      <c r="AN43" s="37"/>
      <c r="AO43" s="38">
        <f t="shared" si="1"/>
        <v>0</v>
      </c>
      <c r="AP43" s="37">
        <f>IF(AJ43=0,0,AO43/AJ43*-1)</f>
        <v>0</v>
      </c>
      <c r="AQ43" s="31"/>
      <c r="AR43" s="282"/>
      <c r="AS43" s="282"/>
      <c r="AT43" s="282"/>
      <c r="AU43" s="279"/>
      <c r="AV43" s="286">
        <f>SUM(AW43:BB43)</f>
        <v>0</v>
      </c>
      <c r="AW43" s="282"/>
      <c r="AX43" s="282"/>
      <c r="AY43" s="282"/>
      <c r="AZ43" s="282"/>
      <c r="BA43" s="290"/>
      <c r="BB43" s="282"/>
      <c r="BC43" s="286">
        <f>SUM(BD43:BH43)</f>
        <v>0</v>
      </c>
      <c r="BD43" s="282"/>
      <c r="BE43" s="282"/>
      <c r="BF43" s="282"/>
      <c r="BG43" s="282"/>
      <c r="BH43" s="282"/>
      <c r="BI43" s="286">
        <f>SUM(BJ43:BQ43)</f>
        <v>0</v>
      </c>
      <c r="BJ43" s="282"/>
      <c r="BK43" s="282"/>
      <c r="BL43" s="282"/>
      <c r="BM43" s="282"/>
      <c r="BN43" s="282"/>
      <c r="BO43" s="282"/>
      <c r="BP43" s="282"/>
      <c r="BQ43" s="279"/>
      <c r="BR43" s="288">
        <f>BS43/IF(Nøgletal!K354&gt;0,Nøgletal!K354,1)*Nøgletal!J354</f>
        <v>0</v>
      </c>
      <c r="BS43" s="289">
        <f>BS$41*Nøgletal!J313</f>
        <v>0</v>
      </c>
      <c r="BT43" s="282"/>
      <c r="BU43" s="280"/>
      <c r="BV43" s="280"/>
      <c r="BW43" s="279"/>
      <c r="BX43" s="279"/>
      <c r="BY43" s="124">
        <f>(AJ43+AO43)*-1</f>
        <v>0</v>
      </c>
      <c r="BZ43" s="123">
        <f>(C43*Emissionsfaktorer!$E$4+E43*Emissionsfaktorer!$E$3+F43*Emissionsfaktorer!$E$5+H43*Emissionsfaktorer!$E$7+I43*Emissionsfaktorer!$E$8+J43*Emissionsfaktorer!$E$9+K43*Emissionsfaktorer!$E$10+L43*Emissionsfaktorer!$E$11+M43*Emissionsfaktorer!$E$12)*-1*(1-Nøgletal!$J$310)+T43*Emissionsfaktorer!$E$13*Nøgletal!$J$310</f>
        <v>0</v>
      </c>
      <c r="CA43" s="231"/>
      <c r="CB43" s="231"/>
      <c r="CC43" s="231"/>
      <c r="CD43" s="231"/>
    </row>
    <row r="44" spans="1:82" x14ac:dyDescent="0.25">
      <c r="A44" s="231"/>
      <c r="B44" s="31"/>
      <c r="C44" s="278"/>
      <c r="D44" s="278"/>
      <c r="E44" s="278"/>
      <c r="F44" s="278">
        <f>AJ44*Nøgletal!J477</f>
        <v>0</v>
      </c>
      <c r="G44" s="278">
        <f>SUM(H44:M44)</f>
        <v>0</v>
      </c>
      <c r="H44" s="278"/>
      <c r="I44" s="278"/>
      <c r="J44" s="278"/>
      <c r="K44" s="278"/>
      <c r="L44" s="278"/>
      <c r="M44" s="278"/>
      <c r="N44" s="278">
        <f>SUM(O44:S44)</f>
        <v>0</v>
      </c>
      <c r="O44" s="278"/>
      <c r="P44" s="278"/>
      <c r="Q44" s="278"/>
      <c r="R44" s="278"/>
      <c r="S44" s="278"/>
      <c r="T44" s="278">
        <f>SUM(U44:AB44)</f>
        <v>0</v>
      </c>
      <c r="U44" s="278"/>
      <c r="V44" s="278"/>
      <c r="W44" s="278"/>
      <c r="X44" s="278"/>
      <c r="Y44" s="278"/>
      <c r="Z44" s="278">
        <f>AJ44*Nøgletal!J475</f>
        <v>0</v>
      </c>
      <c r="AA44" s="278">
        <f>AJ44*Nøgletal!J476</f>
        <v>0</v>
      </c>
      <c r="AB44" s="278"/>
      <c r="AC44" s="278"/>
      <c r="AD44" s="278"/>
      <c r="AE44" s="278"/>
      <c r="AF44" s="278"/>
      <c r="AG44" s="278"/>
      <c r="AH44" s="278"/>
      <c r="AI44" s="278"/>
      <c r="AJ44" s="105">
        <f>-AO44/IF(Nøgletal!J355+Nøgletal!K355&gt;0,Nøgletal!J355+Nøgletal!K355,1)</f>
        <v>0</v>
      </c>
      <c r="AK44" s="260" t="s">
        <v>167</v>
      </c>
      <c r="AL44" s="25" t="s">
        <v>168</v>
      </c>
      <c r="AM44" s="25" t="s">
        <v>162</v>
      </c>
      <c r="AN44" s="37"/>
      <c r="AO44" s="38">
        <f t="shared" si="1"/>
        <v>0</v>
      </c>
      <c r="AP44" s="37">
        <f>IF(AJ44=0,0,AO44/AJ44*-1)</f>
        <v>0</v>
      </c>
      <c r="AQ44" s="31"/>
      <c r="AR44" s="278"/>
      <c r="AS44" s="278"/>
      <c r="AT44" s="278"/>
      <c r="AU44" s="285"/>
      <c r="AV44" s="286">
        <f>SUM(AW44:BB44)</f>
        <v>0</v>
      </c>
      <c r="AW44" s="278"/>
      <c r="AX44" s="278"/>
      <c r="AY44" s="278"/>
      <c r="AZ44" s="278"/>
      <c r="BA44" s="287"/>
      <c r="BB44" s="278"/>
      <c r="BC44" s="286">
        <f>SUM(BD44:BH44)</f>
        <v>0</v>
      </c>
      <c r="BD44" s="278"/>
      <c r="BE44" s="278"/>
      <c r="BF44" s="278"/>
      <c r="BG44" s="278"/>
      <c r="BH44" s="286"/>
      <c r="BI44" s="286">
        <f>SUM(BJ44:BQ44)</f>
        <v>0</v>
      </c>
      <c r="BJ44" s="278"/>
      <c r="BK44" s="278"/>
      <c r="BL44" s="278"/>
      <c r="BM44" s="278"/>
      <c r="BN44" s="278"/>
      <c r="BO44" s="278"/>
      <c r="BP44" s="285"/>
      <c r="BQ44" s="279"/>
      <c r="BR44" s="288">
        <f>BS44/IF(Nøgletal!K355&gt;0,Nøgletal!K355,1)*Nøgletal!J355</f>
        <v>0</v>
      </c>
      <c r="BS44" s="289">
        <f>BS$41*Nøgletal!J314</f>
        <v>0</v>
      </c>
      <c r="BT44" s="278"/>
      <c r="BU44" s="280"/>
      <c r="BV44" s="280"/>
      <c r="BW44" s="285"/>
      <c r="BX44" s="285"/>
      <c r="BY44" s="124">
        <f>(AJ44+AO44)*-1</f>
        <v>0</v>
      </c>
      <c r="BZ44" s="123">
        <f>(C44*Emissionsfaktorer!$E$4+E44*Emissionsfaktorer!$E$3+F44*Emissionsfaktorer!$E$5+H44*Emissionsfaktorer!$E$7+I44*Emissionsfaktorer!$E$8+J44*Emissionsfaktorer!$E$9+K44*Emissionsfaktorer!$E$10+L44*Emissionsfaktorer!$E$11+M44*Emissionsfaktorer!$E$12)*-1*(1-Nøgletal!$J$310)+T44*Emissionsfaktorer!$E$13*Nøgletal!$J$310</f>
        <v>0</v>
      </c>
      <c r="CA44" s="231"/>
      <c r="CB44" s="231"/>
      <c r="CC44" s="231"/>
      <c r="CD44" s="231"/>
    </row>
    <row r="45" spans="1:82" x14ac:dyDescent="0.25">
      <c r="A45" s="231"/>
      <c r="B45" s="31"/>
      <c r="C45" s="278"/>
      <c r="D45" s="278"/>
      <c r="E45" s="278"/>
      <c r="F45" s="278"/>
      <c r="G45" s="278">
        <f>SUM(H45:M45)</f>
        <v>0</v>
      </c>
      <c r="H45" s="278"/>
      <c r="I45" s="278"/>
      <c r="J45" s="278"/>
      <c r="K45" s="278"/>
      <c r="L45" s="278"/>
      <c r="M45" s="278"/>
      <c r="N45" s="278">
        <f>SUM(O45:S45)</f>
        <v>0</v>
      </c>
      <c r="O45" s="278"/>
      <c r="P45" s="278"/>
      <c r="Q45" s="278"/>
      <c r="R45" s="278"/>
      <c r="S45" s="278"/>
      <c r="T45" s="278">
        <f>SUM(U45:AB45)</f>
        <v>0</v>
      </c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105">
        <f>SUM(C45:G45,N45,T45,AC45:AG45)</f>
        <v>0</v>
      </c>
      <c r="AK45" s="260" t="s">
        <v>169</v>
      </c>
      <c r="AL45" s="25" t="s">
        <v>170</v>
      </c>
      <c r="AM45" s="25" t="s">
        <v>162</v>
      </c>
      <c r="AN45" s="37"/>
      <c r="AO45" s="38">
        <f t="shared" si="1"/>
        <v>0</v>
      </c>
      <c r="AP45" s="37">
        <f>IF(AJ45=0,0,AO45/AJ45*-1)</f>
        <v>0</v>
      </c>
      <c r="AQ45" s="31"/>
      <c r="AR45" s="278"/>
      <c r="AS45" s="278"/>
      <c r="AT45" s="278"/>
      <c r="AU45" s="285"/>
      <c r="AV45" s="286">
        <f>SUM(AW45:BB45)</f>
        <v>0</v>
      </c>
      <c r="AW45" s="278"/>
      <c r="AX45" s="278"/>
      <c r="AY45" s="278"/>
      <c r="AZ45" s="278"/>
      <c r="BA45" s="287"/>
      <c r="BB45" s="278"/>
      <c r="BC45" s="286">
        <f>SUM(BD45:BH45)</f>
        <v>0</v>
      </c>
      <c r="BD45" s="278"/>
      <c r="BE45" s="278"/>
      <c r="BF45" s="278"/>
      <c r="BG45" s="278"/>
      <c r="BH45" s="286"/>
      <c r="BI45" s="286">
        <f>SUM(BJ45:BQ45)</f>
        <v>0</v>
      </c>
      <c r="BJ45" s="278"/>
      <c r="BK45" s="278"/>
      <c r="BL45" s="278"/>
      <c r="BM45" s="278"/>
      <c r="BN45" s="278"/>
      <c r="BO45" s="278"/>
      <c r="BP45" s="285"/>
      <c r="BQ45" s="279"/>
      <c r="BR45" s="288"/>
      <c r="BS45" s="289"/>
      <c r="BT45" s="278"/>
      <c r="BU45" s="280"/>
      <c r="BV45" s="280"/>
      <c r="BW45" s="285"/>
      <c r="BX45" s="285"/>
      <c r="BY45" s="124">
        <f>(AJ45+AO45)*-1</f>
        <v>0</v>
      </c>
      <c r="BZ45" s="123">
        <f>(C45*Emissionsfaktorer!$E$4+E45*Emissionsfaktorer!$E$3+F45*Emissionsfaktorer!$E$5+H45*Emissionsfaktorer!$E$7+I45*Emissionsfaktorer!$E$8+J45*Emissionsfaktorer!$E$9+K45*Emissionsfaktorer!$E$10+L45*Emissionsfaktorer!$E$11+M45*Emissionsfaktorer!$E$12)*-1*(1-Nøgletal!$J$310)+T45*Emissionsfaktorer!$E$13*Nøgletal!$J$310</f>
        <v>0</v>
      </c>
      <c r="CA45" s="231"/>
      <c r="CB45" s="231"/>
      <c r="CC45" s="231"/>
      <c r="CD45" s="231"/>
    </row>
    <row r="46" spans="1:82" x14ac:dyDescent="0.25">
      <c r="A46" s="231"/>
      <c r="B46" s="31"/>
      <c r="C46" s="23">
        <f>SUM(C47:C55)</f>
        <v>0</v>
      </c>
      <c r="D46" s="23"/>
      <c r="E46" s="23">
        <f>SUM(E47:E55)</f>
        <v>0</v>
      </c>
      <c r="F46" s="23">
        <f>SUM(F47:F55)</f>
        <v>0</v>
      </c>
      <c r="G46" s="23">
        <f t="shared" ref="G46:AH46" si="40">SUM(G47:G55)</f>
        <v>0</v>
      </c>
      <c r="H46" s="23">
        <f t="shared" si="40"/>
        <v>0</v>
      </c>
      <c r="I46" s="23">
        <f t="shared" si="40"/>
        <v>0</v>
      </c>
      <c r="J46" s="23">
        <f t="shared" si="40"/>
        <v>0</v>
      </c>
      <c r="K46" s="23">
        <f t="shared" si="40"/>
        <v>0</v>
      </c>
      <c r="L46" s="23">
        <f t="shared" si="40"/>
        <v>0</v>
      </c>
      <c r="M46" s="23">
        <f t="shared" si="40"/>
        <v>0</v>
      </c>
      <c r="N46" s="23">
        <f t="shared" si="40"/>
        <v>0</v>
      </c>
      <c r="O46" s="23">
        <f t="shared" si="40"/>
        <v>0</v>
      </c>
      <c r="P46" s="23">
        <f t="shared" si="40"/>
        <v>0</v>
      </c>
      <c r="Q46" s="23">
        <f t="shared" si="40"/>
        <v>0</v>
      </c>
      <c r="R46" s="23">
        <f t="shared" si="40"/>
        <v>0</v>
      </c>
      <c r="S46" s="23">
        <f t="shared" si="40"/>
        <v>0</v>
      </c>
      <c r="T46" s="23">
        <f t="shared" si="40"/>
        <v>0</v>
      </c>
      <c r="U46" s="23">
        <f t="shared" si="40"/>
        <v>0</v>
      </c>
      <c r="V46" s="23">
        <f t="shared" si="40"/>
        <v>0</v>
      </c>
      <c r="W46" s="23">
        <f t="shared" si="40"/>
        <v>0</v>
      </c>
      <c r="X46" s="23">
        <f t="shared" si="40"/>
        <v>0</v>
      </c>
      <c r="Y46" s="23">
        <f t="shared" si="40"/>
        <v>0</v>
      </c>
      <c r="Z46" s="23">
        <f t="shared" si="40"/>
        <v>0</v>
      </c>
      <c r="AA46" s="23">
        <f t="shared" si="40"/>
        <v>0</v>
      </c>
      <c r="AB46" s="23">
        <f t="shared" si="40"/>
        <v>0</v>
      </c>
      <c r="AC46" s="23">
        <f t="shared" si="40"/>
        <v>-145.10808</v>
      </c>
      <c r="AD46" s="23">
        <f t="shared" si="40"/>
        <v>0</v>
      </c>
      <c r="AE46" s="23">
        <f t="shared" si="40"/>
        <v>0</v>
      </c>
      <c r="AF46" s="23">
        <f t="shared" si="40"/>
        <v>-354.49515000000002</v>
      </c>
      <c r="AG46" s="23">
        <f t="shared" si="40"/>
        <v>0</v>
      </c>
      <c r="AH46" s="23">
        <f t="shared" si="40"/>
        <v>0</v>
      </c>
      <c r="AI46" s="23"/>
      <c r="AJ46" s="105">
        <f>SUM(C46:G46,N46,T46,AC46:AG46)</f>
        <v>-499.60323000000005</v>
      </c>
      <c r="AK46" s="48" t="s">
        <v>213</v>
      </c>
      <c r="AL46" s="25" t="s">
        <v>214</v>
      </c>
      <c r="AM46" s="25" t="s">
        <v>559</v>
      </c>
      <c r="AN46" s="37">
        <f>'Størrelse på strømme'!E45</f>
        <v>44.214729579829189</v>
      </c>
      <c r="AO46" s="38">
        <f t="shared" si="1"/>
        <v>499.60323000000005</v>
      </c>
      <c r="AP46" s="37">
        <f t="shared" si="6"/>
        <v>1</v>
      </c>
      <c r="AQ46" s="31"/>
      <c r="AR46" s="23">
        <f>SUM(AR47:AR55)</f>
        <v>0</v>
      </c>
      <c r="AS46" s="23"/>
      <c r="AT46" s="23">
        <f>SUM(AT47:AT55)</f>
        <v>0</v>
      </c>
      <c r="AU46" s="23">
        <f>SUM(AU47:AU55)</f>
        <v>0</v>
      </c>
      <c r="AV46" s="91">
        <f t="shared" si="7"/>
        <v>0</v>
      </c>
      <c r="AW46" s="23">
        <f t="shared" ref="AW46:BZ46" si="41">SUM(AW47:AW55)</f>
        <v>0</v>
      </c>
      <c r="AX46" s="23">
        <f t="shared" si="41"/>
        <v>0</v>
      </c>
      <c r="AY46" s="23">
        <f t="shared" si="41"/>
        <v>0</v>
      </c>
      <c r="AZ46" s="23">
        <f t="shared" si="41"/>
        <v>0</v>
      </c>
      <c r="BA46" s="23">
        <f t="shared" si="41"/>
        <v>0</v>
      </c>
      <c r="BB46" s="23">
        <f t="shared" si="41"/>
        <v>0</v>
      </c>
      <c r="BC46" s="91">
        <f t="shared" si="8"/>
        <v>0</v>
      </c>
      <c r="BD46" s="23">
        <f t="shared" si="41"/>
        <v>0</v>
      </c>
      <c r="BE46" s="23">
        <f t="shared" si="41"/>
        <v>0</v>
      </c>
      <c r="BF46" s="23">
        <f t="shared" si="41"/>
        <v>0</v>
      </c>
      <c r="BG46" s="23">
        <f t="shared" si="41"/>
        <v>0</v>
      </c>
      <c r="BH46" s="23">
        <f t="shared" si="41"/>
        <v>0</v>
      </c>
      <c r="BI46" s="91">
        <f t="shared" si="3"/>
        <v>0</v>
      </c>
      <c r="BJ46" s="23">
        <f t="shared" si="41"/>
        <v>0</v>
      </c>
      <c r="BK46" s="23">
        <f t="shared" si="41"/>
        <v>0</v>
      </c>
      <c r="BL46" s="23">
        <f t="shared" si="41"/>
        <v>0</v>
      </c>
      <c r="BM46" s="23">
        <f t="shared" si="41"/>
        <v>0</v>
      </c>
      <c r="BN46" s="23">
        <f t="shared" si="41"/>
        <v>0</v>
      </c>
      <c r="BO46" s="23">
        <f t="shared" si="41"/>
        <v>0</v>
      </c>
      <c r="BP46" s="23">
        <f t="shared" si="41"/>
        <v>0</v>
      </c>
      <c r="BQ46" s="23">
        <f t="shared" si="41"/>
        <v>0</v>
      </c>
      <c r="BR46" s="23">
        <f t="shared" si="41"/>
        <v>0</v>
      </c>
      <c r="BS46" s="23">
        <f t="shared" si="41"/>
        <v>354.49515000000002</v>
      </c>
      <c r="BT46" s="23">
        <f t="shared" si="41"/>
        <v>0</v>
      </c>
      <c r="BU46" s="23">
        <f t="shared" si="41"/>
        <v>0</v>
      </c>
      <c r="BV46" s="23">
        <f t="shared" si="41"/>
        <v>0</v>
      </c>
      <c r="BW46" s="23">
        <f t="shared" si="41"/>
        <v>145.10808</v>
      </c>
      <c r="BX46" s="23"/>
      <c r="BY46" s="126">
        <f t="shared" si="41"/>
        <v>0</v>
      </c>
      <c r="BZ46" s="126">
        <f t="shared" si="41"/>
        <v>0</v>
      </c>
      <c r="CA46" s="231"/>
      <c r="CB46" s="231"/>
      <c r="CC46" s="231"/>
      <c r="CD46" s="231"/>
    </row>
    <row r="47" spans="1:82" x14ac:dyDescent="0.25">
      <c r="A47" s="231"/>
      <c r="B47" s="31"/>
      <c r="C47" s="278">
        <f>AJ47*Nøgletal!J586</f>
        <v>0</v>
      </c>
      <c r="D47" s="278"/>
      <c r="E47" s="278">
        <f>AJ47*Nøgletal!J588</f>
        <v>0</v>
      </c>
      <c r="F47" s="278"/>
      <c r="G47" s="278">
        <f t="shared" si="29"/>
        <v>0</v>
      </c>
      <c r="H47" s="278"/>
      <c r="I47" s="278">
        <f>AJ47*Nøgletal!J587</f>
        <v>0</v>
      </c>
      <c r="J47" s="278"/>
      <c r="K47" s="278"/>
      <c r="L47" s="278"/>
      <c r="M47" s="278"/>
      <c r="N47" s="278">
        <f t="shared" si="32"/>
        <v>0</v>
      </c>
      <c r="O47" s="278"/>
      <c r="P47" s="278"/>
      <c r="Q47" s="278"/>
      <c r="R47" s="278"/>
      <c r="S47" s="278"/>
      <c r="T47" s="278">
        <f t="shared" si="30"/>
        <v>0</v>
      </c>
      <c r="U47" s="278">
        <f>AJ47*Nøgletal!J589</f>
        <v>0</v>
      </c>
      <c r="V47" s="278">
        <f>AJ47*Nøgletal!J590</f>
        <v>0</v>
      </c>
      <c r="W47" s="278">
        <f>AJ47*Nøgletal!J591</f>
        <v>0</v>
      </c>
      <c r="X47" s="278">
        <f>AJ47*Nøgletal!J592</f>
        <v>0</v>
      </c>
      <c r="Y47" s="278">
        <f>AJ47*Nøgletal!J593</f>
        <v>0</v>
      </c>
      <c r="Z47" s="278"/>
      <c r="AA47" s="278"/>
      <c r="AB47" s="278">
        <f>AJ47*Nøgletal!J594</f>
        <v>0</v>
      </c>
      <c r="AC47" s="280"/>
      <c r="AD47" s="280"/>
      <c r="AE47" s="280"/>
      <c r="AF47" s="280"/>
      <c r="AG47" s="280"/>
      <c r="AH47" s="280"/>
      <c r="AI47" s="280"/>
      <c r="AJ47" s="105">
        <f>-AO47/IF(Nøgletal!J375+Nøgletal!K375&gt;0,Nøgletal!J375+Nøgletal!K375,1)</f>
        <v>0</v>
      </c>
      <c r="AK47" s="260" t="s">
        <v>215</v>
      </c>
      <c r="AL47" s="25" t="s">
        <v>216</v>
      </c>
      <c r="AM47" s="25" t="s">
        <v>214</v>
      </c>
      <c r="AN47" s="37"/>
      <c r="AO47" s="38">
        <f t="shared" si="1"/>
        <v>0</v>
      </c>
      <c r="AP47" s="37">
        <f t="shared" si="6"/>
        <v>0</v>
      </c>
      <c r="AQ47" s="31"/>
      <c r="AR47" s="280"/>
      <c r="AS47" s="280"/>
      <c r="AT47" s="280"/>
      <c r="AU47" s="280"/>
      <c r="AV47" s="286">
        <f t="shared" si="7"/>
        <v>0</v>
      </c>
      <c r="AW47" s="280"/>
      <c r="AX47" s="280"/>
      <c r="AY47" s="280"/>
      <c r="AZ47" s="280"/>
      <c r="BA47" s="294"/>
      <c r="BB47" s="280"/>
      <c r="BC47" s="286">
        <f t="shared" si="8"/>
        <v>0</v>
      </c>
      <c r="BD47" s="280"/>
      <c r="BE47" s="280"/>
      <c r="BF47" s="280"/>
      <c r="BG47" s="280"/>
      <c r="BH47" s="280"/>
      <c r="BI47" s="286">
        <f t="shared" si="3"/>
        <v>0</v>
      </c>
      <c r="BJ47" s="280"/>
      <c r="BK47" s="280"/>
      <c r="BL47" s="280"/>
      <c r="BM47" s="280"/>
      <c r="BN47" s="280"/>
      <c r="BO47" s="280"/>
      <c r="BP47" s="280"/>
      <c r="BQ47" s="279"/>
      <c r="BR47" s="288">
        <f>BS47/IF(Nøgletal!K375&gt;0,Nøgletal!K375,1)*Nøgletal!J375</f>
        <v>0</v>
      </c>
      <c r="BS47" s="292">
        <f>(Nøgletal!J$202+Nøgletal!J$273/(1-Nøgletal!J$300))*Nøgletal!J338</f>
        <v>0</v>
      </c>
      <c r="BT47" s="280"/>
      <c r="BU47" s="280"/>
      <c r="BV47" s="280"/>
      <c r="BW47" s="280"/>
      <c r="BX47" s="280"/>
      <c r="BY47" s="124">
        <f t="shared" ref="BY47:BY55" si="42">(AJ47+AO47)*-1</f>
        <v>0</v>
      </c>
      <c r="BZ47" s="123">
        <f>(C47*Emissionsfaktorer!$E$4+E47*Emissionsfaktorer!$E$3+F47*Emissionsfaktorer!$E$5+H47*Emissionsfaktorer!$E$7+I47*Emissionsfaktorer!$E$8+J47*Emissionsfaktorer!$E$9+K47*Emissionsfaktorer!$E$10+L47*Emissionsfaktorer!$E$11+M47*Emissionsfaktorer!$E$12)*-1*(1-Nøgletal!$J$336)+T47*Emissionsfaktorer!$E$13*Nøgletal!$J$336</f>
        <v>0</v>
      </c>
      <c r="CA47" s="231"/>
      <c r="CB47" s="231"/>
      <c r="CC47" s="231"/>
      <c r="CD47" s="231"/>
    </row>
    <row r="48" spans="1:82" x14ac:dyDescent="0.25">
      <c r="A48" s="231"/>
      <c r="B48" s="31"/>
      <c r="C48" s="278"/>
      <c r="D48" s="278"/>
      <c r="E48" s="278">
        <f>AJ48*Nøgletal!J600</f>
        <v>0</v>
      </c>
      <c r="F48" s="278"/>
      <c r="G48" s="278">
        <f t="shared" si="29"/>
        <v>0</v>
      </c>
      <c r="H48" s="278"/>
      <c r="I48" s="278">
        <f>AJ48*Nøgletal!J596</f>
        <v>0</v>
      </c>
      <c r="J48" s="278">
        <f>AJ48*Nøgletal!J597</f>
        <v>0</v>
      </c>
      <c r="K48" s="278">
        <f>AJ48*Nøgletal!J598</f>
        <v>0</v>
      </c>
      <c r="L48" s="278"/>
      <c r="M48" s="278">
        <f>AJ48*Nøgletal!J599</f>
        <v>0</v>
      </c>
      <c r="N48" s="278">
        <f t="shared" si="32"/>
        <v>0</v>
      </c>
      <c r="O48" s="278"/>
      <c r="P48" s="278"/>
      <c r="Q48" s="278"/>
      <c r="R48" s="278"/>
      <c r="S48" s="278"/>
      <c r="T48" s="278">
        <f t="shared" si="30"/>
        <v>0</v>
      </c>
      <c r="U48" s="278">
        <f>AJ48*Nøgletal!J601</f>
        <v>0</v>
      </c>
      <c r="V48" s="278">
        <f>Nøgletal!J602</f>
        <v>0</v>
      </c>
      <c r="W48" s="278">
        <f>Nøgletal!J603</f>
        <v>0</v>
      </c>
      <c r="X48" s="278">
        <f>AJ48*Nøgletal!J604</f>
        <v>0</v>
      </c>
      <c r="Y48" s="278">
        <f>AJ48*Nøgletal!J605</f>
        <v>0</v>
      </c>
      <c r="Z48" s="278"/>
      <c r="AA48" s="278"/>
      <c r="AB48" s="278">
        <f>AJ48*Nøgletal!J606</f>
        <v>0</v>
      </c>
      <c r="AC48" s="280"/>
      <c r="AD48" s="280"/>
      <c r="AE48" s="280"/>
      <c r="AF48" s="280"/>
      <c r="AG48" s="280"/>
      <c r="AH48" s="280"/>
      <c r="AI48" s="280"/>
      <c r="AJ48" s="105">
        <f>-AO48/IF(Nøgletal!J376+Nøgletal!K376&gt;0,Nøgletal!J376+Nøgletal!K376,1)</f>
        <v>0</v>
      </c>
      <c r="AK48" s="260" t="s">
        <v>217</v>
      </c>
      <c r="AL48" s="25" t="s">
        <v>218</v>
      </c>
      <c r="AM48" s="25" t="s">
        <v>214</v>
      </c>
      <c r="AN48" s="37"/>
      <c r="AO48" s="38">
        <f t="shared" si="1"/>
        <v>0</v>
      </c>
      <c r="AP48" s="37">
        <f t="shared" si="6"/>
        <v>0</v>
      </c>
      <c r="AQ48" s="31"/>
      <c r="AR48" s="280"/>
      <c r="AS48" s="280"/>
      <c r="AT48" s="280"/>
      <c r="AU48" s="280"/>
      <c r="AV48" s="286">
        <f t="shared" si="7"/>
        <v>0</v>
      </c>
      <c r="AW48" s="280"/>
      <c r="AX48" s="280"/>
      <c r="AY48" s="280"/>
      <c r="AZ48" s="280"/>
      <c r="BA48" s="294"/>
      <c r="BB48" s="280"/>
      <c r="BC48" s="286">
        <f t="shared" si="8"/>
        <v>0</v>
      </c>
      <c r="BD48" s="280"/>
      <c r="BE48" s="280"/>
      <c r="BF48" s="280"/>
      <c r="BG48" s="280"/>
      <c r="BH48" s="280"/>
      <c r="BI48" s="286">
        <f t="shared" si="3"/>
        <v>0</v>
      </c>
      <c r="BJ48" s="280"/>
      <c r="BK48" s="280"/>
      <c r="BL48" s="280"/>
      <c r="BM48" s="280"/>
      <c r="BN48" s="280"/>
      <c r="BO48" s="280"/>
      <c r="BP48" s="280"/>
      <c r="BQ48" s="279"/>
      <c r="BR48" s="288">
        <f>BS48/IF(Nøgletal!K376&gt;0,Nøgletal!K376,1)*Nøgletal!J376</f>
        <v>0</v>
      </c>
      <c r="BS48" s="292">
        <f>(Nøgletal!J$202+Nøgletal!J$273/(1-Nøgletal!J$300))*Nøgletal!J339</f>
        <v>0</v>
      </c>
      <c r="BT48" s="280"/>
      <c r="BU48" s="280"/>
      <c r="BV48" s="280"/>
      <c r="BW48" s="280"/>
      <c r="BX48" s="280"/>
      <c r="BY48" s="124">
        <f t="shared" si="42"/>
        <v>0</v>
      </c>
      <c r="BZ48" s="123">
        <f>(C48*Emissionsfaktorer!$E$4+E48*Emissionsfaktorer!$E$3+F48*Emissionsfaktorer!$E$5+H48*Emissionsfaktorer!$E$7+I48*Emissionsfaktorer!$E$8+J48*Emissionsfaktorer!$E$9+K48*Emissionsfaktorer!$E$10+L48*Emissionsfaktorer!$E$11+M48*Emissionsfaktorer!$E$12)*-1*(1-Nøgletal!$J$336)+T48*Emissionsfaktorer!$E$13*Nøgletal!$J$336</f>
        <v>0</v>
      </c>
      <c r="CA48" s="231"/>
      <c r="CB48" s="231"/>
      <c r="CC48" s="231"/>
      <c r="CD48" s="231"/>
    </row>
    <row r="49" spans="1:82" x14ac:dyDescent="0.25">
      <c r="A49" s="231"/>
      <c r="B49" s="31"/>
      <c r="C49" s="278"/>
      <c r="D49" s="278"/>
      <c r="E49" s="278">
        <f>AJ49*Nøgletal!J608</f>
        <v>0</v>
      </c>
      <c r="F49" s="278"/>
      <c r="G49" s="278">
        <f t="shared" si="29"/>
        <v>0</v>
      </c>
      <c r="H49" s="278"/>
      <c r="I49" s="278"/>
      <c r="J49" s="278"/>
      <c r="K49" s="278"/>
      <c r="L49" s="278"/>
      <c r="M49" s="278"/>
      <c r="N49" s="278">
        <f t="shared" si="32"/>
        <v>0</v>
      </c>
      <c r="O49" s="278"/>
      <c r="P49" s="278"/>
      <c r="Q49" s="278"/>
      <c r="R49" s="278"/>
      <c r="S49" s="278"/>
      <c r="T49" s="278">
        <f t="shared" si="30"/>
        <v>0</v>
      </c>
      <c r="U49" s="278">
        <f>AJ49*Nøgletal!J609</f>
        <v>0</v>
      </c>
      <c r="V49" s="278"/>
      <c r="W49" s="278"/>
      <c r="X49" s="278"/>
      <c r="Y49" s="278"/>
      <c r="Z49" s="278"/>
      <c r="AA49" s="278"/>
      <c r="AB49" s="278">
        <f>AJ49*Nøgletal!J610</f>
        <v>0</v>
      </c>
      <c r="AC49" s="280"/>
      <c r="AD49" s="280"/>
      <c r="AE49" s="280"/>
      <c r="AF49" s="280"/>
      <c r="AG49" s="280"/>
      <c r="AH49" s="280"/>
      <c r="AI49" s="280"/>
      <c r="AJ49" s="105">
        <f>-AO49/IF(Nøgletal!J377+Nøgletal!K377&gt;0,Nøgletal!J377+Nøgletal!K377,1)</f>
        <v>0</v>
      </c>
      <c r="AK49" s="260" t="s">
        <v>219</v>
      </c>
      <c r="AL49" s="25" t="s">
        <v>220</v>
      </c>
      <c r="AM49" s="25" t="s">
        <v>214</v>
      </c>
      <c r="AN49" s="37"/>
      <c r="AO49" s="38">
        <f t="shared" si="1"/>
        <v>0</v>
      </c>
      <c r="AP49" s="37">
        <f t="shared" si="6"/>
        <v>0</v>
      </c>
      <c r="AQ49" s="31"/>
      <c r="AR49" s="280"/>
      <c r="AS49" s="280"/>
      <c r="AT49" s="280"/>
      <c r="AU49" s="280"/>
      <c r="AV49" s="286">
        <f t="shared" si="7"/>
        <v>0</v>
      </c>
      <c r="AW49" s="280"/>
      <c r="AX49" s="280"/>
      <c r="AY49" s="280"/>
      <c r="AZ49" s="280"/>
      <c r="BA49" s="294"/>
      <c r="BB49" s="280"/>
      <c r="BC49" s="286">
        <f t="shared" si="8"/>
        <v>0</v>
      </c>
      <c r="BD49" s="280"/>
      <c r="BE49" s="280"/>
      <c r="BF49" s="280"/>
      <c r="BG49" s="280"/>
      <c r="BH49" s="280"/>
      <c r="BI49" s="286">
        <f t="shared" si="3"/>
        <v>0</v>
      </c>
      <c r="BJ49" s="280"/>
      <c r="BK49" s="280"/>
      <c r="BL49" s="280"/>
      <c r="BM49" s="280"/>
      <c r="BN49" s="280"/>
      <c r="BO49" s="280"/>
      <c r="BP49" s="280"/>
      <c r="BQ49" s="279"/>
      <c r="BR49" s="288">
        <f>BS49/IF(Nøgletal!K377&gt;0,Nøgletal!K377,1)*Nøgletal!J377</f>
        <v>0</v>
      </c>
      <c r="BS49" s="292">
        <f>(Nøgletal!J$202+Nøgletal!J$273/(1-Nøgletal!J$300))*Nøgletal!J340</f>
        <v>0</v>
      </c>
      <c r="BT49" s="280"/>
      <c r="BU49" s="280"/>
      <c r="BV49" s="280"/>
      <c r="BW49" s="280"/>
      <c r="BX49" s="280"/>
      <c r="BY49" s="124">
        <f t="shared" si="42"/>
        <v>0</v>
      </c>
      <c r="BZ49" s="123">
        <f>(C49*Emissionsfaktorer!$E$4+E49*Emissionsfaktorer!$E$3+F49*Emissionsfaktorer!$E$5+H49*Emissionsfaktorer!$E$7+I49*Emissionsfaktorer!$E$8+J49*Emissionsfaktorer!$E$9+K49*Emissionsfaktorer!$E$10+L49*Emissionsfaktorer!$E$11+M49*Emissionsfaktorer!$E$12)*-1*(1-Nøgletal!$J$336)+T49*Emissionsfaktorer!$E$13*Nøgletal!$J$336</f>
        <v>0</v>
      </c>
      <c r="CA49" s="231"/>
      <c r="CB49" s="231"/>
      <c r="CC49" s="231"/>
      <c r="CD49" s="231"/>
    </row>
    <row r="50" spans="1:82" x14ac:dyDescent="0.25">
      <c r="A50" s="231"/>
      <c r="B50" s="31"/>
      <c r="C50" s="278">
        <f>AJ50*Nøgletal!J612</f>
        <v>0</v>
      </c>
      <c r="D50" s="278"/>
      <c r="E50" s="278">
        <f>AJ50*Nøgletal!J614</f>
        <v>0</v>
      </c>
      <c r="F50" s="278"/>
      <c r="G50" s="278">
        <f t="shared" si="29"/>
        <v>0</v>
      </c>
      <c r="H50" s="278"/>
      <c r="I50" s="278">
        <f>AJ50*Nøgletal!J613</f>
        <v>0</v>
      </c>
      <c r="J50" s="278"/>
      <c r="K50" s="278"/>
      <c r="L50" s="278"/>
      <c r="M50" s="278"/>
      <c r="N50" s="278">
        <f t="shared" si="32"/>
        <v>0</v>
      </c>
      <c r="O50" s="278"/>
      <c r="P50" s="278"/>
      <c r="Q50" s="278"/>
      <c r="R50" s="278"/>
      <c r="S50" s="278"/>
      <c r="T50" s="278">
        <f t="shared" si="30"/>
        <v>0</v>
      </c>
      <c r="U50" s="278">
        <f>AJ50*Nøgletal!J615</f>
        <v>0</v>
      </c>
      <c r="V50" s="278">
        <f>AJ50*Nøgletal!J626</f>
        <v>0</v>
      </c>
      <c r="W50" s="278">
        <f>AJ50*Nøgletal!J617</f>
        <v>0</v>
      </c>
      <c r="X50" s="278">
        <f>AJ50*Nøgletal!J628</f>
        <v>0</v>
      </c>
      <c r="Y50" s="278">
        <f>AJ50*Nøgletal!J619</f>
        <v>0</v>
      </c>
      <c r="Z50" s="278"/>
      <c r="AA50" s="278"/>
      <c r="AB50" s="278">
        <f>AJ50*Nøgletal!J620</f>
        <v>0</v>
      </c>
      <c r="AC50" s="280"/>
      <c r="AD50" s="280"/>
      <c r="AE50" s="280"/>
      <c r="AF50" s="280"/>
      <c r="AG50" s="280"/>
      <c r="AH50" s="280"/>
      <c r="AI50" s="280"/>
      <c r="AJ50" s="105">
        <f>-AO50/IF(Nøgletal!J378+Nøgletal!K378&gt;0,Nøgletal!J378+Nøgletal!K378,1)</f>
        <v>0</v>
      </c>
      <c r="AK50" s="260" t="s">
        <v>221</v>
      </c>
      <c r="AL50" s="25" t="s">
        <v>222</v>
      </c>
      <c r="AM50" s="25" t="s">
        <v>214</v>
      </c>
      <c r="AN50" s="37"/>
      <c r="AO50" s="38">
        <f t="shared" si="1"/>
        <v>0</v>
      </c>
      <c r="AP50" s="37">
        <f t="shared" si="6"/>
        <v>0</v>
      </c>
      <c r="AQ50" s="31"/>
      <c r="AR50" s="280"/>
      <c r="AS50" s="280"/>
      <c r="AT50" s="280"/>
      <c r="AU50" s="280"/>
      <c r="AV50" s="286">
        <f t="shared" si="7"/>
        <v>0</v>
      </c>
      <c r="AW50" s="280"/>
      <c r="AX50" s="280"/>
      <c r="AY50" s="280"/>
      <c r="AZ50" s="280"/>
      <c r="BA50" s="294"/>
      <c r="BB50" s="280"/>
      <c r="BC50" s="286">
        <f t="shared" si="8"/>
        <v>0</v>
      </c>
      <c r="BD50" s="280"/>
      <c r="BE50" s="280"/>
      <c r="BF50" s="280"/>
      <c r="BG50" s="280"/>
      <c r="BH50" s="280"/>
      <c r="BI50" s="286">
        <f t="shared" si="3"/>
        <v>0</v>
      </c>
      <c r="BJ50" s="280"/>
      <c r="BK50" s="280"/>
      <c r="BL50" s="280"/>
      <c r="BM50" s="280"/>
      <c r="BN50" s="280"/>
      <c r="BO50" s="280"/>
      <c r="BP50" s="280"/>
      <c r="BQ50" s="279"/>
      <c r="BR50" s="288">
        <f>BS50/IF(Nøgletal!K378&gt;0,Nøgletal!K378,1)*Nøgletal!J378</f>
        <v>0</v>
      </c>
      <c r="BS50" s="292">
        <f>(Nøgletal!J$202+Nøgletal!J$273/(1-Nøgletal!J$300))*Nøgletal!J341</f>
        <v>0</v>
      </c>
      <c r="BT50" s="280"/>
      <c r="BU50" s="280"/>
      <c r="BV50" s="280"/>
      <c r="BW50" s="280"/>
      <c r="BX50" s="280"/>
      <c r="BY50" s="124">
        <f t="shared" si="42"/>
        <v>0</v>
      </c>
      <c r="BZ50" s="123">
        <f>(C50*Emissionsfaktorer!$E$4+E50*Emissionsfaktorer!$E$3+F50*Emissionsfaktorer!$E$5+H50*Emissionsfaktorer!$E$7+I50*Emissionsfaktorer!$E$8+J50*Emissionsfaktorer!$E$9+K50*Emissionsfaktorer!$E$10+L50*Emissionsfaktorer!$E$11+M50*Emissionsfaktorer!$E$12)*-1*(1-Nøgletal!$J$336)+T50*Emissionsfaktorer!$E$13*Nøgletal!$J$336</f>
        <v>0</v>
      </c>
      <c r="CA50" s="231"/>
      <c r="CB50" s="231"/>
      <c r="CC50" s="231"/>
      <c r="CD50" s="231"/>
    </row>
    <row r="51" spans="1:82" x14ac:dyDescent="0.25">
      <c r="A51" s="231"/>
      <c r="B51" s="31"/>
      <c r="C51" s="278">
        <f>AJ51*Nøgletal!J622</f>
        <v>0</v>
      </c>
      <c r="D51" s="278"/>
      <c r="E51" s="278">
        <f>AJ51*Nøgletal!J624</f>
        <v>0</v>
      </c>
      <c r="F51" s="278"/>
      <c r="G51" s="278">
        <f t="shared" si="29"/>
        <v>0</v>
      </c>
      <c r="H51" s="278"/>
      <c r="I51" s="278">
        <f>AJ51*Nøgletal!J623</f>
        <v>0</v>
      </c>
      <c r="J51" s="278"/>
      <c r="K51" s="278"/>
      <c r="L51" s="278"/>
      <c r="M51" s="278"/>
      <c r="N51" s="278">
        <f t="shared" si="32"/>
        <v>0</v>
      </c>
      <c r="O51" s="278"/>
      <c r="P51" s="278"/>
      <c r="Q51" s="278"/>
      <c r="R51" s="278"/>
      <c r="S51" s="278"/>
      <c r="T51" s="278">
        <f t="shared" si="30"/>
        <v>0</v>
      </c>
      <c r="U51" s="278">
        <f>AJ51*Nøgletal!J625</f>
        <v>0</v>
      </c>
      <c r="V51" s="278">
        <f>AJ51*Nøgletal!J626</f>
        <v>0</v>
      </c>
      <c r="W51" s="278">
        <f>AJ51*Nøgletal!J627</f>
        <v>0</v>
      </c>
      <c r="X51" s="278">
        <f>AJ51*Nøgletal!J628</f>
        <v>0</v>
      </c>
      <c r="Y51" s="278">
        <f>AJ51*Nøgletal!J629</f>
        <v>0</v>
      </c>
      <c r="Z51" s="278"/>
      <c r="AA51" s="278"/>
      <c r="AB51" s="278">
        <f>AJ51*Nøgletal!J630</f>
        <v>0</v>
      </c>
      <c r="AC51" s="280"/>
      <c r="AD51" s="280"/>
      <c r="AE51" s="280"/>
      <c r="AF51" s="280"/>
      <c r="AG51" s="280"/>
      <c r="AH51" s="280"/>
      <c r="AI51" s="280"/>
      <c r="AJ51" s="105">
        <f>-AO51/IF(Nøgletal!J379+Nøgletal!K379&gt;0,Nøgletal!J379+Nøgletal!K379,1)</f>
        <v>0</v>
      </c>
      <c r="AK51" s="260" t="s">
        <v>223</v>
      </c>
      <c r="AL51" s="25" t="s">
        <v>224</v>
      </c>
      <c r="AM51" s="25" t="s">
        <v>214</v>
      </c>
      <c r="AN51" s="37"/>
      <c r="AO51" s="38">
        <f t="shared" si="1"/>
        <v>0</v>
      </c>
      <c r="AP51" s="37">
        <f t="shared" si="6"/>
        <v>0</v>
      </c>
      <c r="AQ51" s="31"/>
      <c r="AR51" s="280"/>
      <c r="AS51" s="280"/>
      <c r="AT51" s="280"/>
      <c r="AU51" s="280"/>
      <c r="AV51" s="286">
        <f t="shared" si="7"/>
        <v>0</v>
      </c>
      <c r="AW51" s="280"/>
      <c r="AX51" s="280"/>
      <c r="AY51" s="280"/>
      <c r="AZ51" s="280"/>
      <c r="BA51" s="294"/>
      <c r="BB51" s="280"/>
      <c r="BC51" s="286">
        <f t="shared" si="8"/>
        <v>0</v>
      </c>
      <c r="BD51" s="280"/>
      <c r="BE51" s="280"/>
      <c r="BF51" s="280"/>
      <c r="BG51" s="280"/>
      <c r="BH51" s="280"/>
      <c r="BI51" s="286">
        <f t="shared" si="3"/>
        <v>0</v>
      </c>
      <c r="BJ51" s="280"/>
      <c r="BK51" s="280"/>
      <c r="BL51" s="280"/>
      <c r="BM51" s="280"/>
      <c r="BN51" s="280"/>
      <c r="BO51" s="280"/>
      <c r="BP51" s="280"/>
      <c r="BQ51" s="279"/>
      <c r="BR51" s="288">
        <f>BS51/IF(Nøgletal!K379&gt;0,Nøgletal!K379,1)*Nøgletal!J379</f>
        <v>0</v>
      </c>
      <c r="BS51" s="292">
        <f>(Nøgletal!J$202+Nøgletal!J$273/(1-Nøgletal!J$300))*Nøgletal!J342</f>
        <v>0</v>
      </c>
      <c r="BT51" s="280"/>
      <c r="BU51" s="280"/>
      <c r="BV51" s="280"/>
      <c r="BW51" s="280"/>
      <c r="BX51" s="280"/>
      <c r="BY51" s="124">
        <f t="shared" si="42"/>
        <v>0</v>
      </c>
      <c r="BZ51" s="123">
        <f>(C51*Emissionsfaktorer!$E$4+E51*Emissionsfaktorer!$E$3+F51*Emissionsfaktorer!$E$5+H51*Emissionsfaktorer!$E$7+I51*Emissionsfaktorer!$E$8+J51*Emissionsfaktorer!$E$9+K51*Emissionsfaktorer!$E$10+L51*Emissionsfaktorer!$E$11+M51*Emissionsfaktorer!$E$12)*-1*(1-Nøgletal!$J$336)+T51*Emissionsfaktorer!$E$13*Nøgletal!$J$336</f>
        <v>0</v>
      </c>
      <c r="CA51" s="231"/>
      <c r="CB51" s="231"/>
      <c r="CC51" s="231"/>
      <c r="CD51" s="231"/>
    </row>
    <row r="52" spans="1:82" x14ac:dyDescent="0.25">
      <c r="A52" s="231"/>
      <c r="B52" s="31"/>
      <c r="C52" s="278"/>
      <c r="D52" s="278"/>
      <c r="E52" s="278"/>
      <c r="F52" s="278"/>
      <c r="G52" s="278">
        <f t="shared" si="29"/>
        <v>0</v>
      </c>
      <c r="H52" s="278"/>
      <c r="I52" s="278"/>
      <c r="J52" s="278"/>
      <c r="K52" s="278"/>
      <c r="L52" s="278"/>
      <c r="M52" s="278"/>
      <c r="N52" s="278">
        <f t="shared" si="32"/>
        <v>0</v>
      </c>
      <c r="O52" s="278"/>
      <c r="P52" s="278"/>
      <c r="Q52" s="278"/>
      <c r="R52" s="278"/>
      <c r="S52" s="278"/>
      <c r="T52" s="278">
        <f t="shared" si="30"/>
        <v>0</v>
      </c>
      <c r="U52" s="278"/>
      <c r="V52" s="278"/>
      <c r="W52" s="278"/>
      <c r="X52" s="278"/>
      <c r="Y52" s="278"/>
      <c r="Z52" s="278"/>
      <c r="AA52" s="278"/>
      <c r="AB52" s="278"/>
      <c r="AC52" s="280"/>
      <c r="AD52" s="280"/>
      <c r="AE52" s="280"/>
      <c r="AF52" s="283">
        <f>AJ52</f>
        <v>-354.49515000000002</v>
      </c>
      <c r="AG52" s="280"/>
      <c r="AH52" s="280"/>
      <c r="AI52" s="280"/>
      <c r="AJ52" s="105">
        <f>-AO52/IF(Nøgletal!J380+Nøgletal!K380&gt;0,Nøgletal!J380+Nøgletal!K380,1)</f>
        <v>-354.49515000000002</v>
      </c>
      <c r="AK52" s="260" t="s">
        <v>225</v>
      </c>
      <c r="AL52" s="25" t="s">
        <v>226</v>
      </c>
      <c r="AM52" s="25" t="s">
        <v>214</v>
      </c>
      <c r="AN52" s="37"/>
      <c r="AO52" s="38">
        <f t="shared" si="1"/>
        <v>354.49515000000002</v>
      </c>
      <c r="AP52" s="37">
        <f t="shared" si="6"/>
        <v>1</v>
      </c>
      <c r="AQ52" s="31"/>
      <c r="AR52" s="280"/>
      <c r="AS52" s="280"/>
      <c r="AT52" s="280"/>
      <c r="AU52" s="280"/>
      <c r="AV52" s="286">
        <f t="shared" si="7"/>
        <v>0</v>
      </c>
      <c r="AW52" s="280"/>
      <c r="AX52" s="280"/>
      <c r="AY52" s="280"/>
      <c r="AZ52" s="280"/>
      <c r="BA52" s="294"/>
      <c r="BB52" s="280"/>
      <c r="BC52" s="286">
        <f t="shared" si="8"/>
        <v>0</v>
      </c>
      <c r="BD52" s="280"/>
      <c r="BE52" s="280"/>
      <c r="BF52" s="280"/>
      <c r="BG52" s="280"/>
      <c r="BH52" s="280"/>
      <c r="BI52" s="286">
        <f t="shared" si="3"/>
        <v>0</v>
      </c>
      <c r="BJ52" s="280"/>
      <c r="BK52" s="280"/>
      <c r="BL52" s="280"/>
      <c r="BM52" s="280"/>
      <c r="BN52" s="280"/>
      <c r="BO52" s="280"/>
      <c r="BP52" s="280"/>
      <c r="BQ52" s="279"/>
      <c r="BR52" s="288">
        <f>BS52/IF(Nøgletal!K380&gt;0,Nøgletal!K380,1)*Nøgletal!J380</f>
        <v>0</v>
      </c>
      <c r="BS52" s="292">
        <f>(Nøgletal!J$202+Nøgletal!J$273/(1-Nøgletal!J$300))*Nøgletal!J343</f>
        <v>354.49515000000002</v>
      </c>
      <c r="BT52" s="280"/>
      <c r="BU52" s="280"/>
      <c r="BV52" s="280"/>
      <c r="BW52" s="280"/>
      <c r="BX52" s="280"/>
      <c r="BY52" s="124">
        <f t="shared" si="42"/>
        <v>0</v>
      </c>
      <c r="BZ52" s="123">
        <f>(C52*Emissionsfaktorer!$E$4+E52*Emissionsfaktorer!$E$3+F52*Emissionsfaktorer!$E$5+H52*Emissionsfaktorer!$E$7+I52*Emissionsfaktorer!$E$8+J52*Emissionsfaktorer!$E$9+K52*Emissionsfaktorer!$E$10+L52*Emissionsfaktorer!$E$11+M52*Emissionsfaktorer!$E$12)*-1*(1-Nøgletal!$J$336)+T52*Emissionsfaktorer!$E$13*Nøgletal!$J$336</f>
        <v>0</v>
      </c>
      <c r="CA52" s="231"/>
      <c r="CB52" s="231"/>
      <c r="CC52" s="231"/>
      <c r="CD52" s="231"/>
    </row>
    <row r="53" spans="1:82" x14ac:dyDescent="0.25">
      <c r="A53" s="231"/>
      <c r="B53" s="31"/>
      <c r="C53" s="278"/>
      <c r="D53" s="278"/>
      <c r="E53" s="278"/>
      <c r="F53" s="278"/>
      <c r="G53" s="278">
        <f t="shared" si="29"/>
        <v>0</v>
      </c>
      <c r="H53" s="278"/>
      <c r="I53" s="278"/>
      <c r="J53" s="278"/>
      <c r="K53" s="278"/>
      <c r="L53" s="278"/>
      <c r="M53" s="278"/>
      <c r="N53" s="278">
        <f t="shared" si="32"/>
        <v>0</v>
      </c>
      <c r="O53" s="278"/>
      <c r="P53" s="278"/>
      <c r="Q53" s="278"/>
      <c r="R53" s="278"/>
      <c r="S53" s="278"/>
      <c r="T53" s="278">
        <f t="shared" si="30"/>
        <v>0</v>
      </c>
      <c r="U53" s="278"/>
      <c r="V53" s="278"/>
      <c r="W53" s="278"/>
      <c r="X53" s="278"/>
      <c r="Y53" s="278"/>
      <c r="Z53" s="278"/>
      <c r="AA53" s="278"/>
      <c r="AB53" s="278"/>
      <c r="AC53" s="280">
        <f>Nøgletal!J201*-1</f>
        <v>-145.10808</v>
      </c>
      <c r="AD53" s="280"/>
      <c r="AE53" s="280"/>
      <c r="AF53" s="280"/>
      <c r="AG53" s="280"/>
      <c r="AH53" s="280"/>
      <c r="AI53" s="280"/>
      <c r="AJ53" s="105">
        <f>AC53</f>
        <v>-145.10808</v>
      </c>
      <c r="AK53" s="260" t="s">
        <v>227</v>
      </c>
      <c r="AL53" s="17" t="s">
        <v>228</v>
      </c>
      <c r="AM53" s="25" t="s">
        <v>214</v>
      </c>
      <c r="AN53" s="37"/>
      <c r="AO53" s="38">
        <f t="shared" si="1"/>
        <v>145.10808</v>
      </c>
      <c r="AP53" s="37">
        <f t="shared" si="6"/>
        <v>1</v>
      </c>
      <c r="AQ53" s="31"/>
      <c r="AR53" s="280"/>
      <c r="AS53" s="280"/>
      <c r="AT53" s="280"/>
      <c r="AU53" s="280"/>
      <c r="AV53" s="286">
        <f t="shared" si="7"/>
        <v>0</v>
      </c>
      <c r="AW53" s="280"/>
      <c r="AX53" s="280"/>
      <c r="AY53" s="280"/>
      <c r="AZ53" s="280"/>
      <c r="BA53" s="294"/>
      <c r="BB53" s="280"/>
      <c r="BC53" s="286">
        <f t="shared" si="8"/>
        <v>0</v>
      </c>
      <c r="BD53" s="280"/>
      <c r="BE53" s="280"/>
      <c r="BF53" s="280"/>
      <c r="BG53" s="280"/>
      <c r="BH53" s="280"/>
      <c r="BI53" s="286">
        <f t="shared" si="3"/>
        <v>0</v>
      </c>
      <c r="BJ53" s="280"/>
      <c r="BK53" s="280"/>
      <c r="BL53" s="280"/>
      <c r="BM53" s="280"/>
      <c r="BN53" s="280"/>
      <c r="BO53" s="280"/>
      <c r="BP53" s="280"/>
      <c r="BQ53" s="279"/>
      <c r="BR53" s="280"/>
      <c r="BS53" s="280"/>
      <c r="BT53" s="280"/>
      <c r="BU53" s="280"/>
      <c r="BV53" s="280"/>
      <c r="BW53" s="292">
        <f>Nøgletal!J201</f>
        <v>145.10808</v>
      </c>
      <c r="BX53" s="292"/>
      <c r="BY53" s="124">
        <f t="shared" si="42"/>
        <v>0</v>
      </c>
      <c r="BZ53" s="123">
        <f>(C53*Emissionsfaktorer!$E$4+E53*Emissionsfaktorer!$E$3+F53*Emissionsfaktorer!$E$5+H53*Emissionsfaktorer!$E$7+I53*Emissionsfaktorer!$E$8+J53*Emissionsfaktorer!$E$9+K53*Emissionsfaktorer!$E$10+L53*Emissionsfaktorer!$E$11+M53*Emissionsfaktorer!$E$12)*-1*(1-Nøgletal!$J$336)+T53*Emissionsfaktorer!$E$13*Nøgletal!$J$336</f>
        <v>0</v>
      </c>
      <c r="CA53" s="231"/>
      <c r="CB53" s="231"/>
      <c r="CC53" s="231"/>
      <c r="CD53" s="231"/>
    </row>
    <row r="54" spans="1:82" x14ac:dyDescent="0.25">
      <c r="A54" s="231"/>
      <c r="B54" s="31"/>
      <c r="C54" s="278"/>
      <c r="D54" s="278"/>
      <c r="E54" s="278"/>
      <c r="F54" s="278"/>
      <c r="G54" s="278">
        <f t="shared" si="29"/>
        <v>0</v>
      </c>
      <c r="H54" s="278"/>
      <c r="I54" s="278"/>
      <c r="J54" s="278"/>
      <c r="K54" s="278"/>
      <c r="L54" s="278"/>
      <c r="M54" s="278"/>
      <c r="N54" s="278">
        <f t="shared" si="32"/>
        <v>0</v>
      </c>
      <c r="O54" s="278"/>
      <c r="P54" s="278"/>
      <c r="Q54" s="278"/>
      <c r="R54" s="278"/>
      <c r="S54" s="278"/>
      <c r="T54" s="278">
        <f t="shared" si="30"/>
        <v>0</v>
      </c>
      <c r="U54" s="278"/>
      <c r="V54" s="278"/>
      <c r="W54" s="278"/>
      <c r="X54" s="278"/>
      <c r="Y54" s="278"/>
      <c r="Z54" s="278"/>
      <c r="AA54" s="278"/>
      <c r="AB54" s="278"/>
      <c r="AC54" s="280"/>
      <c r="AD54" s="280"/>
      <c r="AE54" s="280"/>
      <c r="AF54" s="280"/>
      <c r="AG54" s="280"/>
      <c r="AH54" s="280"/>
      <c r="AI54" s="280"/>
      <c r="AJ54" s="105">
        <f>AD54</f>
        <v>0</v>
      </c>
      <c r="AK54" s="260" t="s">
        <v>229</v>
      </c>
      <c r="AL54" s="17" t="s">
        <v>230</v>
      </c>
      <c r="AM54" s="25" t="s">
        <v>214</v>
      </c>
      <c r="AN54" s="37"/>
      <c r="AO54" s="38">
        <f t="shared" si="1"/>
        <v>0</v>
      </c>
      <c r="AP54" s="37">
        <f t="shared" si="6"/>
        <v>0</v>
      </c>
      <c r="AQ54" s="31"/>
      <c r="AR54" s="280"/>
      <c r="AS54" s="280"/>
      <c r="AT54" s="280"/>
      <c r="AU54" s="280"/>
      <c r="AV54" s="286">
        <f t="shared" si="7"/>
        <v>0</v>
      </c>
      <c r="AW54" s="280"/>
      <c r="AX54" s="280"/>
      <c r="AY54" s="280"/>
      <c r="AZ54" s="280"/>
      <c r="BA54" s="294"/>
      <c r="BB54" s="280"/>
      <c r="BC54" s="286">
        <f t="shared" si="8"/>
        <v>0</v>
      </c>
      <c r="BD54" s="280"/>
      <c r="BE54" s="280"/>
      <c r="BF54" s="280"/>
      <c r="BG54" s="280"/>
      <c r="BH54" s="280"/>
      <c r="BI54" s="286">
        <f t="shared" si="3"/>
        <v>0</v>
      </c>
      <c r="BJ54" s="280"/>
      <c r="BK54" s="280"/>
      <c r="BL54" s="280"/>
      <c r="BM54" s="280"/>
      <c r="BN54" s="280"/>
      <c r="BO54" s="280"/>
      <c r="BP54" s="280"/>
      <c r="BQ54" s="279"/>
      <c r="BR54" s="280"/>
      <c r="BS54" s="280"/>
      <c r="BT54" s="280"/>
      <c r="BU54" s="280"/>
      <c r="BV54" s="280"/>
      <c r="BW54" s="292">
        <f>Nøgletal!J202</f>
        <v>0</v>
      </c>
      <c r="BX54" s="292"/>
      <c r="BY54" s="124">
        <f t="shared" si="42"/>
        <v>0</v>
      </c>
      <c r="BZ54" s="123">
        <f>(C54*Emissionsfaktorer!$E$4+E54*Emissionsfaktorer!$E$3+F54*Emissionsfaktorer!$E$5+H54*Emissionsfaktorer!$E$7+I54*Emissionsfaktorer!$E$8+J54*Emissionsfaktorer!$E$9+K54*Emissionsfaktorer!$E$10+L54*Emissionsfaktorer!$E$11+M54*Emissionsfaktorer!$E$12)*-1*(1-Nøgletal!$J$336)+T54*Emissionsfaktorer!$E$13*Nøgletal!$J$336</f>
        <v>0</v>
      </c>
      <c r="CA54" s="231"/>
      <c r="CB54" s="231"/>
      <c r="CC54" s="231"/>
      <c r="CD54" s="231"/>
    </row>
    <row r="55" spans="1:82" x14ac:dyDescent="0.25">
      <c r="A55" s="231"/>
      <c r="B55" s="31"/>
      <c r="C55" s="278"/>
      <c r="D55" s="278"/>
      <c r="E55" s="278"/>
      <c r="F55" s="278"/>
      <c r="G55" s="278">
        <f t="shared" si="29"/>
        <v>0</v>
      </c>
      <c r="H55" s="278"/>
      <c r="I55" s="278"/>
      <c r="J55" s="278"/>
      <c r="K55" s="278"/>
      <c r="L55" s="278"/>
      <c r="M55" s="278"/>
      <c r="N55" s="278">
        <f t="shared" si="32"/>
        <v>0</v>
      </c>
      <c r="O55" s="278"/>
      <c r="P55" s="278"/>
      <c r="Q55" s="278"/>
      <c r="R55" s="278"/>
      <c r="S55" s="278"/>
      <c r="T55" s="278">
        <f t="shared" si="30"/>
        <v>0</v>
      </c>
      <c r="U55" s="278"/>
      <c r="V55" s="278"/>
      <c r="W55" s="278"/>
      <c r="X55" s="278"/>
      <c r="Y55" s="278"/>
      <c r="Z55" s="278"/>
      <c r="AA55" s="278"/>
      <c r="AB55" s="278"/>
      <c r="AC55" s="280"/>
      <c r="AD55" s="280"/>
      <c r="AE55" s="280"/>
      <c r="AF55" s="280"/>
      <c r="AG55" s="280"/>
      <c r="AH55" s="280"/>
      <c r="AI55" s="280"/>
      <c r="AJ55" s="105">
        <f>-AO55</f>
        <v>0</v>
      </c>
      <c r="AK55" s="260" t="s">
        <v>231</v>
      </c>
      <c r="AL55" s="17" t="s">
        <v>232</v>
      </c>
      <c r="AM55" s="25" t="s">
        <v>214</v>
      </c>
      <c r="AN55" s="37"/>
      <c r="AO55" s="38">
        <f t="shared" si="1"/>
        <v>0</v>
      </c>
      <c r="AP55" s="37">
        <f t="shared" si="6"/>
        <v>0</v>
      </c>
      <c r="AQ55" s="31"/>
      <c r="AR55" s="280"/>
      <c r="AS55" s="280"/>
      <c r="AT55" s="280"/>
      <c r="AU55" s="280"/>
      <c r="AV55" s="286">
        <f t="shared" si="7"/>
        <v>0</v>
      </c>
      <c r="AW55" s="280"/>
      <c r="AX55" s="280"/>
      <c r="AY55" s="280"/>
      <c r="AZ55" s="280"/>
      <c r="BA55" s="294"/>
      <c r="BB55" s="280"/>
      <c r="BC55" s="286">
        <f t="shared" si="8"/>
        <v>0</v>
      </c>
      <c r="BD55" s="280"/>
      <c r="BE55" s="280"/>
      <c r="BF55" s="280"/>
      <c r="BG55" s="280"/>
      <c r="BH55" s="280"/>
      <c r="BI55" s="286">
        <f t="shared" si="3"/>
        <v>0</v>
      </c>
      <c r="BJ55" s="280"/>
      <c r="BK55" s="280"/>
      <c r="BL55" s="280"/>
      <c r="BM55" s="280"/>
      <c r="BN55" s="280"/>
      <c r="BO55" s="280"/>
      <c r="BP55" s="280"/>
      <c r="BQ55" s="279"/>
      <c r="BR55" s="280"/>
      <c r="BS55" s="292"/>
      <c r="BT55" s="280"/>
      <c r="BU55" s="280"/>
      <c r="BV55" s="280"/>
      <c r="BW55" s="280"/>
      <c r="BX55" s="280"/>
      <c r="BY55" s="124">
        <f t="shared" si="42"/>
        <v>0</v>
      </c>
      <c r="BZ55" s="123">
        <f>(C55*Emissionsfaktorer!$E$4+E55*Emissionsfaktorer!$E$3+F55*Emissionsfaktorer!$E$5+H55*Emissionsfaktorer!$E$7+I55*Emissionsfaktorer!$E$8+J55*Emissionsfaktorer!$E$9+K55*Emissionsfaktorer!$E$10+L55*Emissionsfaktorer!$E$11+M55*Emissionsfaktorer!$E$12)*-1*(1-Nøgletal!$J$336)+T55*Emissionsfaktorer!$E$13*Nøgletal!$J$336</f>
        <v>0</v>
      </c>
      <c r="CA55" s="40"/>
      <c r="CB55" s="231"/>
      <c r="CC55" s="231"/>
      <c r="CD55" s="231"/>
    </row>
    <row r="56" spans="1:82" x14ac:dyDescent="0.25">
      <c r="A56" s="231"/>
      <c r="B56" s="31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32"/>
      <c r="AD56" s="32"/>
      <c r="AE56" s="32"/>
      <c r="AF56" s="32"/>
      <c r="AG56" s="32"/>
      <c r="AH56" s="32"/>
      <c r="AI56" s="32"/>
      <c r="AJ56" s="105"/>
      <c r="AK56" s="48" t="s">
        <v>557</v>
      </c>
      <c r="AL56" s="17" t="s">
        <v>562</v>
      </c>
      <c r="AM56" s="25" t="s">
        <v>559</v>
      </c>
      <c r="AN56" s="37"/>
      <c r="AO56" s="38">
        <f t="shared" si="1"/>
        <v>0</v>
      </c>
      <c r="AP56" s="37"/>
      <c r="AQ56" s="31"/>
      <c r="AR56" s="32"/>
      <c r="AS56" s="32"/>
      <c r="AT56" s="32"/>
      <c r="AU56" s="32"/>
      <c r="AV56" s="91"/>
      <c r="AW56" s="32"/>
      <c r="AX56" s="32"/>
      <c r="AY56" s="32"/>
      <c r="AZ56" s="32"/>
      <c r="BA56" s="94"/>
      <c r="BB56" s="32"/>
      <c r="BC56" s="91"/>
      <c r="BD56" s="32"/>
      <c r="BE56" s="32"/>
      <c r="BF56" s="32"/>
      <c r="BG56" s="32"/>
      <c r="BH56" s="32"/>
      <c r="BI56" s="91"/>
      <c r="BJ56" s="32"/>
      <c r="BK56" s="32"/>
      <c r="BL56" s="32"/>
      <c r="BM56" s="32"/>
      <c r="BN56" s="32"/>
      <c r="BO56" s="32"/>
      <c r="BP56" s="32"/>
      <c r="BQ56" s="36"/>
      <c r="BR56" s="32"/>
      <c r="BS56" s="78"/>
      <c r="BT56" s="32"/>
      <c r="BU56" s="32"/>
      <c r="BV56" s="32"/>
      <c r="BW56" s="32"/>
      <c r="BX56" s="32"/>
      <c r="BY56" s="124"/>
      <c r="BZ56" s="123"/>
      <c r="CA56" s="40"/>
      <c r="CB56" s="40"/>
      <c r="CC56" s="231"/>
      <c r="CD56" s="231"/>
    </row>
    <row r="57" spans="1:82" x14ac:dyDescent="0.25">
      <c r="A57" s="231"/>
      <c r="B57" s="31"/>
      <c r="C57" s="20">
        <f>SUM(C58:C64)</f>
        <v>0</v>
      </c>
      <c r="D57" s="20">
        <f t="shared" ref="D57:AH57" si="43">SUM(D58:D64)</f>
        <v>0</v>
      </c>
      <c r="E57" s="20">
        <f t="shared" si="43"/>
        <v>-2999.9999999999991</v>
      </c>
      <c r="F57" s="20">
        <f t="shared" si="43"/>
        <v>-205.46009999999995</v>
      </c>
      <c r="G57" s="20">
        <f t="shared" si="43"/>
        <v>-48.095999999999989</v>
      </c>
      <c r="H57" s="20">
        <f t="shared" si="43"/>
        <v>0</v>
      </c>
      <c r="I57" s="20">
        <f t="shared" si="43"/>
        <v>0</v>
      </c>
      <c r="J57" s="20">
        <f t="shared" si="43"/>
        <v>-48.095999999999989</v>
      </c>
      <c r="K57" s="20">
        <f t="shared" si="43"/>
        <v>0</v>
      </c>
      <c r="L57" s="20">
        <f t="shared" si="43"/>
        <v>0</v>
      </c>
      <c r="M57" s="20">
        <f t="shared" si="43"/>
        <v>0</v>
      </c>
      <c r="N57" s="20">
        <f t="shared" si="43"/>
        <v>0</v>
      </c>
      <c r="O57" s="20">
        <f t="shared" si="43"/>
        <v>0</v>
      </c>
      <c r="P57" s="20">
        <f t="shared" si="43"/>
        <v>0</v>
      </c>
      <c r="Q57" s="20">
        <f t="shared" si="43"/>
        <v>0</v>
      </c>
      <c r="R57" s="20">
        <f t="shared" si="43"/>
        <v>0</v>
      </c>
      <c r="S57" s="20">
        <f t="shared" si="43"/>
        <v>0</v>
      </c>
      <c r="T57" s="20">
        <f t="shared" si="43"/>
        <v>-338.95989999999995</v>
      </c>
      <c r="U57" s="20">
        <f t="shared" si="43"/>
        <v>0</v>
      </c>
      <c r="V57" s="20">
        <f t="shared" si="43"/>
        <v>0</v>
      </c>
      <c r="W57" s="20">
        <f t="shared" si="43"/>
        <v>-2.6719999999999993</v>
      </c>
      <c r="X57" s="20">
        <f t="shared" si="43"/>
        <v>-26.385999999999996</v>
      </c>
      <c r="Y57" s="20">
        <f t="shared" si="43"/>
        <v>-55.777999999999992</v>
      </c>
      <c r="Z57" s="20">
        <f t="shared" si="43"/>
        <v>0</v>
      </c>
      <c r="AA57" s="20">
        <f t="shared" si="43"/>
        <v>-251.11789999999996</v>
      </c>
      <c r="AB57" s="20">
        <f t="shared" si="43"/>
        <v>-3.0059999999999993</v>
      </c>
      <c r="AC57" s="20">
        <f t="shared" si="43"/>
        <v>0</v>
      </c>
      <c r="AD57" s="20">
        <f t="shared" si="43"/>
        <v>0</v>
      </c>
      <c r="AE57" s="20">
        <f t="shared" si="43"/>
        <v>0</v>
      </c>
      <c r="AF57" s="20">
        <f t="shared" si="43"/>
        <v>0</v>
      </c>
      <c r="AG57" s="20">
        <f t="shared" si="43"/>
        <v>0</v>
      </c>
      <c r="AH57" s="20">
        <f t="shared" si="43"/>
        <v>0</v>
      </c>
      <c r="AI57" s="20"/>
      <c r="AJ57" s="105">
        <f>SUM(C57:G57,N57,T57,AC57:AG57)</f>
        <v>-3592.5159999999987</v>
      </c>
      <c r="AK57" s="47" t="s">
        <v>199</v>
      </c>
      <c r="AL57" s="17" t="s">
        <v>200</v>
      </c>
      <c r="AM57" s="17" t="s">
        <v>128</v>
      </c>
      <c r="AN57" s="37">
        <f>'Størrelse på strømme'!E47</f>
        <v>44.629341032507021</v>
      </c>
      <c r="AO57" s="38">
        <f t="shared" si="1"/>
        <v>2744.6822239999992</v>
      </c>
      <c r="AP57" s="37">
        <f t="shared" ref="AP57:AP64" si="44">IF(AJ57=0,0,AO57/AJ57*-1)</f>
        <v>0.76400000000000001</v>
      </c>
      <c r="AQ57" s="31"/>
      <c r="AR57" s="20">
        <f t="shared" ref="AR57:BU57" si="45">SUM(AR58:AR64)</f>
        <v>0</v>
      </c>
      <c r="AS57" s="20">
        <f t="shared" si="45"/>
        <v>0</v>
      </c>
      <c r="AT57" s="20">
        <f t="shared" si="45"/>
        <v>0</v>
      </c>
      <c r="AU57" s="20">
        <f t="shared" si="45"/>
        <v>0</v>
      </c>
      <c r="AV57" s="20">
        <f t="shared" si="45"/>
        <v>0</v>
      </c>
      <c r="AW57" s="20">
        <f t="shared" si="45"/>
        <v>0</v>
      </c>
      <c r="AX57" s="20">
        <f t="shared" si="45"/>
        <v>0</v>
      </c>
      <c r="AY57" s="20">
        <f t="shared" si="45"/>
        <v>0</v>
      </c>
      <c r="AZ57" s="20">
        <f t="shared" si="45"/>
        <v>0</v>
      </c>
      <c r="BA57" s="20">
        <f t="shared" si="45"/>
        <v>0</v>
      </c>
      <c r="BB57" s="20">
        <f t="shared" si="45"/>
        <v>0</v>
      </c>
      <c r="BC57" s="20">
        <f t="shared" si="45"/>
        <v>0</v>
      </c>
      <c r="BD57" s="20">
        <f t="shared" si="45"/>
        <v>0</v>
      </c>
      <c r="BE57" s="20">
        <f t="shared" si="45"/>
        <v>0</v>
      </c>
      <c r="BF57" s="20">
        <f t="shared" si="45"/>
        <v>0</v>
      </c>
      <c r="BG57" s="20">
        <f t="shared" si="45"/>
        <v>0</v>
      </c>
      <c r="BH57" s="20">
        <f t="shared" si="45"/>
        <v>0</v>
      </c>
      <c r="BI57" s="20">
        <f t="shared" si="45"/>
        <v>0</v>
      </c>
      <c r="BJ57" s="20">
        <f t="shared" si="45"/>
        <v>0</v>
      </c>
      <c r="BK57" s="20">
        <f t="shared" si="45"/>
        <v>0</v>
      </c>
      <c r="BL57" s="20">
        <f t="shared" si="45"/>
        <v>0</v>
      </c>
      <c r="BM57" s="20">
        <f t="shared" si="45"/>
        <v>0</v>
      </c>
      <c r="BN57" s="20">
        <f t="shared" si="45"/>
        <v>0</v>
      </c>
      <c r="BO57" s="20">
        <f t="shared" si="45"/>
        <v>0</v>
      </c>
      <c r="BP57" s="20">
        <f t="shared" si="45"/>
        <v>0</v>
      </c>
      <c r="BQ57" s="20">
        <f t="shared" si="45"/>
        <v>0</v>
      </c>
      <c r="BR57" s="20">
        <f t="shared" si="45"/>
        <v>822.68616399999974</v>
      </c>
      <c r="BS57" s="20">
        <f>Nøgletal!J272/(1-Nøgletal!J299)</f>
        <v>1921.9960599999997</v>
      </c>
      <c r="BT57" s="20">
        <f>Nøgletal!K272/(1-Nøgletal!K299)</f>
        <v>0</v>
      </c>
      <c r="BU57" s="20">
        <f t="shared" si="45"/>
        <v>0</v>
      </c>
      <c r="BV57" s="20">
        <f t="shared" ref="BV57" si="46">SUM(BV58:BV64)</f>
        <v>0</v>
      </c>
      <c r="BW57" s="20">
        <f t="shared" ref="BW57:BZ57" si="47">SUM(BW58:BW64)</f>
        <v>0</v>
      </c>
      <c r="BX57" s="20">
        <f t="shared" si="47"/>
        <v>0</v>
      </c>
      <c r="BY57" s="126">
        <f t="shared" si="47"/>
        <v>847.83377599999949</v>
      </c>
      <c r="BZ57" s="126">
        <f t="shared" si="47"/>
        <v>191.36203342199994</v>
      </c>
      <c r="CA57" s="231"/>
      <c r="CB57" s="40"/>
      <c r="CC57" s="231"/>
      <c r="CD57" s="231"/>
    </row>
    <row r="58" spans="1:82" x14ac:dyDescent="0.25">
      <c r="A58" s="231"/>
      <c r="B58" s="31"/>
      <c r="C58" s="23">
        <f>AJ58*Nøgletal!J551</f>
        <v>0</v>
      </c>
      <c r="D58" s="23"/>
      <c r="E58" s="23">
        <f>AJ58*Nøgletal!J553</f>
        <v>0</v>
      </c>
      <c r="F58" s="23"/>
      <c r="G58" s="23">
        <f t="shared" ref="G58:G64" si="48">SUM(H58:M58)</f>
        <v>0</v>
      </c>
      <c r="H58" s="23"/>
      <c r="I58" s="23">
        <f>AJ58*Nøgletal!J552</f>
        <v>0</v>
      </c>
      <c r="J58" s="23">
        <f>AJ58*Nøgletal!J557</f>
        <v>0</v>
      </c>
      <c r="K58" s="23"/>
      <c r="L58" s="23"/>
      <c r="M58" s="23"/>
      <c r="N58" s="23">
        <f t="shared" ref="N58:N64" si="49">SUM(O58:S58)</f>
        <v>0</v>
      </c>
      <c r="O58" s="23"/>
      <c r="P58" s="23"/>
      <c r="Q58" s="23"/>
      <c r="R58" s="23"/>
      <c r="S58" s="23"/>
      <c r="T58" s="23">
        <f t="shared" ref="T58:T64" si="50">SUM(U58:AB58)</f>
        <v>0</v>
      </c>
      <c r="U58" s="23">
        <f>AJ58*Nøgletal!J554</f>
        <v>0</v>
      </c>
      <c r="V58" s="23">
        <f>AJ58*Nøgletal!J555</f>
        <v>0</v>
      </c>
      <c r="W58" s="23">
        <f>AJ58*Nøgletal!J556</f>
        <v>0</v>
      </c>
      <c r="X58" s="23">
        <f>AJ58*Nøgletal!J558</f>
        <v>0</v>
      </c>
      <c r="Y58" s="23">
        <f>AJ58*Nøgletal!J559</f>
        <v>0</v>
      </c>
      <c r="Z58" s="23"/>
      <c r="AA58" s="23"/>
      <c r="AB58" s="23">
        <f>AJ58*Nøgletal!J560</f>
        <v>0</v>
      </c>
      <c r="AC58" s="32"/>
      <c r="AD58" s="32"/>
      <c r="AE58" s="32"/>
      <c r="AF58" s="32"/>
      <c r="AG58" s="32"/>
      <c r="AH58" s="32"/>
      <c r="AI58" s="32"/>
      <c r="AJ58" s="105">
        <f>-AO58/IF(Nøgletal!K369+Nøgletal!J369&gt;0,Nøgletal!K369+Nøgletal!J369,1)</f>
        <v>0</v>
      </c>
      <c r="AK58" s="48" t="s">
        <v>201</v>
      </c>
      <c r="AL58" s="27" t="s">
        <v>202</v>
      </c>
      <c r="AM58" s="25" t="s">
        <v>200</v>
      </c>
      <c r="AN58" s="37"/>
      <c r="AO58" s="38">
        <f t="shared" si="1"/>
        <v>0</v>
      </c>
      <c r="AP58" s="37">
        <f t="shared" si="44"/>
        <v>0</v>
      </c>
      <c r="AQ58" s="31"/>
      <c r="AR58" s="32"/>
      <c r="AS58" s="32"/>
      <c r="AT58" s="32"/>
      <c r="AU58" s="32"/>
      <c r="AV58" s="91">
        <f t="shared" ref="AV58:AV64" si="51">SUM(AW58:BB58)</f>
        <v>0</v>
      </c>
      <c r="AW58" s="32"/>
      <c r="AX58" s="32"/>
      <c r="AY58" s="32"/>
      <c r="AZ58" s="32"/>
      <c r="BA58" s="94"/>
      <c r="BB58" s="32"/>
      <c r="BC58" s="91">
        <f t="shared" ref="BC58:BC64" si="52">SUM(BD58:BH58)</f>
        <v>0</v>
      </c>
      <c r="BD58" s="32"/>
      <c r="BE58" s="32"/>
      <c r="BF58" s="32"/>
      <c r="BG58" s="32"/>
      <c r="BH58" s="32"/>
      <c r="BI58" s="91">
        <f t="shared" ref="BI58:BI64" si="53">SUM(BJ58:BQ58)</f>
        <v>0</v>
      </c>
      <c r="BJ58" s="32"/>
      <c r="BK58" s="32"/>
      <c r="BL58" s="32"/>
      <c r="BM58" s="32"/>
      <c r="BN58" s="32"/>
      <c r="BO58" s="32"/>
      <c r="BP58" s="32"/>
      <c r="BQ58" s="36"/>
      <c r="BR58" s="284">
        <f>BS58/IF(Nøgletal!K369&gt;0,Nøgletal!K369,1)*Nøgletal!J369</f>
        <v>0</v>
      </c>
      <c r="BS58" s="78">
        <f>BS$57*Nøgletal!J331</f>
        <v>0</v>
      </c>
      <c r="BT58" s="32"/>
      <c r="BU58" s="32"/>
      <c r="BV58" s="32"/>
      <c r="BW58" s="32"/>
      <c r="BX58" s="32"/>
      <c r="BY58" s="124">
        <f>(AJ58+AO58)*-1</f>
        <v>0</v>
      </c>
      <c r="BZ58" s="123">
        <f>(C58*Emissionsfaktorer!$E$4+E58*Emissionsfaktorer!$E$3+F58*Emissionsfaktorer!$E$5+H58*Emissionsfaktorer!$E$7+I58*Emissionsfaktorer!$E$8+J58*Emissionsfaktorer!$E$9+K58*Emissionsfaktorer!$E$10+L58*Emissionsfaktorer!$E$11+M58*Emissionsfaktorer!$E$12)*-1*(1-Nøgletal!$J$329)+T58*Emissionsfaktorer!$E$13*Nøgletal!$J$329</f>
        <v>0</v>
      </c>
      <c r="CA58" s="231"/>
      <c r="CB58" s="231"/>
      <c r="CC58" s="231"/>
      <c r="CD58" s="231"/>
    </row>
    <row r="59" spans="1:82" x14ac:dyDescent="0.25">
      <c r="A59" s="231"/>
      <c r="B59" s="31"/>
      <c r="C59" s="23"/>
      <c r="D59" s="23"/>
      <c r="E59" s="23"/>
      <c r="F59" s="23"/>
      <c r="G59" s="23">
        <f t="shared" si="48"/>
        <v>0</v>
      </c>
      <c r="H59" s="23"/>
      <c r="I59" s="23"/>
      <c r="J59" s="23"/>
      <c r="K59" s="23"/>
      <c r="L59" s="23"/>
      <c r="M59" s="23"/>
      <c r="N59" s="23">
        <f t="shared" si="49"/>
        <v>0</v>
      </c>
      <c r="O59" s="23"/>
      <c r="P59" s="23"/>
      <c r="Q59" s="23"/>
      <c r="R59" s="23"/>
      <c r="S59" s="23">
        <f>-AO59*(1-1/IF(Nøgletal!K370&gt;0,Nøgletal!K370,1))</f>
        <v>0</v>
      </c>
      <c r="T59" s="23">
        <f t="shared" si="50"/>
        <v>0</v>
      </c>
      <c r="U59" s="23"/>
      <c r="V59" s="23"/>
      <c r="W59" s="23"/>
      <c r="X59" s="23"/>
      <c r="Y59" s="23"/>
      <c r="Z59" s="23"/>
      <c r="AA59" s="23"/>
      <c r="AB59" s="23"/>
      <c r="AC59" s="32">
        <f>-AO59/IF(Nøgletal!K514&gt;0,Nøgletal!K514,1)/(1-Nøgletal!J294)</f>
        <v>0</v>
      </c>
      <c r="AD59" s="32"/>
      <c r="AE59" s="32"/>
      <c r="AF59" s="32"/>
      <c r="AG59" s="32"/>
      <c r="AH59" s="32"/>
      <c r="AI59" s="32"/>
      <c r="AJ59" s="105">
        <f>AC59</f>
        <v>0</v>
      </c>
      <c r="AK59" s="48" t="s">
        <v>203</v>
      </c>
      <c r="AL59" s="25" t="s">
        <v>204</v>
      </c>
      <c r="AM59" s="25" t="s">
        <v>200</v>
      </c>
      <c r="AN59" s="37"/>
      <c r="AO59" s="38">
        <f t="shared" si="1"/>
        <v>0</v>
      </c>
      <c r="AP59" s="37">
        <f t="shared" si="44"/>
        <v>0</v>
      </c>
      <c r="AQ59" s="31"/>
      <c r="AR59" s="32"/>
      <c r="AS59" s="32"/>
      <c r="AT59" s="32"/>
      <c r="AU59" s="32"/>
      <c r="AV59" s="91">
        <f t="shared" si="51"/>
        <v>0</v>
      </c>
      <c r="AW59" s="32"/>
      <c r="AX59" s="32"/>
      <c r="AY59" s="32"/>
      <c r="AZ59" s="32"/>
      <c r="BA59" s="94"/>
      <c r="BB59" s="32"/>
      <c r="BC59" s="91">
        <f t="shared" si="52"/>
        <v>0</v>
      </c>
      <c r="BD59" s="32"/>
      <c r="BE59" s="32"/>
      <c r="BF59" s="32"/>
      <c r="BG59" s="32"/>
      <c r="BH59" s="32"/>
      <c r="BI59" s="91">
        <f t="shared" si="53"/>
        <v>0</v>
      </c>
      <c r="BJ59" s="32"/>
      <c r="BK59" s="32"/>
      <c r="BL59" s="32"/>
      <c r="BM59" s="32"/>
      <c r="BN59" s="32"/>
      <c r="BO59" s="32"/>
      <c r="BP59" s="32"/>
      <c r="BQ59" s="36"/>
      <c r="BR59" s="284">
        <f>BS59/IF(Nøgletal!K370&gt;0,Nøgletal!K370,1)*Nøgletal!J370</f>
        <v>0</v>
      </c>
      <c r="BS59" s="78">
        <f>BS$57*Nøgletal!J332</f>
        <v>0</v>
      </c>
      <c r="BT59" s="32"/>
      <c r="BU59" s="32"/>
      <c r="BV59" s="32"/>
      <c r="BW59" s="32"/>
      <c r="BX59" s="32"/>
      <c r="BY59" s="124"/>
      <c r="BZ59" s="123">
        <f>(C59*Emissionsfaktorer!$E$4+E59*Emissionsfaktorer!$E$3+F59*Emissionsfaktorer!$E$5+H59*Emissionsfaktorer!$E$7+I59*Emissionsfaktorer!$E$8+J59*Emissionsfaktorer!$E$9+K59*Emissionsfaktorer!$E$10+L59*Emissionsfaktorer!$E$11+M59*Emissionsfaktorer!$E$12)*-1*(1-Nøgletal!$J$329)+T59*Emissionsfaktorer!$E$13*Nøgletal!$J$329</f>
        <v>0</v>
      </c>
      <c r="CA59" s="231"/>
      <c r="CB59" s="231"/>
      <c r="CC59" s="231"/>
      <c r="CD59" s="231"/>
    </row>
    <row r="60" spans="1:82" x14ac:dyDescent="0.25">
      <c r="A60" s="231"/>
      <c r="B60" s="31"/>
      <c r="C60" s="23"/>
      <c r="D60" s="23"/>
      <c r="E60" s="23"/>
      <c r="F60" s="23"/>
      <c r="G60" s="23">
        <f t="shared" si="48"/>
        <v>0</v>
      </c>
      <c r="H60" s="23"/>
      <c r="I60" s="23"/>
      <c r="J60" s="23"/>
      <c r="K60" s="23"/>
      <c r="L60" s="23"/>
      <c r="M60" s="23"/>
      <c r="N60" s="23">
        <f t="shared" si="49"/>
        <v>0</v>
      </c>
      <c r="O60" s="23"/>
      <c r="P60" s="23"/>
      <c r="Q60" s="23"/>
      <c r="R60" s="23"/>
      <c r="S60" s="23"/>
      <c r="T60" s="23">
        <f t="shared" si="50"/>
        <v>0</v>
      </c>
      <c r="U60" s="23"/>
      <c r="V60" s="23"/>
      <c r="W60" s="23"/>
      <c r="X60" s="23"/>
      <c r="Y60" s="23"/>
      <c r="Z60" s="23"/>
      <c r="AA60" s="23"/>
      <c r="AB60" s="23"/>
      <c r="AC60" s="269">
        <f>AJ60</f>
        <v>0</v>
      </c>
      <c r="AD60" s="32"/>
      <c r="AE60" s="32"/>
      <c r="AF60" s="32"/>
      <c r="AG60" s="32"/>
      <c r="AH60" s="32"/>
      <c r="AI60" s="32"/>
      <c r="AJ60" s="105">
        <f>-AO60/IF(Nøgletal!K371+Nøgletal!J371&gt;0,Nøgletal!K371+Nøgletal!J371,1)/(1-Nøgletal!J294)</f>
        <v>0</v>
      </c>
      <c r="AK60" s="48" t="s">
        <v>205</v>
      </c>
      <c r="AL60" s="25" t="s">
        <v>206</v>
      </c>
      <c r="AM60" s="25" t="s">
        <v>200</v>
      </c>
      <c r="AN60" s="37"/>
      <c r="AO60" s="38">
        <f t="shared" si="1"/>
        <v>0</v>
      </c>
      <c r="AP60" s="37">
        <f t="shared" si="44"/>
        <v>0</v>
      </c>
      <c r="AQ60" s="31"/>
      <c r="AR60" s="32"/>
      <c r="AS60" s="32"/>
      <c r="AT60" s="32"/>
      <c r="AU60" s="32"/>
      <c r="AV60" s="91">
        <f t="shared" si="51"/>
        <v>0</v>
      </c>
      <c r="AW60" s="32"/>
      <c r="AX60" s="32"/>
      <c r="AY60" s="32"/>
      <c r="AZ60" s="32"/>
      <c r="BA60" s="94"/>
      <c r="BB60" s="32"/>
      <c r="BC60" s="91">
        <f t="shared" si="52"/>
        <v>0</v>
      </c>
      <c r="BD60" s="32"/>
      <c r="BE60" s="32"/>
      <c r="BF60" s="32"/>
      <c r="BG60" s="32"/>
      <c r="BH60" s="32"/>
      <c r="BI60" s="91">
        <f t="shared" si="53"/>
        <v>0</v>
      </c>
      <c r="BJ60" s="32"/>
      <c r="BK60" s="32"/>
      <c r="BL60" s="32"/>
      <c r="BM60" s="32"/>
      <c r="BN60" s="32"/>
      <c r="BO60" s="32"/>
      <c r="BP60" s="32"/>
      <c r="BQ60" s="36"/>
      <c r="BR60" s="284"/>
      <c r="BS60" s="78">
        <f>BS$57*Nøgletal!J333</f>
        <v>0</v>
      </c>
      <c r="BT60" s="32"/>
      <c r="BU60" s="32"/>
      <c r="BV60" s="32"/>
      <c r="BW60" s="32"/>
      <c r="BX60" s="32"/>
      <c r="BY60" s="124">
        <f t="shared" ref="BY60:BY66" si="54">(AJ60+AO60)*-1</f>
        <v>0</v>
      </c>
      <c r="BZ60" s="123">
        <f>(C60*Emissionsfaktorer!$E$4+E60*Emissionsfaktorer!$E$3+F60*Emissionsfaktorer!$E$5+H60*Emissionsfaktorer!$E$7+I60*Emissionsfaktorer!$E$8+J60*Emissionsfaktorer!$E$9+K60*Emissionsfaktorer!$E$10+L60*Emissionsfaktorer!$E$11+M60*Emissionsfaktorer!$E$12)*-1*(1-Nøgletal!$J$329)+T60*Emissionsfaktorer!$E$13*Nøgletal!$J$329</f>
        <v>0</v>
      </c>
      <c r="CA60" s="231"/>
      <c r="CB60" s="231"/>
      <c r="CC60" s="231"/>
      <c r="CD60" s="231"/>
    </row>
    <row r="61" spans="1:82" x14ac:dyDescent="0.25">
      <c r="A61" s="231"/>
      <c r="B61" s="31"/>
      <c r="C61" s="23"/>
      <c r="D61" s="23"/>
      <c r="E61" s="23"/>
      <c r="F61" s="23"/>
      <c r="G61" s="23">
        <f t="shared" si="48"/>
        <v>0</v>
      </c>
      <c r="H61" s="23"/>
      <c r="I61" s="23"/>
      <c r="J61" s="23"/>
      <c r="K61" s="23"/>
      <c r="L61" s="23"/>
      <c r="M61" s="23"/>
      <c r="N61" s="23">
        <f t="shared" si="49"/>
        <v>0</v>
      </c>
      <c r="O61" s="23"/>
      <c r="P61" s="23"/>
      <c r="Q61" s="23"/>
      <c r="R61" s="23">
        <f>AJ61</f>
        <v>0</v>
      </c>
      <c r="S61" s="23"/>
      <c r="T61" s="23">
        <f t="shared" si="50"/>
        <v>0</v>
      </c>
      <c r="U61" s="23"/>
      <c r="V61" s="23"/>
      <c r="W61" s="23"/>
      <c r="X61" s="23"/>
      <c r="Y61" s="23"/>
      <c r="Z61" s="23"/>
      <c r="AA61" s="23"/>
      <c r="AB61" s="23"/>
      <c r="AC61" s="32"/>
      <c r="AD61" s="32"/>
      <c r="AE61" s="32"/>
      <c r="AF61" s="32"/>
      <c r="AG61" s="32"/>
      <c r="AH61" s="32"/>
      <c r="AI61" s="32"/>
      <c r="AJ61" s="105">
        <f>-AO61/IF(Nøgletal!K372+Nøgletal!J372&gt;0,Nøgletal!K372+Nøgletal!J372,1)</f>
        <v>0</v>
      </c>
      <c r="AK61" s="48" t="s">
        <v>207</v>
      </c>
      <c r="AL61" s="25" t="s">
        <v>208</v>
      </c>
      <c r="AM61" s="25" t="s">
        <v>200</v>
      </c>
      <c r="AN61" s="37"/>
      <c r="AO61" s="38">
        <f t="shared" si="1"/>
        <v>0</v>
      </c>
      <c r="AP61" s="37">
        <f t="shared" si="44"/>
        <v>0</v>
      </c>
      <c r="AQ61" s="31"/>
      <c r="AR61" s="32"/>
      <c r="AS61" s="32"/>
      <c r="AT61" s="32"/>
      <c r="AU61" s="32"/>
      <c r="AV61" s="91">
        <f t="shared" si="51"/>
        <v>0</v>
      </c>
      <c r="AW61" s="32"/>
      <c r="AX61" s="32"/>
      <c r="AY61" s="32"/>
      <c r="AZ61" s="32"/>
      <c r="BA61" s="94"/>
      <c r="BB61" s="32"/>
      <c r="BC61" s="91">
        <f t="shared" si="52"/>
        <v>0</v>
      </c>
      <c r="BD61" s="32"/>
      <c r="BE61" s="32"/>
      <c r="BF61" s="32"/>
      <c r="BG61" s="32"/>
      <c r="BH61" s="32"/>
      <c r="BI61" s="91">
        <f t="shared" si="53"/>
        <v>0</v>
      </c>
      <c r="BJ61" s="32"/>
      <c r="BK61" s="32"/>
      <c r="BL61" s="32"/>
      <c r="BM61" s="32"/>
      <c r="BN61" s="32"/>
      <c r="BO61" s="32"/>
      <c r="BP61" s="32"/>
      <c r="BQ61" s="36"/>
      <c r="BR61" s="284">
        <f>BS61/IF(Nøgletal!K372&gt;0,Nøgletal!K372,1)*Nøgletal!J372</f>
        <v>0</v>
      </c>
      <c r="BS61" s="78">
        <f>BS$57*Nøgletal!J334</f>
        <v>0</v>
      </c>
      <c r="BT61" s="32"/>
      <c r="BU61" s="32"/>
      <c r="BV61" s="32"/>
      <c r="BW61" s="32"/>
      <c r="BX61" s="32"/>
      <c r="BY61" s="124">
        <f t="shared" si="54"/>
        <v>0</v>
      </c>
      <c r="BZ61" s="123">
        <f>(C61*Emissionsfaktorer!$E$4+E61*Emissionsfaktorer!$E$3+F61*Emissionsfaktorer!$E$5+H61*Emissionsfaktorer!$E$7+I61*Emissionsfaktorer!$E$8+J61*Emissionsfaktorer!$E$9+K61*Emissionsfaktorer!$E$10+L61*Emissionsfaktorer!$E$11+M61*Emissionsfaktorer!$E$12)*-1*(1-Nøgletal!$J$329)+T61*Emissionsfaktorer!$E$13*Nøgletal!$J$329</f>
        <v>0</v>
      </c>
      <c r="CA61" s="231"/>
      <c r="CB61" s="231"/>
      <c r="CC61" s="231"/>
      <c r="CD61" s="231"/>
    </row>
    <row r="62" spans="1:82" x14ac:dyDescent="0.25">
      <c r="A62" s="231"/>
      <c r="B62" s="31"/>
      <c r="C62" s="23"/>
      <c r="D62" s="23"/>
      <c r="E62" s="23"/>
      <c r="F62" s="23"/>
      <c r="G62" s="23">
        <f t="shared" si="48"/>
        <v>0</v>
      </c>
      <c r="H62" s="23"/>
      <c r="I62" s="23"/>
      <c r="J62" s="23"/>
      <c r="K62" s="23"/>
      <c r="L62" s="23"/>
      <c r="M62" s="23"/>
      <c r="N62" s="23">
        <f t="shared" si="49"/>
        <v>0</v>
      </c>
      <c r="O62" s="23"/>
      <c r="P62" s="23"/>
      <c r="Q62" s="23">
        <f>AJ62</f>
        <v>0</v>
      </c>
      <c r="R62" s="23"/>
      <c r="S62" s="23"/>
      <c r="T62" s="23">
        <f t="shared" si="50"/>
        <v>0</v>
      </c>
      <c r="U62" s="23"/>
      <c r="V62" s="23"/>
      <c r="W62" s="23"/>
      <c r="X62" s="23"/>
      <c r="Y62" s="23"/>
      <c r="Z62" s="23"/>
      <c r="AA62" s="23"/>
      <c r="AB62" s="23"/>
      <c r="AC62" s="32"/>
      <c r="AD62" s="32"/>
      <c r="AE62" s="32"/>
      <c r="AF62" s="32"/>
      <c r="AG62" s="32"/>
      <c r="AH62" s="32"/>
      <c r="AI62" s="32"/>
      <c r="AJ62" s="105">
        <f>-AO62/IF(Nøgletal!K373+Nøgletal!J373&gt;0,Nøgletal!K373+Nøgletal!J373,1)</f>
        <v>0</v>
      </c>
      <c r="AK62" s="48" t="s">
        <v>209</v>
      </c>
      <c r="AL62" s="25" t="s">
        <v>210</v>
      </c>
      <c r="AM62" s="25" t="s">
        <v>200</v>
      </c>
      <c r="AN62" s="37"/>
      <c r="AO62" s="38">
        <f t="shared" si="1"/>
        <v>0</v>
      </c>
      <c r="AP62" s="37">
        <f t="shared" si="44"/>
        <v>0</v>
      </c>
      <c r="AQ62" s="31"/>
      <c r="AR62" s="32"/>
      <c r="AS62" s="32"/>
      <c r="AT62" s="32"/>
      <c r="AU62" s="32"/>
      <c r="AV62" s="91">
        <f t="shared" si="51"/>
        <v>0</v>
      </c>
      <c r="AW62" s="32"/>
      <c r="AX62" s="32"/>
      <c r="AY62" s="32"/>
      <c r="AZ62" s="32"/>
      <c r="BA62" s="94"/>
      <c r="BB62" s="32"/>
      <c r="BC62" s="91">
        <f t="shared" si="52"/>
        <v>0</v>
      </c>
      <c r="BD62" s="32"/>
      <c r="BE62" s="32"/>
      <c r="BF62" s="32"/>
      <c r="BG62" s="32"/>
      <c r="BH62" s="32"/>
      <c r="BI62" s="91">
        <f t="shared" si="53"/>
        <v>0</v>
      </c>
      <c r="BJ62" s="32"/>
      <c r="BK62" s="32"/>
      <c r="BL62" s="32"/>
      <c r="BM62" s="32"/>
      <c r="BN62" s="32"/>
      <c r="BO62" s="32"/>
      <c r="BP62" s="32"/>
      <c r="BQ62" s="36"/>
      <c r="BR62" s="284">
        <f>BS62/IF(Nøgletal!K373&gt;0,Nøgletal!K373,1)*Nøgletal!J373</f>
        <v>0</v>
      </c>
      <c r="BS62" s="78">
        <f>BS$57*Nøgletal!J335</f>
        <v>0</v>
      </c>
      <c r="BT62" s="32"/>
      <c r="BU62" s="32"/>
      <c r="BV62" s="32"/>
      <c r="BW62" s="32"/>
      <c r="BX62" s="32"/>
      <c r="BY62" s="124">
        <f t="shared" si="54"/>
        <v>0</v>
      </c>
      <c r="BZ62" s="123">
        <f>(C62*Emissionsfaktorer!$E$4+E62*Emissionsfaktorer!$E$3+F62*Emissionsfaktorer!$E$5+H62*Emissionsfaktorer!$E$7+I62*Emissionsfaktorer!$E$8+J62*Emissionsfaktorer!$E$9+K62*Emissionsfaktorer!$E$10+L62*Emissionsfaktorer!$E$11+M62*Emissionsfaktorer!$E$12)*-1*(1-Nøgletal!$J$329)+T62*Emissionsfaktorer!$E$13*Nøgletal!$J$329</f>
        <v>0</v>
      </c>
      <c r="CA62" s="231"/>
      <c r="CB62" s="231"/>
      <c r="CC62" s="231"/>
      <c r="CD62" s="231"/>
    </row>
    <row r="63" spans="1:82" x14ac:dyDescent="0.25">
      <c r="A63" s="231"/>
      <c r="B63" s="31"/>
      <c r="C63" s="23"/>
      <c r="D63" s="23"/>
      <c r="E63" s="23"/>
      <c r="F63" s="23"/>
      <c r="G63" s="23">
        <f t="shared" si="48"/>
        <v>0</v>
      </c>
      <c r="H63" s="23"/>
      <c r="I63" s="23"/>
      <c r="J63" s="23"/>
      <c r="K63" s="23"/>
      <c r="L63" s="23"/>
      <c r="M63" s="23"/>
      <c r="N63" s="23">
        <f t="shared" si="49"/>
        <v>0</v>
      </c>
      <c r="O63" s="23"/>
      <c r="P63" s="23"/>
      <c r="Q63" s="23"/>
      <c r="R63" s="23"/>
      <c r="S63" s="23"/>
      <c r="T63" s="23">
        <f t="shared" si="50"/>
        <v>0</v>
      </c>
      <c r="U63" s="23"/>
      <c r="V63" s="23"/>
      <c r="W63" s="23"/>
      <c r="X63" s="23"/>
      <c r="Y63" s="23"/>
      <c r="Z63" s="23"/>
      <c r="AA63" s="23"/>
      <c r="AB63" s="23"/>
      <c r="AC63" s="32"/>
      <c r="AD63" s="32"/>
      <c r="AE63" s="32"/>
      <c r="AF63" s="32"/>
      <c r="AG63" s="32"/>
      <c r="AH63" s="32"/>
      <c r="AI63" s="32"/>
      <c r="AJ63" s="105">
        <f>SUM(C63:G63,N63,T63,AC63:AG63)</f>
        <v>0</v>
      </c>
      <c r="AK63" s="48" t="s">
        <v>211</v>
      </c>
      <c r="AL63" s="25" t="s">
        <v>212</v>
      </c>
      <c r="AM63" s="25" t="s">
        <v>200</v>
      </c>
      <c r="AN63" s="37"/>
      <c r="AO63" s="38">
        <f t="shared" si="1"/>
        <v>0</v>
      </c>
      <c r="AP63" s="37">
        <f t="shared" si="44"/>
        <v>0</v>
      </c>
      <c r="AQ63" s="31"/>
      <c r="AR63" s="32"/>
      <c r="AS63" s="32"/>
      <c r="AT63" s="32"/>
      <c r="AU63" s="32"/>
      <c r="AV63" s="91">
        <f t="shared" si="51"/>
        <v>0</v>
      </c>
      <c r="AW63" s="32"/>
      <c r="AX63" s="32"/>
      <c r="AY63" s="32"/>
      <c r="AZ63" s="32"/>
      <c r="BA63" s="94"/>
      <c r="BB63" s="32"/>
      <c r="BC63" s="91">
        <f t="shared" si="52"/>
        <v>0</v>
      </c>
      <c r="BD63" s="32"/>
      <c r="BE63" s="32"/>
      <c r="BF63" s="32"/>
      <c r="BG63" s="32"/>
      <c r="BH63" s="32"/>
      <c r="BI63" s="91">
        <f t="shared" si="53"/>
        <v>0</v>
      </c>
      <c r="BJ63" s="32"/>
      <c r="BK63" s="32"/>
      <c r="BL63" s="32"/>
      <c r="BM63" s="32"/>
      <c r="BN63" s="32"/>
      <c r="BO63" s="32"/>
      <c r="BP63" s="32"/>
      <c r="BQ63" s="36"/>
      <c r="BR63" s="284">
        <f>BS63/IF(Nøgletal!K351&gt;0,Nøgletal!K351,1)*Nøgletal!J351</f>
        <v>0</v>
      </c>
      <c r="BS63" s="78"/>
      <c r="BT63" s="32"/>
      <c r="BU63" s="32"/>
      <c r="BV63" s="32"/>
      <c r="BW63" s="32"/>
      <c r="BX63" s="32"/>
      <c r="BY63" s="124">
        <f t="shared" si="54"/>
        <v>0</v>
      </c>
      <c r="BZ63" s="123">
        <f>(C63*Emissionsfaktorer!$E$4+E63*Emissionsfaktorer!$E$3+F63*Emissionsfaktorer!$E$5+H63*Emissionsfaktorer!$E$7+I63*Emissionsfaktorer!$E$8+J63*Emissionsfaktorer!$E$9+K63*Emissionsfaktorer!$E$10+L63*Emissionsfaktorer!$E$11+M63*Emissionsfaktorer!$E$12)*-1*(1-Nøgletal!$J$329)+T63*Emissionsfaktorer!$E$13*Nøgletal!$J$329</f>
        <v>0</v>
      </c>
      <c r="CA63" s="231"/>
      <c r="CB63" s="231"/>
      <c r="CC63" s="231"/>
      <c r="CD63" s="231"/>
    </row>
    <row r="64" spans="1:82" x14ac:dyDescent="0.25">
      <c r="A64" s="231"/>
      <c r="B64" s="31"/>
      <c r="C64" s="23">
        <f>AJ64*Nøgletal!J567</f>
        <v>0</v>
      </c>
      <c r="D64" s="23"/>
      <c r="E64" s="23">
        <f>AJ64*Nøgletal!J572</f>
        <v>-2999.9999999999991</v>
      </c>
      <c r="F64" s="23">
        <f>AJ64*Nøgletal!J584</f>
        <v>-205.46009999999995</v>
      </c>
      <c r="G64" s="23">
        <f t="shared" si="48"/>
        <v>-48.095999999999989</v>
      </c>
      <c r="H64" s="23">
        <f>AJ64*Nøgletal!J566</f>
        <v>0</v>
      </c>
      <c r="I64" s="23">
        <f>AJ64*Nøgletal!J568</f>
        <v>0</v>
      </c>
      <c r="J64" s="23">
        <f>AJ64*Nøgletal!J569</f>
        <v>-48.095999999999989</v>
      </c>
      <c r="K64" s="23">
        <f>AJ64*Nøgletal!J570</f>
        <v>0</v>
      </c>
      <c r="L64" s="23"/>
      <c r="M64" s="23">
        <f>AJ64*Nøgletal!J571</f>
        <v>0</v>
      </c>
      <c r="N64" s="23">
        <f t="shared" si="49"/>
        <v>0</v>
      </c>
      <c r="O64" s="23"/>
      <c r="P64" s="23"/>
      <c r="Q64" s="23">
        <f>AJ64*Nøgletal!J573</f>
        <v>0</v>
      </c>
      <c r="R64" s="23">
        <f>AJ64*Nøgletal!J574</f>
        <v>0</v>
      </c>
      <c r="S64" s="23">
        <f>AJ64*Nøgletal!J575</f>
        <v>0</v>
      </c>
      <c r="T64" s="23">
        <f t="shared" si="50"/>
        <v>-338.95989999999995</v>
      </c>
      <c r="U64" s="23">
        <f>AJ64*Nøgletal!J576</f>
        <v>0</v>
      </c>
      <c r="V64" s="23">
        <f>AJ64*Nøgletal!J577</f>
        <v>0</v>
      </c>
      <c r="W64" s="23">
        <f>AJ64*Nøgletal!J578</f>
        <v>-2.6719999999999993</v>
      </c>
      <c r="X64" s="23">
        <f>AJ64*Nøgletal!J579</f>
        <v>-26.385999999999996</v>
      </c>
      <c r="Y64" s="23">
        <f>AJ64*Nøgletal!J580</f>
        <v>-55.777999999999992</v>
      </c>
      <c r="Z64" s="23">
        <f>AJ64*Nøgletal!J581</f>
        <v>0</v>
      </c>
      <c r="AA64" s="23">
        <f>AJ64*Nøgletal!J582</f>
        <v>-251.11789999999996</v>
      </c>
      <c r="AB64" s="23">
        <f>AJ64*Nøgletal!J583</f>
        <v>-3.0059999999999993</v>
      </c>
      <c r="AC64" s="23"/>
      <c r="AD64" s="23"/>
      <c r="AE64" s="23"/>
      <c r="AF64" s="23"/>
      <c r="AG64" s="23"/>
      <c r="AH64" s="23"/>
      <c r="AI64" s="23"/>
      <c r="AJ64" s="105">
        <f>-AO64/IF(Nøgletal!K351+Nøgletal!J351&gt;0,Nøgletal!K351+Nøgletal!J351,1)</f>
        <v>-3592.5159999999987</v>
      </c>
      <c r="AK64" s="48" t="s">
        <v>159</v>
      </c>
      <c r="AL64" s="25" t="s">
        <v>160</v>
      </c>
      <c r="AM64" s="25" t="s">
        <v>200</v>
      </c>
      <c r="AN64" s="37"/>
      <c r="AO64" s="38">
        <f t="shared" si="1"/>
        <v>2744.6822239999992</v>
      </c>
      <c r="AP64" s="37">
        <f t="shared" si="44"/>
        <v>0.76400000000000001</v>
      </c>
      <c r="AQ64" s="31"/>
      <c r="AR64" s="23"/>
      <c r="AS64" s="23"/>
      <c r="AT64" s="23"/>
      <c r="AU64" s="93"/>
      <c r="AV64" s="91">
        <f t="shared" si="51"/>
        <v>0</v>
      </c>
      <c r="AW64" s="23"/>
      <c r="AX64" s="23"/>
      <c r="AY64" s="23"/>
      <c r="AZ64" s="23"/>
      <c r="BA64" s="92"/>
      <c r="BB64" s="23"/>
      <c r="BC64" s="91">
        <f t="shared" si="52"/>
        <v>0</v>
      </c>
      <c r="BD64" s="23"/>
      <c r="BE64" s="23"/>
      <c r="BF64" s="23"/>
      <c r="BG64" s="23"/>
      <c r="BH64" s="23"/>
      <c r="BI64" s="91">
        <f t="shared" si="53"/>
        <v>0</v>
      </c>
      <c r="BJ64" s="23"/>
      <c r="BK64" s="23"/>
      <c r="BL64" s="23"/>
      <c r="BM64" s="23"/>
      <c r="BN64" s="23"/>
      <c r="BO64" s="23"/>
      <c r="BP64" s="93"/>
      <c r="BQ64" s="36"/>
      <c r="BR64" s="284">
        <f>BS64/IF(Nøgletal!K351&gt;0,Nøgletal!K351,1)*Nøgletal!J351</f>
        <v>822.68616399999974</v>
      </c>
      <c r="BS64" s="78">
        <f>BS$57*Nøgletal!J309</f>
        <v>1921.9960599999997</v>
      </c>
      <c r="BT64" s="23"/>
      <c r="BU64" s="32"/>
      <c r="BV64" s="32"/>
      <c r="BW64" s="93"/>
      <c r="BX64" s="93"/>
      <c r="BY64" s="124">
        <f t="shared" si="54"/>
        <v>847.83377599999949</v>
      </c>
      <c r="BZ64" s="123">
        <f>(C64*Emissionsfaktorer!$E$4+E64*Emissionsfaktorer!$E$3+F64*Emissionsfaktorer!$E$5+H64*Emissionsfaktorer!$E$7+I64*Emissionsfaktorer!$E$8+J64*Emissionsfaktorer!$E$9+K64*Emissionsfaktorer!$E$10+L64*Emissionsfaktorer!$E$11+M64*Emissionsfaktorer!$E$12)*-1*(1-Nøgletal!$J$329)+T64*Emissionsfaktorer!$E$13*Nøgletal!$J$329</f>
        <v>191.36203342199994</v>
      </c>
      <c r="CA64" s="231"/>
      <c r="CB64" s="231"/>
      <c r="CC64" s="231"/>
      <c r="CD64" s="231"/>
    </row>
    <row r="65" spans="1:82" x14ac:dyDescent="0.25">
      <c r="A65" s="231"/>
      <c r="B65" s="31"/>
      <c r="C65" s="295"/>
      <c r="D65" s="20">
        <f>AV65/IF(Nøgletal!J708&gt;0,Nøgletal!J708,1)*-1</f>
        <v>0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f>SUM(U65:AB65)</f>
        <v>0</v>
      </c>
      <c r="U65" s="20">
        <f>$BT65/IF(Nøgletal!$J$720&gt;0,Nøgletal!$J$720,1)*-Nøgletal!$J711*Nøgletal!$J710</f>
        <v>0</v>
      </c>
      <c r="V65" s="20">
        <f>$BT65/IF(Nøgletal!$J$720&gt;0,Nøgletal!$J$720,1)*-Nøgletal!$J712*Nøgletal!$J710</f>
        <v>0</v>
      </c>
      <c r="W65" s="20">
        <f>$BT65/IF(Nøgletal!$J$720&gt;0,Nøgletal!$J$720,1)*-Nøgletal!$J713*Nøgletal!$J710</f>
        <v>0</v>
      </c>
      <c r="X65" s="20">
        <f>$BT65/IF(Nøgletal!$J$720&gt;0,Nøgletal!$J$720,1)*-Nøgletal!$J714*Nøgletal!$J710</f>
        <v>0</v>
      </c>
      <c r="Y65" s="20">
        <f>$BT65/IF(Nøgletal!$J$720&gt;0,Nøgletal!$J$720,1)*-Nøgletal!$J715*Nøgletal!$J710</f>
        <v>0</v>
      </c>
      <c r="Z65" s="20">
        <f>$BT65/IF(Nøgletal!$J$720&gt;0,Nøgletal!$J$720,1)*-Nøgletal!$J716*Nøgletal!$J710</f>
        <v>0</v>
      </c>
      <c r="AA65" s="20">
        <f>$BT65/IF(Nøgletal!$J$720&gt;0,Nøgletal!$J$720,1)*-Nøgletal!$J717*Nøgletal!$J710</f>
        <v>0</v>
      </c>
      <c r="AB65" s="20">
        <f>$BT65/IF(Nøgletal!$J$720&gt;0,Nøgletal!$J$720,1)*-Nøgletal!$J718*Nøgletal!$J710</f>
        <v>0</v>
      </c>
      <c r="AC65" s="20">
        <f>BT65/IF(Nøgletal!J720&gt;0,Nøgletal!J720,1)*-Nøgletal!J719</f>
        <v>0</v>
      </c>
      <c r="AD65" s="20"/>
      <c r="AE65" s="20"/>
      <c r="AF65" s="20"/>
      <c r="AG65" s="20"/>
      <c r="AH65" s="20"/>
      <c r="AI65" s="20"/>
      <c r="AJ65" s="105">
        <f>AV65/IF(Nøgletal!J708&gt;0,Nøgletal!J708,1)+BT65/IF(Nøgletal!J720&gt;0,Nøgletal!J720,1)*-1</f>
        <v>0</v>
      </c>
      <c r="AK65" s="47" t="s">
        <v>631</v>
      </c>
      <c r="AL65" s="25" t="s">
        <v>632</v>
      </c>
      <c r="AM65" s="25" t="s">
        <v>128</v>
      </c>
      <c r="AN65" s="37"/>
      <c r="AO65" s="38">
        <f t="shared" si="1"/>
        <v>0</v>
      </c>
      <c r="AP65" s="37"/>
      <c r="AQ65" s="31"/>
      <c r="AR65" s="20"/>
      <c r="AS65" s="20"/>
      <c r="AT65" s="20"/>
      <c r="AU65" s="86"/>
      <c r="AV65" s="24">
        <f>Nøgletal!J701</f>
        <v>0</v>
      </c>
      <c r="AW65" s="20">
        <f>$AV65*Nøgletal!J702</f>
        <v>0</v>
      </c>
      <c r="AX65" s="20">
        <f>$AV65*Nøgletal!J703</f>
        <v>0</v>
      </c>
      <c r="AY65" s="20">
        <f>$AV65*Nøgletal!J704</f>
        <v>0</v>
      </c>
      <c r="AZ65" s="20">
        <f>$AV65*Nøgletal!J705</f>
        <v>0</v>
      </c>
      <c r="BA65" s="20">
        <f>$AV65*Nøgletal!J706</f>
        <v>0</v>
      </c>
      <c r="BB65" s="20">
        <f>$AV65*Nøgletal!J707</f>
        <v>0</v>
      </c>
      <c r="BC65" s="24"/>
      <c r="BD65" s="20"/>
      <c r="BE65" s="20"/>
      <c r="BF65" s="20"/>
      <c r="BG65" s="20"/>
      <c r="BH65" s="20"/>
      <c r="BI65" s="24"/>
      <c r="BJ65" s="20"/>
      <c r="BK65" s="20"/>
      <c r="BL65" s="20"/>
      <c r="BM65" s="20"/>
      <c r="BN65" s="20"/>
      <c r="BO65" s="20"/>
      <c r="BP65" s="86"/>
      <c r="BQ65" s="84"/>
      <c r="BR65" s="85"/>
      <c r="BS65" s="79"/>
      <c r="BT65" s="20">
        <f>Nøgletal!J709</f>
        <v>0</v>
      </c>
      <c r="BU65" s="21"/>
      <c r="BV65" s="21"/>
      <c r="BW65" s="86"/>
      <c r="BX65" s="86"/>
      <c r="BY65" s="124">
        <f t="shared" si="54"/>
        <v>0</v>
      </c>
      <c r="BZ65" s="300"/>
      <c r="CA65" s="231"/>
      <c r="CB65" s="231" t="e">
        <f>#REF!*#REF!/1.25/#REF!*-1</f>
        <v>#REF!</v>
      </c>
      <c r="CC65" s="231"/>
      <c r="CD65" s="231"/>
    </row>
    <row r="66" spans="1:82" x14ac:dyDescent="0.25">
      <c r="A66" s="231"/>
      <c r="B66" s="31"/>
      <c r="C66" s="80"/>
      <c r="D66" s="80"/>
      <c r="E66" s="80"/>
      <c r="F66" s="80"/>
      <c r="G66" s="81">
        <f t="shared" si="29"/>
        <v>-2024.8748929999997</v>
      </c>
      <c r="H66" s="80">
        <f t="shared" ref="H66:M66" si="55">H68</f>
        <v>-21.299999999999997</v>
      </c>
      <c r="I66" s="80">
        <f t="shared" si="55"/>
        <v>-6.5999999999999988</v>
      </c>
      <c r="J66" s="80">
        <f t="shared" si="55"/>
        <v>-121.99999999999997</v>
      </c>
      <c r="K66" s="80">
        <f t="shared" si="55"/>
        <v>-970.19157699999994</v>
      </c>
      <c r="L66" s="80">
        <f t="shared" si="55"/>
        <v>-344</v>
      </c>
      <c r="M66" s="80">
        <f t="shared" si="55"/>
        <v>-560.7833159999999</v>
      </c>
      <c r="N66" s="81">
        <f t="shared" si="32"/>
        <v>0</v>
      </c>
      <c r="O66" s="80"/>
      <c r="P66" s="80"/>
      <c r="Q66" s="80"/>
      <c r="R66" s="80"/>
      <c r="S66" s="80"/>
      <c r="T66" s="81">
        <f t="shared" si="30"/>
        <v>0</v>
      </c>
      <c r="U66" s="80"/>
      <c r="V66" s="80"/>
      <c r="W66" s="80"/>
      <c r="X66" s="80"/>
      <c r="Y66" s="80"/>
      <c r="Z66" s="80"/>
      <c r="AA66" s="80"/>
      <c r="AB66" s="80"/>
      <c r="AC66" s="82">
        <f>-BR9</f>
        <v>-1133.799906047022</v>
      </c>
      <c r="AD66" s="82">
        <f>-BS9</f>
        <v>-2276.4912099999997</v>
      </c>
      <c r="AE66" s="80"/>
      <c r="AF66" s="80"/>
      <c r="AG66" s="80"/>
      <c r="AH66" s="267">
        <f>-BW9</f>
        <v>-145.10808</v>
      </c>
      <c r="AI66" s="80"/>
      <c r="AJ66" s="105">
        <f t="shared" ref="AJ66:AJ83" si="56">SUM(C66:G66,N66,T66,AC66:AG66)</f>
        <v>-5435.1660090470214</v>
      </c>
      <c r="AK66" s="13" t="s">
        <v>233</v>
      </c>
      <c r="AL66" s="13" t="s">
        <v>234</v>
      </c>
      <c r="AM66" s="99"/>
      <c r="AN66" s="37"/>
      <c r="AO66" s="38">
        <f t="shared" si="1"/>
        <v>4971.4371406080973</v>
      </c>
      <c r="AP66" s="37">
        <f t="shared" si="6"/>
        <v>0.91467990716989478</v>
      </c>
      <c r="AQ66" s="31"/>
      <c r="AR66" s="80"/>
      <c r="AS66" s="80"/>
      <c r="AT66" s="80"/>
      <c r="AU66" s="80"/>
      <c r="AV66" s="95">
        <f t="shared" si="7"/>
        <v>2024.8748929999997</v>
      </c>
      <c r="AW66" s="80">
        <f t="shared" ref="AW66:BB66" si="57">H66*-1</f>
        <v>21.299999999999997</v>
      </c>
      <c r="AX66" s="80">
        <f t="shared" si="57"/>
        <v>6.5999999999999988</v>
      </c>
      <c r="AY66" s="80">
        <f t="shared" si="57"/>
        <v>121.99999999999997</v>
      </c>
      <c r="AZ66" s="80">
        <f t="shared" si="57"/>
        <v>970.19157699999994</v>
      </c>
      <c r="BA66" s="80">
        <f t="shared" si="57"/>
        <v>344</v>
      </c>
      <c r="BB66" s="80">
        <f t="shared" si="57"/>
        <v>560.7833159999999</v>
      </c>
      <c r="BC66" s="11">
        <f t="shared" si="8"/>
        <v>0</v>
      </c>
      <c r="BD66" s="80"/>
      <c r="BE66" s="80"/>
      <c r="BF66" s="80"/>
      <c r="BG66" s="80"/>
      <c r="BH66" s="80"/>
      <c r="BI66" s="11">
        <f t="shared" si="3"/>
        <v>0</v>
      </c>
      <c r="BJ66" s="80"/>
      <c r="BK66" s="80"/>
      <c r="BL66" s="80"/>
      <c r="BM66" s="80"/>
      <c r="BN66" s="80"/>
      <c r="BO66" s="80"/>
      <c r="BP66" s="80"/>
      <c r="BQ66" s="80"/>
      <c r="BR66" s="80">
        <f>AC68*-1</f>
        <v>1044.0029534880978</v>
      </c>
      <c r="BS66" s="80">
        <f>AD68*-1</f>
        <v>1757.45121412</v>
      </c>
      <c r="BT66" s="80"/>
      <c r="BU66" s="80"/>
      <c r="BV66" s="80"/>
      <c r="BW66" s="267">
        <f>-AH66</f>
        <v>145.10808</v>
      </c>
      <c r="BX66" s="80"/>
      <c r="BY66" s="124">
        <f t="shared" si="54"/>
        <v>463.72886843892411</v>
      </c>
      <c r="BZ66" s="123"/>
      <c r="CA66" s="231"/>
      <c r="CB66" s="231"/>
      <c r="CC66" s="231"/>
      <c r="CD66" s="231"/>
    </row>
    <row r="67" spans="1:82" x14ac:dyDescent="0.25">
      <c r="A67" s="231"/>
      <c r="B67" s="3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05">
        <f>SUM(C67:G67,N67,T67,AC67:AG67)</f>
        <v>0</v>
      </c>
      <c r="AK67" s="13" t="s">
        <v>125</v>
      </c>
      <c r="AL67" s="13" t="s">
        <v>126</v>
      </c>
      <c r="AM67" s="13"/>
      <c r="AN67" s="37"/>
      <c r="AO67" s="38">
        <f>SUM(AR67:AV67,BC67,BI67,BR67:BW67)</f>
        <v>3.734</v>
      </c>
      <c r="AP67" s="37">
        <f>IF(AJ67=0,0,AO67/AJ67*-1)</f>
        <v>0</v>
      </c>
      <c r="AQ67" s="31"/>
      <c r="AR67" s="11"/>
      <c r="AS67" s="11"/>
      <c r="AT67" s="11"/>
      <c r="AU67" s="29"/>
      <c r="AV67" s="11">
        <f>SUM(AW67:BB67)</f>
        <v>0</v>
      </c>
      <c r="AW67" s="11"/>
      <c r="AX67" s="11"/>
      <c r="AY67" s="11"/>
      <c r="AZ67" s="11"/>
      <c r="BA67" s="30"/>
      <c r="BB67" s="11"/>
      <c r="BC67" s="11">
        <f>SUM(BD67:BH67)</f>
        <v>3.734</v>
      </c>
      <c r="BD67" s="11">
        <f>-1*O68</f>
        <v>0</v>
      </c>
      <c r="BE67" s="11">
        <f>-1*P68</f>
        <v>0</v>
      </c>
      <c r="BF67" s="11">
        <f>-1*Q68</f>
        <v>2.8</v>
      </c>
      <c r="BG67" s="11">
        <f>-1*R68</f>
        <v>0</v>
      </c>
      <c r="BH67" s="11">
        <f>-1*S68</f>
        <v>0.93400000000000016</v>
      </c>
      <c r="BI67" s="11">
        <f>SUM(BJ67:BQ67)</f>
        <v>0</v>
      </c>
      <c r="BJ67" s="11"/>
      <c r="BK67" s="11"/>
      <c r="BL67" s="11"/>
      <c r="BM67" s="11"/>
      <c r="BN67" s="11"/>
      <c r="BO67" s="11"/>
      <c r="BP67" s="11"/>
      <c r="BQ67" s="11"/>
      <c r="BR67" s="29"/>
      <c r="BS67" s="29"/>
      <c r="BT67" s="11"/>
      <c r="BU67" s="29"/>
      <c r="BV67" s="29"/>
      <c r="BW67" s="29"/>
      <c r="BX67" s="29"/>
      <c r="BY67" s="123">
        <v>0</v>
      </c>
      <c r="BZ67" s="123">
        <f>(C67*Emissionsfaktorer!$E$4+E67*Emissionsfaktorer!$E$3+F67*Emissionsfaktorer!$E$5+H67*Emissionsfaktorer!$E$7+I67*Emissionsfaktorer!$E$8+J67*Emissionsfaktorer!$E$9+K67*Emissionsfaktorer!$E$10+L67*Emissionsfaktorer!$E$11+M67*Emissionsfaktorer!$E$12)*-1</f>
        <v>0</v>
      </c>
      <c r="CA67" s="2"/>
      <c r="CB67" s="231"/>
      <c r="CC67" s="231"/>
      <c r="CD67" s="231"/>
    </row>
    <row r="68" spans="1:82" x14ac:dyDescent="0.25">
      <c r="A68" s="231"/>
      <c r="B68" s="31"/>
      <c r="C68" s="267">
        <f t="shared" ref="C68:AG68" si="58">SUM(C69:C70,C79:C80,C84)</f>
        <v>0</v>
      </c>
      <c r="D68" s="267">
        <f t="shared" si="58"/>
        <v>0</v>
      </c>
      <c r="E68" s="267">
        <f t="shared" si="58"/>
        <v>-292.93899999999996</v>
      </c>
      <c r="F68" s="267">
        <f t="shared" si="58"/>
        <v>0</v>
      </c>
      <c r="G68" s="267">
        <f t="shared" si="58"/>
        <v>-2024.8748929999999</v>
      </c>
      <c r="H68" s="267">
        <f t="shared" si="58"/>
        <v>-21.299999999999997</v>
      </c>
      <c r="I68" s="267">
        <f t="shared" si="58"/>
        <v>-6.5999999999999988</v>
      </c>
      <c r="J68" s="267">
        <f t="shared" si="58"/>
        <v>-121.99999999999997</v>
      </c>
      <c r="K68" s="267">
        <f t="shared" si="58"/>
        <v>-970.19157699999994</v>
      </c>
      <c r="L68" s="267">
        <f t="shared" si="58"/>
        <v>-344</v>
      </c>
      <c r="M68" s="267">
        <f t="shared" si="58"/>
        <v>-560.7833159999999</v>
      </c>
      <c r="N68" s="267">
        <f t="shared" si="58"/>
        <v>-3.734</v>
      </c>
      <c r="O68" s="267">
        <f t="shared" si="58"/>
        <v>0</v>
      </c>
      <c r="P68" s="267">
        <f t="shared" si="58"/>
        <v>0</v>
      </c>
      <c r="Q68" s="267">
        <f t="shared" si="58"/>
        <v>-2.8</v>
      </c>
      <c r="R68" s="267">
        <f t="shared" si="58"/>
        <v>0</v>
      </c>
      <c r="S68" s="267">
        <f t="shared" si="58"/>
        <v>-0.93400000000000016</v>
      </c>
      <c r="T68" s="267">
        <f t="shared" si="58"/>
        <v>-301.188107</v>
      </c>
      <c r="U68" s="267">
        <f t="shared" si="58"/>
        <v>0</v>
      </c>
      <c r="V68" s="267">
        <f t="shared" si="58"/>
        <v>-54.188107000000002</v>
      </c>
      <c r="W68" s="267">
        <f t="shared" si="58"/>
        <v>-27</v>
      </c>
      <c r="X68" s="267">
        <f t="shared" si="58"/>
        <v>-158</v>
      </c>
      <c r="Y68" s="267">
        <f t="shared" si="58"/>
        <v>-62</v>
      </c>
      <c r="Z68" s="267">
        <f t="shared" si="58"/>
        <v>0</v>
      </c>
      <c r="AA68" s="267">
        <f t="shared" si="58"/>
        <v>0</v>
      </c>
      <c r="AB68" s="267">
        <f t="shared" si="58"/>
        <v>0</v>
      </c>
      <c r="AC68" s="267">
        <f t="shared" si="58"/>
        <v>-1044.0029534880978</v>
      </c>
      <c r="AD68" s="267">
        <f t="shared" si="58"/>
        <v>-1757.45121412</v>
      </c>
      <c r="AE68" s="267">
        <f t="shared" si="58"/>
        <v>0</v>
      </c>
      <c r="AF68" s="267">
        <f t="shared" si="58"/>
        <v>0</v>
      </c>
      <c r="AG68" s="267">
        <f t="shared" si="58"/>
        <v>0</v>
      </c>
      <c r="AH68" s="267">
        <f>-BW66</f>
        <v>-145.10808</v>
      </c>
      <c r="AI68" s="267">
        <f>SUM(AI69:AI70,AI79:AI80,AI84)</f>
        <v>0</v>
      </c>
      <c r="AJ68" s="105">
        <f t="shared" si="56"/>
        <v>-5424.1901676080979</v>
      </c>
      <c r="AK68" s="43" t="s">
        <v>235</v>
      </c>
      <c r="AL68" s="18" t="s">
        <v>236</v>
      </c>
      <c r="AM68" s="99"/>
      <c r="AN68" s="37">
        <f>'Størrelse på strømme'!E65</f>
        <v>198.49266700460004</v>
      </c>
      <c r="AO68" s="38">
        <f t="shared" si="1"/>
        <v>3867.5630100706912</v>
      </c>
      <c r="AP68" s="37">
        <f t="shared" si="6"/>
        <v>0.71302127885685251</v>
      </c>
      <c r="AQ68" s="31"/>
      <c r="AR68" s="267">
        <f t="shared" ref="AR68:BZ68" si="59">SUM(AR69:AR70,AR79:AR80,AR84)</f>
        <v>0</v>
      </c>
      <c r="AS68" s="267">
        <f t="shared" si="59"/>
        <v>0</v>
      </c>
      <c r="AT68" s="267">
        <f t="shared" si="59"/>
        <v>0</v>
      </c>
      <c r="AU68" s="267">
        <f t="shared" si="59"/>
        <v>0</v>
      </c>
      <c r="AV68" s="267">
        <f t="shared" si="59"/>
        <v>0</v>
      </c>
      <c r="AW68" s="267">
        <f t="shared" si="59"/>
        <v>0</v>
      </c>
      <c r="AX68" s="267">
        <f t="shared" si="59"/>
        <v>0</v>
      </c>
      <c r="AY68" s="267">
        <f t="shared" si="59"/>
        <v>0</v>
      </c>
      <c r="AZ68" s="267">
        <f t="shared" si="59"/>
        <v>0</v>
      </c>
      <c r="BA68" s="267">
        <f t="shared" si="59"/>
        <v>0</v>
      </c>
      <c r="BB68" s="267">
        <f t="shared" si="59"/>
        <v>0</v>
      </c>
      <c r="BC68" s="267">
        <f t="shared" si="59"/>
        <v>0</v>
      </c>
      <c r="BD68" s="267">
        <f t="shared" si="59"/>
        <v>0</v>
      </c>
      <c r="BE68" s="267">
        <f t="shared" si="59"/>
        <v>0</v>
      </c>
      <c r="BF68" s="267">
        <f t="shared" si="59"/>
        <v>0</v>
      </c>
      <c r="BG68" s="267">
        <f t="shared" si="59"/>
        <v>0</v>
      </c>
      <c r="BH68" s="267">
        <f t="shared" si="59"/>
        <v>0</v>
      </c>
      <c r="BI68" s="267">
        <f t="shared" si="59"/>
        <v>0</v>
      </c>
      <c r="BJ68" s="267">
        <f t="shared" si="59"/>
        <v>0</v>
      </c>
      <c r="BK68" s="267">
        <f t="shared" si="59"/>
        <v>0</v>
      </c>
      <c r="BL68" s="267">
        <f t="shared" si="59"/>
        <v>0</v>
      </c>
      <c r="BM68" s="267">
        <f t="shared" si="59"/>
        <v>0</v>
      </c>
      <c r="BN68" s="267">
        <f t="shared" si="59"/>
        <v>0</v>
      </c>
      <c r="BO68" s="267">
        <f t="shared" si="59"/>
        <v>0</v>
      </c>
      <c r="BP68" s="267">
        <f t="shared" si="59"/>
        <v>0</v>
      </c>
      <c r="BQ68" s="267">
        <f t="shared" si="59"/>
        <v>0</v>
      </c>
      <c r="BR68" s="267">
        <f t="shared" si="59"/>
        <v>0</v>
      </c>
      <c r="BS68" s="267">
        <f t="shared" si="59"/>
        <v>0</v>
      </c>
      <c r="BT68" s="267">
        <f t="shared" si="59"/>
        <v>0</v>
      </c>
      <c r="BU68" s="267">
        <f t="shared" si="59"/>
        <v>0</v>
      </c>
      <c r="BV68" s="267">
        <f t="shared" si="59"/>
        <v>0</v>
      </c>
      <c r="BW68" s="267">
        <f t="shared" si="59"/>
        <v>3867.5630100706912</v>
      </c>
      <c r="BX68" s="267">
        <f t="shared" si="59"/>
        <v>0</v>
      </c>
      <c r="BY68" s="268">
        <f t="shared" si="59"/>
        <v>1556.6271575374064</v>
      </c>
      <c r="BZ68" s="268">
        <f t="shared" si="59"/>
        <v>165.11539359599996</v>
      </c>
      <c r="CA68" s="231"/>
      <c r="CB68" s="231"/>
      <c r="CC68" s="231"/>
      <c r="CD68" s="231"/>
    </row>
    <row r="69" spans="1:82" x14ac:dyDescent="0.25">
      <c r="A69" s="231"/>
      <c r="B69" s="31"/>
      <c r="C69" s="21"/>
      <c r="D69" s="21"/>
      <c r="E69" s="21"/>
      <c r="F69" s="21"/>
      <c r="G69" s="20">
        <f t="shared" si="29"/>
        <v>0</v>
      </c>
      <c r="H69" s="21">
        <f>IF((AW$11+AW$18+AW$57+AW65)+(H$70+H$79+H$80+H$84)+H$9&gt;0,(AW$11+AW$18+AW$57+AW65+H$70+H$79+H$80+H$84+H$9)*-1,0)</f>
        <v>0</v>
      </c>
      <c r="I69" s="21">
        <f t="shared" ref="I69:M69" si="60">IF((AX$11+AX$18+AX$57+AX65)+(I$70+I$79+I$80+I$84)+I$9&gt;0,(AX$11+AX$18+AX$57+AX65+I$70+I$79+I$80+I$84+I$9)*-1,0)</f>
        <v>0</v>
      </c>
      <c r="J69" s="21">
        <f t="shared" si="60"/>
        <v>0</v>
      </c>
      <c r="K69" s="21">
        <f t="shared" si="60"/>
        <v>0</v>
      </c>
      <c r="L69" s="21">
        <f t="shared" si="60"/>
        <v>0</v>
      </c>
      <c r="M69" s="21">
        <f t="shared" si="60"/>
        <v>0</v>
      </c>
      <c r="N69" s="20">
        <f t="shared" si="32"/>
        <v>0</v>
      </c>
      <c r="O69" s="21"/>
      <c r="P69" s="21"/>
      <c r="Q69" s="21"/>
      <c r="R69" s="21"/>
      <c r="S69" s="21"/>
      <c r="T69" s="20">
        <f t="shared" si="30"/>
        <v>0</v>
      </c>
      <c r="U69" s="21"/>
      <c r="V69" s="21"/>
      <c r="W69" s="21"/>
      <c r="X69" s="21"/>
      <c r="Y69" s="21"/>
      <c r="Z69" s="21"/>
      <c r="AA69" s="21"/>
      <c r="AB69" s="21"/>
      <c r="AC69" s="85">
        <f>IF(-($BR$11+$BR$18+$BR$57)-($AC$70+AC79+AC80+AC84)/(1-Nøgletal!$J$294)-$AC$9&lt;0,-($BR$11+$BR$18+$BR$57)-($AC$70+AC79+AC80+AC84)/(1-Nøgletal!$J$294)-$AC$9,0)</f>
        <v>0</v>
      </c>
      <c r="AD69" s="21"/>
      <c r="AE69" s="85">
        <f>IF($BT$11+$BT$18+$BT$57+BT65+(AE70+AE79+AE80+AE84+AE9)&gt;0,-($BT$11+$BT$18+$BT$57+BT65+(AE70+AE79+AE80+AE84+AE9)),0)</f>
        <v>0</v>
      </c>
      <c r="AF69" s="21"/>
      <c r="AG69" s="21"/>
      <c r="AH69" s="21"/>
      <c r="AI69" s="21"/>
      <c r="AJ69" s="105">
        <f t="shared" si="56"/>
        <v>0</v>
      </c>
      <c r="AK69" s="42" t="s">
        <v>655</v>
      </c>
      <c r="AL69" s="39" t="s">
        <v>237</v>
      </c>
      <c r="AM69" s="39" t="s">
        <v>238</v>
      </c>
      <c r="AN69" s="37"/>
      <c r="AO69" s="38">
        <f t="shared" ref="AO69:AO89" si="61">SUM(AR69:AV69,BC69,BI69,BR69:BW69)</f>
        <v>0</v>
      </c>
      <c r="AP69" s="37">
        <f t="shared" si="6"/>
        <v>0</v>
      </c>
      <c r="AQ69" s="31"/>
      <c r="AR69" s="21"/>
      <c r="AS69" s="21"/>
      <c r="AT69" s="21"/>
      <c r="AU69" s="21"/>
      <c r="AV69" s="24">
        <f t="shared" si="7"/>
        <v>0</v>
      </c>
      <c r="AW69" s="21"/>
      <c r="AX69" s="21"/>
      <c r="AY69" s="21"/>
      <c r="AZ69" s="21"/>
      <c r="BA69" s="87"/>
      <c r="BB69" s="21"/>
      <c r="BC69" s="24">
        <f t="shared" si="8"/>
        <v>0</v>
      </c>
      <c r="BD69" s="21"/>
      <c r="BE69" s="21"/>
      <c r="BF69" s="21"/>
      <c r="BG69" s="21"/>
      <c r="BH69" s="21"/>
      <c r="BI69" s="24">
        <f t="shared" si="3"/>
        <v>0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127">
        <v>0</v>
      </c>
      <c r="BZ69" s="123">
        <f>AC69*Emissionsfaktorer!E6+AE69*Emissionsfaktorer!E14</f>
        <v>0</v>
      </c>
      <c r="CA69" s="231"/>
      <c r="CB69" s="231"/>
      <c r="CC69" s="231"/>
      <c r="CD69" s="231"/>
    </row>
    <row r="70" spans="1:82" x14ac:dyDescent="0.25">
      <c r="A70" s="231"/>
      <c r="B70" s="31"/>
      <c r="C70" s="79">
        <f>SUM(C71:C78)</f>
        <v>0</v>
      </c>
      <c r="D70" s="79">
        <f>SUM(D71:D78)</f>
        <v>0</v>
      </c>
      <c r="E70" s="79">
        <f>SUM(E71:E78)</f>
        <v>0</v>
      </c>
      <c r="F70" s="79">
        <f>SUM(F71:F78)</f>
        <v>0</v>
      </c>
      <c r="G70" s="20">
        <f t="shared" si="29"/>
        <v>-1851.095863</v>
      </c>
      <c r="H70" s="79">
        <f t="shared" ref="H70:M70" si="62">SUM(H71:H78)</f>
        <v>-4.26</v>
      </c>
      <c r="I70" s="79">
        <f t="shared" si="62"/>
        <v>-6.5999999999999988</v>
      </c>
      <c r="J70" s="79">
        <f t="shared" si="62"/>
        <v>0</v>
      </c>
      <c r="K70" s="79">
        <f t="shared" si="62"/>
        <v>-935.45254699999998</v>
      </c>
      <c r="L70" s="79">
        <f t="shared" si="62"/>
        <v>-344</v>
      </c>
      <c r="M70" s="79">
        <f t="shared" si="62"/>
        <v>-560.7833159999999</v>
      </c>
      <c r="N70" s="20">
        <f t="shared" si="32"/>
        <v>0</v>
      </c>
      <c r="O70" s="79">
        <f>SUM(O71:O78)</f>
        <v>0</v>
      </c>
      <c r="P70" s="79">
        <f>SUM(P71:P78)</f>
        <v>0</v>
      </c>
      <c r="Q70" s="79">
        <f>SUM(Q71:Q78)</f>
        <v>0</v>
      </c>
      <c r="R70" s="79">
        <f>SUM(R71:R78)</f>
        <v>0</v>
      </c>
      <c r="S70" s="79">
        <f>SUM(S71:S78)</f>
        <v>0</v>
      </c>
      <c r="T70" s="20">
        <f t="shared" si="30"/>
        <v>-52.827137</v>
      </c>
      <c r="U70" s="79">
        <f t="shared" ref="U70:AI70" si="63">SUM(U71:U78)</f>
        <v>0</v>
      </c>
      <c r="V70" s="79">
        <f t="shared" si="63"/>
        <v>-52.827137</v>
      </c>
      <c r="W70" s="79">
        <f t="shared" si="63"/>
        <v>0</v>
      </c>
      <c r="X70" s="79">
        <f t="shared" si="63"/>
        <v>0</v>
      </c>
      <c r="Y70" s="79">
        <f t="shared" si="63"/>
        <v>0</v>
      </c>
      <c r="Z70" s="79">
        <f t="shared" si="63"/>
        <v>0</v>
      </c>
      <c r="AA70" s="79">
        <f t="shared" si="63"/>
        <v>0</v>
      </c>
      <c r="AB70" s="79">
        <f t="shared" si="63"/>
        <v>0</v>
      </c>
      <c r="AC70" s="79">
        <f t="shared" si="63"/>
        <v>0</v>
      </c>
      <c r="AD70" s="79">
        <f t="shared" si="63"/>
        <v>0</v>
      </c>
      <c r="AE70" s="79">
        <f t="shared" si="63"/>
        <v>0</v>
      </c>
      <c r="AF70" s="79">
        <f t="shared" si="63"/>
        <v>0</v>
      </c>
      <c r="AG70" s="79">
        <f t="shared" si="63"/>
        <v>0</v>
      </c>
      <c r="AH70" s="79">
        <f t="shared" si="63"/>
        <v>0</v>
      </c>
      <c r="AI70" s="79">
        <f t="shared" si="63"/>
        <v>0</v>
      </c>
      <c r="AJ70" s="105">
        <f t="shared" si="56"/>
        <v>-1903.923</v>
      </c>
      <c r="AK70" s="41" t="s">
        <v>239</v>
      </c>
      <c r="AL70" s="39" t="s">
        <v>240</v>
      </c>
      <c r="AM70" s="39" t="s">
        <v>238</v>
      </c>
      <c r="AN70" s="37">
        <f>'Størrelse på strømme'!E49</f>
        <v>101.62238198614048</v>
      </c>
      <c r="AO70" s="38">
        <f t="shared" si="61"/>
        <v>512.10055</v>
      </c>
      <c r="AP70" s="37">
        <f t="shared" si="6"/>
        <v>0.2689712504129631</v>
      </c>
      <c r="AQ70" s="31"/>
      <c r="AR70" s="21">
        <f t="shared" ref="AR70:BZ70" si="64">SUM(AR71:AR78)</f>
        <v>0</v>
      </c>
      <c r="AS70" s="21">
        <f t="shared" si="64"/>
        <v>0</v>
      </c>
      <c r="AT70" s="21">
        <f t="shared" si="64"/>
        <v>0</v>
      </c>
      <c r="AU70" s="21">
        <f t="shared" si="64"/>
        <v>0</v>
      </c>
      <c r="AV70" s="21">
        <f t="shared" si="64"/>
        <v>0</v>
      </c>
      <c r="AW70" s="21">
        <f t="shared" si="64"/>
        <v>0</v>
      </c>
      <c r="AX70" s="21">
        <f t="shared" si="64"/>
        <v>0</v>
      </c>
      <c r="AY70" s="21">
        <f t="shared" si="64"/>
        <v>0</v>
      </c>
      <c r="AZ70" s="21">
        <f t="shared" si="64"/>
        <v>0</v>
      </c>
      <c r="BA70" s="21">
        <f t="shared" si="64"/>
        <v>0</v>
      </c>
      <c r="BB70" s="21">
        <f t="shared" si="64"/>
        <v>0</v>
      </c>
      <c r="BC70" s="21">
        <f t="shared" si="64"/>
        <v>0</v>
      </c>
      <c r="BD70" s="21">
        <f t="shared" si="64"/>
        <v>0</v>
      </c>
      <c r="BE70" s="21">
        <f t="shared" si="64"/>
        <v>0</v>
      </c>
      <c r="BF70" s="21">
        <f t="shared" si="64"/>
        <v>0</v>
      </c>
      <c r="BG70" s="21">
        <f t="shared" si="64"/>
        <v>0</v>
      </c>
      <c r="BH70" s="21">
        <f t="shared" si="64"/>
        <v>0</v>
      </c>
      <c r="BI70" s="21">
        <f t="shared" si="64"/>
        <v>0</v>
      </c>
      <c r="BJ70" s="21">
        <f t="shared" si="64"/>
        <v>0</v>
      </c>
      <c r="BK70" s="21">
        <f t="shared" si="64"/>
        <v>0</v>
      </c>
      <c r="BL70" s="21">
        <f t="shared" si="64"/>
        <v>0</v>
      </c>
      <c r="BM70" s="21">
        <f t="shared" si="64"/>
        <v>0</v>
      </c>
      <c r="BN70" s="21">
        <f t="shared" si="64"/>
        <v>0</v>
      </c>
      <c r="BO70" s="21">
        <f t="shared" si="64"/>
        <v>0</v>
      </c>
      <c r="BP70" s="21">
        <f t="shared" si="64"/>
        <v>0</v>
      </c>
      <c r="BQ70" s="21">
        <f t="shared" si="64"/>
        <v>0</v>
      </c>
      <c r="BR70" s="21">
        <f t="shared" si="64"/>
        <v>0</v>
      </c>
      <c r="BS70" s="21">
        <f t="shared" si="64"/>
        <v>0</v>
      </c>
      <c r="BT70" s="21">
        <f t="shared" si="64"/>
        <v>0</v>
      </c>
      <c r="BU70" s="21">
        <f t="shared" si="64"/>
        <v>0</v>
      </c>
      <c r="BV70" s="21">
        <f t="shared" si="64"/>
        <v>0</v>
      </c>
      <c r="BW70" s="21">
        <f t="shared" si="64"/>
        <v>512.10055</v>
      </c>
      <c r="BX70" s="21">
        <f t="shared" si="64"/>
        <v>0</v>
      </c>
      <c r="BY70" s="127">
        <f t="shared" si="64"/>
        <v>1391.8224499999999</v>
      </c>
      <c r="BZ70" s="127">
        <f t="shared" si="64"/>
        <v>135.72037054599997</v>
      </c>
      <c r="CA70" s="231"/>
      <c r="CB70" s="231"/>
      <c r="CC70" s="231"/>
      <c r="CD70" s="231"/>
    </row>
    <row r="71" spans="1:82" x14ac:dyDescent="0.25">
      <c r="A71" s="231"/>
      <c r="B71" s="31"/>
      <c r="C71" s="78"/>
      <c r="D71" s="78"/>
      <c r="E71" s="78">
        <f>BW71*Nøgletal!J635*-1/Nøgletal!J401</f>
        <v>0</v>
      </c>
      <c r="F71" s="78"/>
      <c r="G71" s="23">
        <f t="shared" si="29"/>
        <v>-863.6061289999999</v>
      </c>
      <c r="H71" s="78"/>
      <c r="I71" s="78"/>
      <c r="J71" s="78"/>
      <c r="K71" s="78">
        <f>AO71*Nøgletal!J287/(Nøgletal!J286+Nøgletal!J287+Nøgletal!J284)*Nøgletal!J642/Nøgletal!J402*-1</f>
        <v>-303.42281300000002</v>
      </c>
      <c r="L71" s="78"/>
      <c r="M71" s="78">
        <f>AO71*Nøgletal!J286/(Nøgletal!J286+Nøgletal!J287+Nøgletal!J284)*Nøgletal!J634/Nøgletal!J401*-1</f>
        <v>-560.18331599999988</v>
      </c>
      <c r="N71" s="23">
        <f t="shared" si="32"/>
        <v>0</v>
      </c>
      <c r="O71" s="78"/>
      <c r="P71" s="78"/>
      <c r="Q71" s="78"/>
      <c r="R71" s="78"/>
      <c r="S71" s="78"/>
      <c r="T71" s="23">
        <f t="shared" si="30"/>
        <v>-31.183871</v>
      </c>
      <c r="U71" s="78">
        <f>IF(Nøgletal!J636=0,0,$AO$71*Nøgletal!J636/Nøgletal!$J$401*-1)</f>
        <v>0</v>
      </c>
      <c r="V71" s="78">
        <f>AO71*(Nøgletal!J286/(Nøgletal!J286+Nøgletal!J287+Nøgletal!J284)*Nøgletal!J637/Nøgletal!J401+Nøgletal!J287/(Nøgletal!J286+Nøgletal!J287+Nøgletal!J284)*Nøgletal!J646/Nøgletal!J402)*-1</f>
        <v>-31.183871</v>
      </c>
      <c r="W71" s="78"/>
      <c r="X71" s="78"/>
      <c r="Y71" s="78"/>
      <c r="Z71" s="78"/>
      <c r="AA71" s="78"/>
      <c r="AB71" s="78">
        <f>IF(Nøgletal!J638=0,0,AO71*Nøgletal!J638/Nøgletal!J401*-1)</f>
        <v>0</v>
      </c>
      <c r="AC71" s="32">
        <f>AO71*Nøgletal!J284/(Nøgletal!J284+Nøgletal!J286+Nøgletal!J287)/(Nøgletal!J410*-1)</f>
        <v>0</v>
      </c>
      <c r="AD71" s="32"/>
      <c r="AE71" s="32">
        <f>AO71*Nøgletal!J286/(Nøgletal!J286+Nøgletal!J287+Nøgletal!J284)*Nøgletal!J639/Nøgletal!J401*-1+AO71*Nøgletal!J287/(Nøgletal!J286+Nøgletal!J287+Nøgletal!J284)*Nøgletal!J647/Nøgletal!J402*-1</f>
        <v>0</v>
      </c>
      <c r="AF71" s="32"/>
      <c r="AG71" s="32"/>
      <c r="AH71" s="32"/>
      <c r="AI71" s="32"/>
      <c r="AJ71" s="105">
        <f t="shared" si="56"/>
        <v>-894.78999999999985</v>
      </c>
      <c r="AK71" s="48" t="s">
        <v>621</v>
      </c>
      <c r="AL71" s="39" t="s">
        <v>242</v>
      </c>
      <c r="AM71" s="39" t="s">
        <v>240</v>
      </c>
      <c r="AN71" s="37"/>
      <c r="AO71" s="38">
        <f t="shared" si="61"/>
        <v>194.7235</v>
      </c>
      <c r="AP71" s="37">
        <f t="shared" si="6"/>
        <v>0.21761921791705321</v>
      </c>
      <c r="AQ71" s="31"/>
      <c r="AR71" s="32"/>
      <c r="AS71" s="32"/>
      <c r="AT71" s="32"/>
      <c r="AU71" s="32"/>
      <c r="AV71" s="91">
        <f t="shared" ref="AV71:AV88" si="65">SUM(AW71:BB71)</f>
        <v>0</v>
      </c>
      <c r="AW71" s="32"/>
      <c r="AX71" s="32"/>
      <c r="AY71" s="32"/>
      <c r="AZ71" s="32"/>
      <c r="BA71" s="94"/>
      <c r="BB71" s="32"/>
      <c r="BC71" s="91">
        <f t="shared" si="8"/>
        <v>0</v>
      </c>
      <c r="BD71" s="32"/>
      <c r="BE71" s="32"/>
      <c r="BF71" s="32"/>
      <c r="BG71" s="32"/>
      <c r="BH71" s="32"/>
      <c r="BI71" s="91">
        <f t="shared" ref="BI71:BI88" si="66">SUM(BJ71:BQ71)</f>
        <v>0</v>
      </c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78">
        <f>Nøgletal!J$282*(Nøgletal!J286+Nøgletal!J287+Nøgletal!J284)</f>
        <v>194.7235</v>
      </c>
      <c r="BX71" s="78"/>
      <c r="BY71" s="127">
        <f t="shared" ref="BY71:BY79" si="67">(AJ71+BW71)*-1</f>
        <v>700.06649999999991</v>
      </c>
      <c r="BZ71" s="123">
        <f>(C71*Emissionsfaktorer!$E$4+E71*Emissionsfaktorer!$E$3+F71*Emissionsfaktorer!$E$5+H71*Emissionsfaktorer!$E$7+I71*Emissionsfaktorer!$E$8+J71*Emissionsfaktorer!$E$9+K71*Emissionsfaktorer!$E$10+L71*Emissionsfaktorer!$E$11+M71*Emissionsfaktorer!$E$12)*-1</f>
        <v>63.346670229999987</v>
      </c>
      <c r="CA71" s="231"/>
      <c r="CB71" s="231"/>
      <c r="CC71" s="231"/>
      <c r="CD71" s="231"/>
    </row>
    <row r="72" spans="1:82" x14ac:dyDescent="0.25">
      <c r="A72" s="231"/>
      <c r="B72" s="31"/>
      <c r="C72" s="78"/>
      <c r="D72" s="78"/>
      <c r="E72" s="149"/>
      <c r="F72" s="78"/>
      <c r="G72" s="23">
        <f>SUM(H72:M72)</f>
        <v>-4.26</v>
      </c>
      <c r="H72" s="78">
        <f>AO72/Nøgletal!J411*-1</f>
        <v>-4.26</v>
      </c>
      <c r="I72" s="78"/>
      <c r="J72" s="78"/>
      <c r="K72" s="78"/>
      <c r="L72" s="78"/>
      <c r="M72" s="78"/>
      <c r="N72" s="23">
        <f>SUM(O72:S72)</f>
        <v>0</v>
      </c>
      <c r="O72" s="78"/>
      <c r="P72" s="78"/>
      <c r="Q72" s="78"/>
      <c r="R72" s="78"/>
      <c r="S72" s="78"/>
      <c r="T72" s="23">
        <f>SUM(U72:AB72)</f>
        <v>0</v>
      </c>
      <c r="U72" s="78"/>
      <c r="V72" s="78"/>
      <c r="W72" s="78"/>
      <c r="X72" s="78"/>
      <c r="Y72" s="78"/>
      <c r="Z72" s="78"/>
      <c r="AA72" s="78"/>
      <c r="AB72" s="78"/>
      <c r="AC72" s="269"/>
      <c r="AD72" s="32"/>
      <c r="AE72" s="32"/>
      <c r="AF72" s="32"/>
      <c r="AG72" s="32"/>
      <c r="AH72" s="32"/>
      <c r="AI72" s="32"/>
      <c r="AJ72" s="105">
        <f t="shared" si="56"/>
        <v>-4.26</v>
      </c>
      <c r="AK72" s="48" t="s">
        <v>520</v>
      </c>
      <c r="AL72" s="39" t="s">
        <v>498</v>
      </c>
      <c r="AM72" s="39" t="s">
        <v>240</v>
      </c>
      <c r="AN72" s="37"/>
      <c r="AO72" s="38">
        <f t="shared" si="61"/>
        <v>1.6188</v>
      </c>
      <c r="AP72" s="37">
        <f>IF(AJ72=0,0,AO72/AJ72*-1)</f>
        <v>0.38</v>
      </c>
      <c r="AQ72" s="31"/>
      <c r="AR72" s="32"/>
      <c r="AS72" s="32"/>
      <c r="AT72" s="32"/>
      <c r="AU72" s="32"/>
      <c r="AV72" s="91">
        <f>SUM(AW72:BB72)</f>
        <v>0</v>
      </c>
      <c r="AW72" s="32"/>
      <c r="AX72" s="32"/>
      <c r="AY72" s="32"/>
      <c r="AZ72" s="32"/>
      <c r="BA72" s="94"/>
      <c r="BB72" s="32"/>
      <c r="BC72" s="91">
        <f>SUM(BD72:BH72)</f>
        <v>0</v>
      </c>
      <c r="BD72" s="32"/>
      <c r="BE72" s="32"/>
      <c r="BF72" s="32"/>
      <c r="BG72" s="32"/>
      <c r="BH72" s="32"/>
      <c r="BI72" s="91">
        <f>SUM(BJ72:BQ72)</f>
        <v>0</v>
      </c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78">
        <f>Nøgletal!J$282*Nøgletal!J285</f>
        <v>1.6188</v>
      </c>
      <c r="BX72" s="78"/>
      <c r="BY72" s="127">
        <f t="shared" si="67"/>
        <v>2.6411999999999995</v>
      </c>
      <c r="BZ72" s="123">
        <f>(C72*Emissionsfaktorer!$E$4+E72*Emissionsfaktorer!$E$3+F72*Emissionsfaktorer!$E$5+H72*Emissionsfaktorer!$E$7+I72*Emissionsfaktorer!$E$8+J72*Emissionsfaktorer!$E$9+K72*Emissionsfaktorer!$E$10+L72*Emissionsfaktorer!$E$11+M72*Emissionsfaktorer!$E$12)*-1</f>
        <v>0.27689999999999998</v>
      </c>
      <c r="CA72" s="231"/>
      <c r="CB72" s="231"/>
      <c r="CC72" s="231"/>
      <c r="CD72" s="231"/>
    </row>
    <row r="73" spans="1:82" x14ac:dyDescent="0.25">
      <c r="A73" s="231"/>
      <c r="B73" s="31"/>
      <c r="C73" s="78"/>
      <c r="D73" s="78"/>
      <c r="E73" s="78">
        <f>AO73*Nøgletal!J654/IF(Nøgletal!$J$403&gt;0,Nøgletal!J403,1)*-1</f>
        <v>0</v>
      </c>
      <c r="F73" s="78"/>
      <c r="G73" s="23">
        <f t="shared" si="29"/>
        <v>-190.594326</v>
      </c>
      <c r="H73" s="78"/>
      <c r="I73" s="78"/>
      <c r="J73" s="78"/>
      <c r="K73" s="78">
        <f>$AO$73*Nøgletal!J650/IF(Nøgletal!J403&gt;0,Nøgletal!J403,1)*-1</f>
        <v>-190.594326</v>
      </c>
      <c r="L73" s="78"/>
      <c r="M73" s="78">
        <f>AO73*Nøgletal!J651/IF(Nøgletal!J403&gt;0,Nøgletal!J403,1)*-1</f>
        <v>0</v>
      </c>
      <c r="N73" s="23">
        <f t="shared" si="32"/>
        <v>0</v>
      </c>
      <c r="O73" s="78"/>
      <c r="P73" s="78"/>
      <c r="Q73" s="78"/>
      <c r="R73" s="78"/>
      <c r="S73" s="78"/>
      <c r="T73" s="23">
        <f t="shared" si="30"/>
        <v>-7.5286739999999996</v>
      </c>
      <c r="U73" s="78">
        <f>AO73*Nøgletal!J653/IF(Nøgletal!J403&gt;0,Nøgletal!J403,1)*-1</f>
        <v>0</v>
      </c>
      <c r="V73" s="78">
        <f>AO73*Nøgletal!J655/IF(Nøgletal!J403&gt;0,Nøgletal!J403,1)*-1</f>
        <v>-7.5286739999999996</v>
      </c>
      <c r="W73" s="78"/>
      <c r="X73" s="78"/>
      <c r="Y73" s="78"/>
      <c r="Z73" s="78"/>
      <c r="AA73" s="78"/>
      <c r="AB73" s="78">
        <f>AO73*Nøgletal!J652/IF(Nøgletal!J403&gt;0,Nøgletal!J403,1)*-1</f>
        <v>0</v>
      </c>
      <c r="AC73" s="32">
        <f>AO73*Nøgletal!J657/IF(Nøgletal!J410&gt;0,Nøgletal!J410,1)*-1</f>
        <v>0</v>
      </c>
      <c r="AD73" s="32"/>
      <c r="AE73" s="32">
        <f>AO73*Nøgletal!J656/IF(Nøgletal!J403&gt;0,Nøgletal!J403,1)*-1</f>
        <v>0</v>
      </c>
      <c r="AF73" s="32"/>
      <c r="AG73" s="32"/>
      <c r="AH73" s="32"/>
      <c r="AI73" s="32"/>
      <c r="AJ73" s="105">
        <f t="shared" si="56"/>
        <v>-198.12299999999999</v>
      </c>
      <c r="AK73" s="48" t="s">
        <v>244</v>
      </c>
      <c r="AL73" s="39" t="s">
        <v>245</v>
      </c>
      <c r="AM73" s="39" t="s">
        <v>240</v>
      </c>
      <c r="AN73" s="37"/>
      <c r="AO73" s="38">
        <f t="shared" si="61"/>
        <v>49.530749999999998</v>
      </c>
      <c r="AP73" s="37">
        <f t="shared" si="6"/>
        <v>0.25</v>
      </c>
      <c r="AQ73" s="31"/>
      <c r="AR73" s="32"/>
      <c r="AS73" s="32"/>
      <c r="AT73" s="32"/>
      <c r="AU73" s="32"/>
      <c r="AV73" s="91">
        <f t="shared" si="65"/>
        <v>0</v>
      </c>
      <c r="AW73" s="32"/>
      <c r="AX73" s="32"/>
      <c r="AY73" s="32"/>
      <c r="AZ73" s="32"/>
      <c r="BA73" s="94"/>
      <c r="BB73" s="32"/>
      <c r="BC73" s="91">
        <f t="shared" si="8"/>
        <v>0</v>
      </c>
      <c r="BD73" s="32"/>
      <c r="BE73" s="32"/>
      <c r="BF73" s="32"/>
      <c r="BG73" s="32"/>
      <c r="BH73" s="32"/>
      <c r="BI73" s="91">
        <f t="shared" si="66"/>
        <v>0</v>
      </c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78">
        <f>Nøgletal!J$282*Nøgletal!J288</f>
        <v>49.530749999999998</v>
      </c>
      <c r="BX73" s="78"/>
      <c r="BY73" s="127">
        <f t="shared" si="67"/>
        <v>148.59224999999998</v>
      </c>
      <c r="BZ73" s="123">
        <f>(C73*Emissionsfaktorer!$E$4+E73*Emissionsfaktorer!$E$3+F73*Emissionsfaktorer!$E$5+H73*Emissionsfaktorer!$E$7+I73*Emissionsfaktorer!$E$8+J73*Emissionsfaktorer!$E$9+K73*Emissionsfaktorer!$E$10+L73*Emissionsfaktorer!$E$11+M73*Emissionsfaktorer!$E$12)*-1</f>
        <v>14.103980124</v>
      </c>
      <c r="CA73" s="231"/>
      <c r="CB73" s="231"/>
      <c r="CC73" s="231"/>
      <c r="CD73" s="231"/>
    </row>
    <row r="74" spans="1:82" x14ac:dyDescent="0.25">
      <c r="A74" s="231"/>
      <c r="B74" s="31"/>
      <c r="C74" s="78"/>
      <c r="D74" s="78"/>
      <c r="E74" s="78">
        <f>AO74*Nøgletal!J662/Nøgletal!J404*-1</f>
        <v>0</v>
      </c>
      <c r="F74" s="78"/>
      <c r="G74" s="23">
        <f t="shared" si="29"/>
        <v>-17.210179999999998</v>
      </c>
      <c r="H74" s="78"/>
      <c r="I74" s="78"/>
      <c r="J74" s="78"/>
      <c r="K74" s="78">
        <f>AO74*Nøgletal!J659/Nøgletal!J404*-1</f>
        <v>-17.210179999999998</v>
      </c>
      <c r="L74" s="78"/>
      <c r="M74" s="78"/>
      <c r="N74" s="23">
        <f t="shared" si="32"/>
        <v>0</v>
      </c>
      <c r="O74" s="78"/>
      <c r="P74" s="78"/>
      <c r="Q74" s="78"/>
      <c r="R74" s="78"/>
      <c r="S74" s="78"/>
      <c r="T74" s="23">
        <f t="shared" si="30"/>
        <v>-0.67981999999999987</v>
      </c>
      <c r="U74" s="78">
        <f>AO75*Nøgletal!J661/Nøgletal!J404*-1</f>
        <v>0</v>
      </c>
      <c r="V74" s="78">
        <f>AO74*Nøgletal!J663/Nøgletal!J404*-1</f>
        <v>-0.67981999999999987</v>
      </c>
      <c r="W74" s="78"/>
      <c r="X74" s="78"/>
      <c r="Y74" s="78"/>
      <c r="Z74" s="78"/>
      <c r="AA74" s="78"/>
      <c r="AB74" s="78">
        <f>AO74*Nøgletal!J660/Nøgletal!J404*-1</f>
        <v>0</v>
      </c>
      <c r="AC74" s="269">
        <f>AO74*Nøgletal!J665/Nøgletal!J410*-1</f>
        <v>0</v>
      </c>
      <c r="AD74" s="32"/>
      <c r="AE74" s="32">
        <f>AO74*Nøgletal!J664/Nøgletal!J404*-1</f>
        <v>0</v>
      </c>
      <c r="AF74" s="32"/>
      <c r="AG74" s="32"/>
      <c r="AH74" s="32"/>
      <c r="AI74" s="32"/>
      <c r="AJ74" s="105">
        <f t="shared" si="56"/>
        <v>-17.889999999999997</v>
      </c>
      <c r="AK74" s="48" t="s">
        <v>246</v>
      </c>
      <c r="AL74" s="39" t="s">
        <v>247</v>
      </c>
      <c r="AM74" s="39" t="s">
        <v>240</v>
      </c>
      <c r="AN74" s="37"/>
      <c r="AO74" s="38">
        <f t="shared" si="61"/>
        <v>5.9036999999999997</v>
      </c>
      <c r="AP74" s="37">
        <f t="shared" ref="AP74:AP89" si="68">IF(AJ74=0,0,AO74/AJ74*-1)</f>
        <v>0.33</v>
      </c>
      <c r="AQ74" s="31"/>
      <c r="AR74" s="32"/>
      <c r="AS74" s="32"/>
      <c r="AT74" s="32"/>
      <c r="AU74" s="32"/>
      <c r="AV74" s="91">
        <f t="shared" si="65"/>
        <v>0</v>
      </c>
      <c r="AW74" s="32"/>
      <c r="AX74" s="32"/>
      <c r="AY74" s="32"/>
      <c r="AZ74" s="32"/>
      <c r="BA74" s="94"/>
      <c r="BB74" s="32"/>
      <c r="BC74" s="91">
        <f t="shared" ref="BC74:BC88" si="69">SUM(BD74:BH74)</f>
        <v>0</v>
      </c>
      <c r="BD74" s="32"/>
      <c r="BE74" s="32"/>
      <c r="BF74" s="32"/>
      <c r="BG74" s="32"/>
      <c r="BH74" s="32"/>
      <c r="BI74" s="91">
        <f t="shared" si="66"/>
        <v>0</v>
      </c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78">
        <f>Nøgletal!J$282*Nøgletal!J289</f>
        <v>5.9036999999999997</v>
      </c>
      <c r="BX74" s="78"/>
      <c r="BY74" s="127">
        <f t="shared" si="67"/>
        <v>11.986299999999996</v>
      </c>
      <c r="BZ74" s="123">
        <f>(C74*Emissionsfaktorer!$E$4+E74*Emissionsfaktorer!$E$3+F74*Emissionsfaktorer!$E$5+H74*Emissionsfaktorer!$E$7+I74*Emissionsfaktorer!$E$8+J74*Emissionsfaktorer!$E$9+K74*Emissionsfaktorer!$E$10+L74*Emissionsfaktorer!$E$11+M74*Emissionsfaktorer!$E$12)*-1</f>
        <v>1.2735533199999998</v>
      </c>
      <c r="CA74" s="231"/>
      <c r="CB74" s="231"/>
      <c r="CC74" s="231"/>
      <c r="CD74" s="231"/>
    </row>
    <row r="75" spans="1:82" x14ac:dyDescent="0.25">
      <c r="A75" s="231"/>
      <c r="B75" s="31"/>
      <c r="C75" s="78"/>
      <c r="D75" s="78"/>
      <c r="E75" s="78">
        <f>AO75*Nøgletal!J670/Nøgletal!J405*-1</f>
        <v>0</v>
      </c>
      <c r="F75" s="78"/>
      <c r="G75" s="23">
        <f t="shared" si="29"/>
        <v>-342.925228</v>
      </c>
      <c r="H75" s="78"/>
      <c r="I75" s="78"/>
      <c r="J75" s="78"/>
      <c r="K75" s="78">
        <f>AO75*Nøgletal!J667/Nøgletal!J405*-1</f>
        <v>-342.925228</v>
      </c>
      <c r="L75" s="78"/>
      <c r="M75" s="78"/>
      <c r="N75" s="23">
        <f t="shared" si="32"/>
        <v>0</v>
      </c>
      <c r="O75" s="78"/>
      <c r="P75" s="78"/>
      <c r="Q75" s="78"/>
      <c r="R75" s="78"/>
      <c r="S75" s="78"/>
      <c r="T75" s="23">
        <f t="shared" si="30"/>
        <v>-13.434772000000001</v>
      </c>
      <c r="U75" s="78">
        <f>AO76*Nøgletal!J669/Nøgletal!J405*-1</f>
        <v>0</v>
      </c>
      <c r="V75" s="78">
        <f>AO75*Nøgletal!J671/Nøgletal!J405*-1</f>
        <v>-13.434772000000001</v>
      </c>
      <c r="W75" s="78"/>
      <c r="X75" s="78"/>
      <c r="Y75" s="78"/>
      <c r="Z75" s="78"/>
      <c r="AA75" s="78"/>
      <c r="AB75" s="78">
        <f>AO75*Nøgletal!J668/Nøgletal!J405*-1</f>
        <v>0</v>
      </c>
      <c r="AC75" s="269">
        <f>AO75*Nøgletal!J673/Nøgletal!J410*-1</f>
        <v>0</v>
      </c>
      <c r="AD75" s="32"/>
      <c r="AE75" s="32">
        <f>AO75*Nøgletal!J672/Nøgletal!J405*-1</f>
        <v>0</v>
      </c>
      <c r="AF75" s="32"/>
      <c r="AG75" s="32"/>
      <c r="AH75" s="32"/>
      <c r="AI75" s="32"/>
      <c r="AJ75" s="105">
        <f t="shared" si="56"/>
        <v>-356.36</v>
      </c>
      <c r="AK75" s="48" t="s">
        <v>248</v>
      </c>
      <c r="AL75" s="39" t="s">
        <v>249</v>
      </c>
      <c r="AM75" s="39" t="s">
        <v>240</v>
      </c>
      <c r="AN75" s="37"/>
      <c r="AO75" s="38">
        <f t="shared" si="61"/>
        <v>117.59880000000001</v>
      </c>
      <c r="AP75" s="37">
        <f t="shared" si="68"/>
        <v>0.33</v>
      </c>
      <c r="AQ75" s="31"/>
      <c r="AR75" s="32"/>
      <c r="AS75" s="32"/>
      <c r="AT75" s="32"/>
      <c r="AU75" s="32"/>
      <c r="AV75" s="91">
        <f t="shared" si="65"/>
        <v>0</v>
      </c>
      <c r="AW75" s="32"/>
      <c r="AX75" s="32"/>
      <c r="AY75" s="32"/>
      <c r="AZ75" s="32"/>
      <c r="BA75" s="94"/>
      <c r="BB75" s="32"/>
      <c r="BC75" s="91">
        <f t="shared" si="69"/>
        <v>0</v>
      </c>
      <c r="BD75" s="32"/>
      <c r="BE75" s="32"/>
      <c r="BF75" s="32"/>
      <c r="BG75" s="32"/>
      <c r="BH75" s="32"/>
      <c r="BI75" s="91">
        <f t="shared" si="66"/>
        <v>0</v>
      </c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78">
        <f>Nøgletal!J$282*Nøgletal!J290</f>
        <v>117.59880000000001</v>
      </c>
      <c r="BX75" s="78"/>
      <c r="BY75" s="127">
        <f t="shared" si="67"/>
        <v>238.7612</v>
      </c>
      <c r="BZ75" s="123">
        <f>(C75*Emissionsfaktorer!$E$4+E75*Emissionsfaktorer!$E$3+F75*Emissionsfaktorer!$E$5+H75*Emissionsfaktorer!$E$7+I75*Emissionsfaktorer!$E$8+J75*Emissionsfaktorer!$E$9+K75*Emissionsfaktorer!$E$10+L75*Emissionsfaktorer!$E$11+M75*Emissionsfaktorer!$E$12)*-1</f>
        <v>25.376466871999998</v>
      </c>
      <c r="CA75" s="231"/>
      <c r="CB75" s="231"/>
      <c r="CC75" s="231"/>
      <c r="CD75" s="231"/>
    </row>
    <row r="76" spans="1:82" x14ac:dyDescent="0.25">
      <c r="A76" s="231"/>
      <c r="B76" s="31"/>
      <c r="C76" s="78"/>
      <c r="D76" s="78"/>
      <c r="E76" s="78"/>
      <c r="F76" s="78"/>
      <c r="G76" s="23">
        <f t="shared" si="29"/>
        <v>-30.4</v>
      </c>
      <c r="H76" s="78"/>
      <c r="I76" s="78"/>
      <c r="J76" s="78"/>
      <c r="K76" s="78">
        <f>AO76*Nøgletal!J675/Nøgletal!J407*-1</f>
        <v>-30.4</v>
      </c>
      <c r="L76" s="78"/>
      <c r="M76" s="78"/>
      <c r="N76" s="23">
        <f t="shared" si="32"/>
        <v>0</v>
      </c>
      <c r="O76" s="78"/>
      <c r="P76" s="78"/>
      <c r="Q76" s="78"/>
      <c r="R76" s="78"/>
      <c r="S76" s="78"/>
      <c r="T76" s="23">
        <f t="shared" si="30"/>
        <v>0</v>
      </c>
      <c r="U76" s="78"/>
      <c r="V76" s="78">
        <f>AO76*Nøgletal!J676/Nøgletal!J407*-1</f>
        <v>0</v>
      </c>
      <c r="W76" s="78"/>
      <c r="X76" s="78"/>
      <c r="Y76" s="78"/>
      <c r="Z76" s="78"/>
      <c r="AA76" s="78"/>
      <c r="AB76" s="78"/>
      <c r="AC76" s="269">
        <f>AO76*Nøgletal!J678/Nøgletal!J410*-1</f>
        <v>0</v>
      </c>
      <c r="AD76" s="32"/>
      <c r="AE76" s="32">
        <f>AO76*Nøgletal!J677/Nøgletal!J407*-1</f>
        <v>0</v>
      </c>
      <c r="AF76" s="32"/>
      <c r="AG76" s="32"/>
      <c r="AH76" s="32"/>
      <c r="AI76" s="32"/>
      <c r="AJ76" s="105">
        <f t="shared" si="56"/>
        <v>-30.4</v>
      </c>
      <c r="AK76" s="48" t="s">
        <v>250</v>
      </c>
      <c r="AL76" s="39" t="s">
        <v>251</v>
      </c>
      <c r="AM76" s="39" t="s">
        <v>240</v>
      </c>
      <c r="AN76" s="37"/>
      <c r="AO76" s="38">
        <f t="shared" si="61"/>
        <v>10.032</v>
      </c>
      <c r="AP76" s="37">
        <f t="shared" si="68"/>
        <v>0.33</v>
      </c>
      <c r="AQ76" s="31"/>
      <c r="AR76" s="32"/>
      <c r="AS76" s="32"/>
      <c r="AT76" s="32"/>
      <c r="AU76" s="32"/>
      <c r="AV76" s="91">
        <f t="shared" si="65"/>
        <v>0</v>
      </c>
      <c r="AW76" s="32"/>
      <c r="AX76" s="32"/>
      <c r="AY76" s="32"/>
      <c r="AZ76" s="32"/>
      <c r="BA76" s="94"/>
      <c r="BB76" s="32"/>
      <c r="BC76" s="91">
        <f t="shared" si="69"/>
        <v>0</v>
      </c>
      <c r="BD76" s="32"/>
      <c r="BE76" s="32"/>
      <c r="BF76" s="32"/>
      <c r="BG76" s="32"/>
      <c r="BH76" s="32"/>
      <c r="BI76" s="91">
        <f t="shared" si="66"/>
        <v>0</v>
      </c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78">
        <f>Nøgletal!J$282*Nøgletal!J291</f>
        <v>10.032</v>
      </c>
      <c r="BX76" s="78"/>
      <c r="BY76" s="127">
        <f t="shared" si="67"/>
        <v>20.367999999999999</v>
      </c>
      <c r="BZ76" s="123">
        <f>(C76*Emissionsfaktorer!$E$4+E76*Emissionsfaktorer!$E$3+F76*Emissionsfaktorer!$E$5+H76*Emissionsfaktorer!$E$7+I76*Emissionsfaktorer!$E$8+J76*Emissionsfaktorer!$E$9+K76*Emissionsfaktorer!$E$10+L76*Emissionsfaktorer!$E$11+M76*Emissionsfaktorer!$E$12)*-1</f>
        <v>2.2495999999999996</v>
      </c>
      <c r="CA76" s="231"/>
      <c r="CB76" s="231"/>
      <c r="CC76" s="231"/>
      <c r="CD76" s="231"/>
    </row>
    <row r="77" spans="1:82" x14ac:dyDescent="0.25">
      <c r="A77" s="231"/>
      <c r="B77" s="31"/>
      <c r="C77" s="78"/>
      <c r="D77" s="78"/>
      <c r="E77" s="78"/>
      <c r="F77" s="78"/>
      <c r="G77" s="23">
        <f t="shared" si="29"/>
        <v>-344.6</v>
      </c>
      <c r="H77" s="78"/>
      <c r="I77" s="78"/>
      <c r="J77" s="78"/>
      <c r="K77" s="78"/>
      <c r="L77" s="78">
        <f>AO77*Nøgletal!J680/Nøgletal!J408*-1</f>
        <v>-344</v>
      </c>
      <c r="M77" s="78">
        <f>AO77*Nøgletal!J681/Nøgletal!J408*-1</f>
        <v>-0.6</v>
      </c>
      <c r="N77" s="23">
        <f t="shared" si="32"/>
        <v>0</v>
      </c>
      <c r="O77" s="78"/>
      <c r="P77" s="78"/>
      <c r="Q77" s="78"/>
      <c r="R77" s="78"/>
      <c r="S77" s="78"/>
      <c r="T77" s="23">
        <f t="shared" si="30"/>
        <v>0</v>
      </c>
      <c r="U77" s="78"/>
      <c r="V77" s="78">
        <f>AO77*Nøgletal!J682/Nøgletal!J407*-1</f>
        <v>0</v>
      </c>
      <c r="W77" s="78"/>
      <c r="X77" s="78"/>
      <c r="Y77" s="78"/>
      <c r="Z77" s="78"/>
      <c r="AA77" s="78"/>
      <c r="AB77" s="78"/>
      <c r="AC77" s="269">
        <f>AO77*Nøgletal!J684/Nøgletal!J410</f>
        <v>0</v>
      </c>
      <c r="AD77" s="32"/>
      <c r="AE77" s="32">
        <f>AO77*Nøgletal!J683/Nøgletal!J408*-1</f>
        <v>0</v>
      </c>
      <c r="AF77" s="32"/>
      <c r="AG77" s="32"/>
      <c r="AH77" s="32"/>
      <c r="AI77" s="32"/>
      <c r="AJ77" s="105">
        <f t="shared" si="56"/>
        <v>-344.6</v>
      </c>
      <c r="AK77" s="48" t="s">
        <v>252</v>
      </c>
      <c r="AL77" s="39" t="s">
        <v>253</v>
      </c>
      <c r="AM77" s="39" t="s">
        <v>240</v>
      </c>
      <c r="AN77" s="37"/>
      <c r="AO77" s="38">
        <f t="shared" si="61"/>
        <v>113.71800000000002</v>
      </c>
      <c r="AP77" s="37">
        <f t="shared" si="68"/>
        <v>0.33</v>
      </c>
      <c r="AQ77" s="31"/>
      <c r="AR77" s="32"/>
      <c r="AS77" s="32"/>
      <c r="AT77" s="32"/>
      <c r="AU77" s="32"/>
      <c r="AV77" s="91">
        <f t="shared" si="65"/>
        <v>0</v>
      </c>
      <c r="AW77" s="32"/>
      <c r="AX77" s="32"/>
      <c r="AY77" s="32"/>
      <c r="AZ77" s="32"/>
      <c r="BA77" s="94"/>
      <c r="BB77" s="32"/>
      <c r="BC77" s="91">
        <f t="shared" si="69"/>
        <v>0</v>
      </c>
      <c r="BD77" s="32"/>
      <c r="BE77" s="32"/>
      <c r="BF77" s="32"/>
      <c r="BG77" s="32"/>
      <c r="BH77" s="32"/>
      <c r="BI77" s="91">
        <f t="shared" si="66"/>
        <v>0</v>
      </c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78">
        <f>Nøgletal!J$282*Nøgletal!J292</f>
        <v>113.71800000000002</v>
      </c>
      <c r="BX77" s="78"/>
      <c r="BY77" s="127">
        <f t="shared" si="67"/>
        <v>230.88200000000001</v>
      </c>
      <c r="BZ77" s="123">
        <f>(C77*Emissionsfaktorer!$E$4+E77*Emissionsfaktorer!$E$3+F77*Emissionsfaktorer!$E$5+H77*Emissionsfaktorer!$E$7+I77*Emissionsfaktorer!$E$8+J77*Emissionsfaktorer!$E$9+K77*Emissionsfaktorer!$E$10+L77*Emissionsfaktorer!$E$11+M77*Emissionsfaktorer!$E$12)*-1</f>
        <v>24.811799999999998</v>
      </c>
      <c r="CA77" s="231"/>
      <c r="CB77" s="231"/>
      <c r="CC77" s="231"/>
      <c r="CD77" s="231"/>
    </row>
    <row r="78" spans="1:82" x14ac:dyDescent="0.25">
      <c r="A78" s="231"/>
      <c r="B78" s="31"/>
      <c r="C78" s="78"/>
      <c r="D78" s="78"/>
      <c r="E78" s="78"/>
      <c r="F78" s="78"/>
      <c r="G78" s="23">
        <f t="shared" si="29"/>
        <v>-57.5</v>
      </c>
      <c r="H78" s="78"/>
      <c r="I78" s="78">
        <f>-AO78/Nøgletal!J409*Nøgletal!J686</f>
        <v>-6.5999999999999988</v>
      </c>
      <c r="J78" s="78"/>
      <c r="K78" s="78">
        <f>AO78*Nøgletal!J687/Nøgletal!J409*-1</f>
        <v>-50.9</v>
      </c>
      <c r="L78" s="78"/>
      <c r="M78" s="78"/>
      <c r="N78" s="23">
        <f t="shared" si="32"/>
        <v>0</v>
      </c>
      <c r="O78" s="78"/>
      <c r="P78" s="78"/>
      <c r="Q78" s="78"/>
      <c r="R78" s="78"/>
      <c r="S78" s="78"/>
      <c r="T78" s="23">
        <f t="shared" si="30"/>
        <v>0</v>
      </c>
      <c r="U78" s="78"/>
      <c r="V78" s="78">
        <f>AO78*Nøgletal!J688/Nøgletal!J409*-1</f>
        <v>0</v>
      </c>
      <c r="W78" s="78"/>
      <c r="X78" s="78"/>
      <c r="Y78" s="78"/>
      <c r="Z78" s="78"/>
      <c r="AA78" s="78"/>
      <c r="AB78" s="78"/>
      <c r="AC78" s="269">
        <f>AO78*Nøgletal!J690/Nøgletal!J410*-1</f>
        <v>0</v>
      </c>
      <c r="AD78" s="32"/>
      <c r="AE78" s="32">
        <f>AO78*Nøgletal!J689/Nøgletal!J409*-1</f>
        <v>0</v>
      </c>
      <c r="AF78" s="32"/>
      <c r="AG78" s="32"/>
      <c r="AH78" s="32"/>
      <c r="AI78" s="32"/>
      <c r="AJ78" s="105">
        <f t="shared" si="56"/>
        <v>-57.5</v>
      </c>
      <c r="AK78" s="48" t="s">
        <v>254</v>
      </c>
      <c r="AL78" s="39" t="s">
        <v>255</v>
      </c>
      <c r="AM78" s="39" t="s">
        <v>240</v>
      </c>
      <c r="AN78" s="37"/>
      <c r="AO78" s="38">
        <f t="shared" si="61"/>
        <v>18.975000000000001</v>
      </c>
      <c r="AP78" s="37">
        <f t="shared" si="68"/>
        <v>0.33</v>
      </c>
      <c r="AQ78" s="31"/>
      <c r="AR78" s="32"/>
      <c r="AS78" s="32"/>
      <c r="AT78" s="32"/>
      <c r="AU78" s="32"/>
      <c r="AV78" s="91">
        <f t="shared" si="65"/>
        <v>0</v>
      </c>
      <c r="AW78" s="32"/>
      <c r="AX78" s="32"/>
      <c r="AY78" s="32"/>
      <c r="AZ78" s="32"/>
      <c r="BA78" s="94"/>
      <c r="BB78" s="32"/>
      <c r="BC78" s="91">
        <f t="shared" si="69"/>
        <v>0</v>
      </c>
      <c r="BD78" s="32"/>
      <c r="BE78" s="32"/>
      <c r="BF78" s="32"/>
      <c r="BG78" s="32"/>
      <c r="BH78" s="32"/>
      <c r="BI78" s="91">
        <f t="shared" si="66"/>
        <v>0</v>
      </c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78">
        <f>Nøgletal!J$282*Nøgletal!J293</f>
        <v>18.975000000000001</v>
      </c>
      <c r="BX78" s="78"/>
      <c r="BY78" s="127">
        <f t="shared" si="67"/>
        <v>38.524999999999999</v>
      </c>
      <c r="BZ78" s="123">
        <f>(C78*Emissionsfaktorer!$E$4+E78*Emissionsfaktorer!$E$3+F78*Emissionsfaktorer!$E$5+H78*Emissionsfaktorer!$E$7+I78*Emissionsfaktorer!$E$8+J78*Emissionsfaktorer!$E$9+K78*Emissionsfaktorer!$E$10+L78*Emissionsfaktorer!$E$11+M78*Emissionsfaktorer!$E$12)*-1</f>
        <v>4.2813999999999997</v>
      </c>
      <c r="CA78" s="231"/>
      <c r="CB78" s="231"/>
      <c r="CC78" s="231"/>
      <c r="CD78" s="231"/>
    </row>
    <row r="79" spans="1:82" x14ac:dyDescent="0.25">
      <c r="A79" s="231"/>
      <c r="B79" s="31"/>
      <c r="C79" s="21"/>
      <c r="D79" s="21"/>
      <c r="E79" s="21">
        <f>Nøgletal!J37*Nøgletal!J38*Nøgletal!J43/Nøgletal!K391*-1</f>
        <v>-0.7</v>
      </c>
      <c r="F79" s="21"/>
      <c r="G79" s="20">
        <f t="shared" si="29"/>
        <v>-104.25999999999998</v>
      </c>
      <c r="H79" s="21">
        <f>Nøgletal!J34/Nøgletal!K389*-1</f>
        <v>-4.26</v>
      </c>
      <c r="I79" s="21"/>
      <c r="J79" s="21">
        <f>Nøgletal!J37*Nøgletal!J38*Nøgletal!J42/Nøgletal!K390*-1</f>
        <v>-99.999999999999972</v>
      </c>
      <c r="K79" s="21"/>
      <c r="L79" s="21"/>
      <c r="M79" s="21"/>
      <c r="N79" s="20">
        <f t="shared" si="32"/>
        <v>-3.734</v>
      </c>
      <c r="O79" s="21"/>
      <c r="P79" s="21"/>
      <c r="Q79" s="21">
        <f>Nøgletal!J37*Nøgletal!J38*Nøgletal!J47/Nøgletal!K395*-1</f>
        <v>-2.8</v>
      </c>
      <c r="R79" s="21"/>
      <c r="S79" s="21">
        <f>Nøgletal!J37*Nøgletal!J38*Nøgletal!J41*(1-1/Nøgletal!K388)*-1</f>
        <v>-0.93400000000000016</v>
      </c>
      <c r="T79" s="20">
        <f t="shared" si="30"/>
        <v>-247</v>
      </c>
      <c r="U79" s="21"/>
      <c r="V79" s="21"/>
      <c r="W79" s="21">
        <f>Nøgletal!J37*Nøgletal!J38*Nøgletal!J46/Nøgletal!K394*-1</f>
        <v>-27</v>
      </c>
      <c r="X79" s="21">
        <f>Nøgletal!J37*Nøgletal!J38*Nøgletal!J45/Nøgletal!K393*-1</f>
        <v>-158</v>
      </c>
      <c r="Y79" s="21">
        <f>Nøgletal!J37*Nøgletal!J38*Nøgletal!J44/Nøgletal!K392*-1</f>
        <v>-62</v>
      </c>
      <c r="Z79" s="21"/>
      <c r="AA79" s="21"/>
      <c r="AB79" s="21"/>
      <c r="AC79" s="79">
        <f>-(Nøgletal!J31/Nøgletal!J$385+Nøgletal!J32/Nøgletal!J$386+Nøgletal!J33/Nøgletal!J$387+Nøgletal!J30/Nøgletal!J382+Nøgletal!J37*Nøgletal!J38*Nøgletal!J48/Nøgletal!J384+Nøgletal!J37*Nøgletal!J38*Nøgletal!J49/Nøgletal!J383+Nøgletal!J37*Nøgletal!J38*Nøgletal!J41/Nøgletal!K388)</f>
        <v>-314.31880368489789</v>
      </c>
      <c r="AD79" s="21">
        <f>Nøgletal!J37*Nøgletal!J39*-1</f>
        <v>-1123.01132582268</v>
      </c>
      <c r="AE79" s="21"/>
      <c r="AF79" s="21"/>
      <c r="AG79" s="21"/>
      <c r="AH79" s="21"/>
      <c r="AI79" s="21"/>
      <c r="AJ79" s="105">
        <f t="shared" si="56"/>
        <v>-1793.0241295075778</v>
      </c>
      <c r="AK79" s="41" t="s">
        <v>256</v>
      </c>
      <c r="AL79" s="39" t="s">
        <v>257</v>
      </c>
      <c r="AM79" s="39" t="s">
        <v>236</v>
      </c>
      <c r="AN79" s="37"/>
      <c r="AO79" s="38">
        <f t="shared" si="61"/>
        <v>1646.9968525209945</v>
      </c>
      <c r="AP79" s="37">
        <f t="shared" si="68"/>
        <v>0.91855810829122131</v>
      </c>
      <c r="AQ79" s="31"/>
      <c r="AR79" s="21"/>
      <c r="AS79" s="21"/>
      <c r="AT79" s="21"/>
      <c r="AU79" s="21"/>
      <c r="AV79" s="24">
        <f t="shared" si="65"/>
        <v>0</v>
      </c>
      <c r="AW79" s="21"/>
      <c r="AX79" s="21"/>
      <c r="AY79" s="21"/>
      <c r="AZ79" s="21"/>
      <c r="BA79" s="87"/>
      <c r="BB79" s="21"/>
      <c r="BC79" s="24">
        <f t="shared" si="69"/>
        <v>0</v>
      </c>
      <c r="BD79" s="21"/>
      <c r="BE79" s="21"/>
      <c r="BF79" s="21"/>
      <c r="BG79" s="21"/>
      <c r="BH79" s="21"/>
      <c r="BI79" s="24">
        <f t="shared" si="66"/>
        <v>0</v>
      </c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79">
        <f>Nøgletal!J28</f>
        <v>1646.9968525209945</v>
      </c>
      <c r="BX79" s="79"/>
      <c r="BY79" s="127">
        <f t="shared" si="67"/>
        <v>146.02727698658327</v>
      </c>
      <c r="BZ79" s="123">
        <f>(C79*Emissionsfaktorer!$E$4+E79*Emissionsfaktorer!$E$3+F79*Emissionsfaktorer!$E$5+H79*Emissionsfaktorer!$E$7+I79*Emissionsfaktorer!$E$8+J79*Emissionsfaktorer!$E$9+K79*Emissionsfaktorer!$E$10+L79*Emissionsfaktorer!$E$11+M79*Emissionsfaktorer!$E$12)*-1</f>
        <v>7.7167789999999981</v>
      </c>
      <c r="CA79" s="231"/>
      <c r="CB79" s="231"/>
      <c r="CC79" s="231"/>
      <c r="CD79" s="231"/>
    </row>
    <row r="80" spans="1:82" x14ac:dyDescent="0.25">
      <c r="A80" s="231"/>
      <c r="B80" s="31"/>
      <c r="C80" s="21">
        <f>SUM(C81:C83)</f>
        <v>0</v>
      </c>
      <c r="D80" s="21"/>
      <c r="E80" s="21">
        <f>SUM(E81:E83)</f>
        <v>0</v>
      </c>
      <c r="F80" s="21">
        <f>SUM(F81:F83)</f>
        <v>0</v>
      </c>
      <c r="G80" s="20">
        <f t="shared" si="29"/>
        <v>0</v>
      </c>
      <c r="H80" s="21">
        <f t="shared" ref="H80:AH80" si="70">SUM(H81:H83)</f>
        <v>0</v>
      </c>
      <c r="I80" s="21">
        <f t="shared" si="70"/>
        <v>0</v>
      </c>
      <c r="J80" s="21">
        <f t="shared" si="70"/>
        <v>0</v>
      </c>
      <c r="K80" s="21">
        <f t="shared" si="70"/>
        <v>0</v>
      </c>
      <c r="L80" s="21">
        <f t="shared" si="70"/>
        <v>0</v>
      </c>
      <c r="M80" s="21">
        <f t="shared" si="70"/>
        <v>0</v>
      </c>
      <c r="N80" s="20">
        <f t="shared" si="32"/>
        <v>0</v>
      </c>
      <c r="O80" s="21">
        <f t="shared" si="70"/>
        <v>0</v>
      </c>
      <c r="P80" s="21">
        <f t="shared" si="70"/>
        <v>0</v>
      </c>
      <c r="Q80" s="21">
        <f t="shared" si="70"/>
        <v>0</v>
      </c>
      <c r="R80" s="21">
        <f t="shared" si="70"/>
        <v>0</v>
      </c>
      <c r="S80" s="21">
        <f t="shared" si="70"/>
        <v>0</v>
      </c>
      <c r="T80" s="20">
        <f t="shared" si="30"/>
        <v>0</v>
      </c>
      <c r="U80" s="21">
        <f t="shared" si="70"/>
        <v>0</v>
      </c>
      <c r="V80" s="21">
        <f t="shared" si="70"/>
        <v>0</v>
      </c>
      <c r="W80" s="21">
        <f t="shared" si="70"/>
        <v>0</v>
      </c>
      <c r="X80" s="21">
        <f t="shared" si="70"/>
        <v>0</v>
      </c>
      <c r="Y80" s="21">
        <f t="shared" si="70"/>
        <v>0</v>
      </c>
      <c r="Z80" s="21">
        <f t="shared" si="70"/>
        <v>0</v>
      </c>
      <c r="AA80" s="21">
        <f t="shared" si="70"/>
        <v>0</v>
      </c>
      <c r="AB80" s="21">
        <f t="shared" si="70"/>
        <v>0</v>
      </c>
      <c r="AC80" s="21">
        <f>SUM(AC81:AC83)</f>
        <v>-416.71696540319999</v>
      </c>
      <c r="AD80" s="21">
        <f>SUM(AD81:AD83)</f>
        <v>-521.96301059363998</v>
      </c>
      <c r="AE80" s="21">
        <f>SUM(AE81:AE83)</f>
        <v>0</v>
      </c>
      <c r="AF80" s="21">
        <f t="shared" si="70"/>
        <v>0</v>
      </c>
      <c r="AG80" s="21">
        <f t="shared" si="70"/>
        <v>0</v>
      </c>
      <c r="AH80" s="21">
        <f t="shared" si="70"/>
        <v>0</v>
      </c>
      <c r="AI80" s="21"/>
      <c r="AJ80" s="105">
        <f t="shared" si="56"/>
        <v>-938.67997599683997</v>
      </c>
      <c r="AK80" s="41" t="s">
        <v>258</v>
      </c>
      <c r="AL80" s="39" t="s">
        <v>259</v>
      </c>
      <c r="AM80" s="39" t="s">
        <v>236</v>
      </c>
      <c r="AN80" s="37">
        <f>'Størrelse på strømme'!E51</f>
        <v>17.233844989398637</v>
      </c>
      <c r="AO80" s="38">
        <f t="shared" si="61"/>
        <v>877.74902048589843</v>
      </c>
      <c r="AP80" s="37">
        <f t="shared" si="68"/>
        <v>0.93508868084009633</v>
      </c>
      <c r="AQ80" s="31"/>
      <c r="AR80" s="21"/>
      <c r="AS80" s="21"/>
      <c r="AT80" s="21"/>
      <c r="AU80" s="21"/>
      <c r="AV80" s="24">
        <f t="shared" si="65"/>
        <v>0</v>
      </c>
      <c r="AW80" s="21"/>
      <c r="AX80" s="21"/>
      <c r="AY80" s="21"/>
      <c r="AZ80" s="21"/>
      <c r="BA80" s="87"/>
      <c r="BB80" s="21"/>
      <c r="BC80" s="24">
        <f t="shared" si="69"/>
        <v>0</v>
      </c>
      <c r="BD80" s="21"/>
      <c r="BE80" s="21"/>
      <c r="BF80" s="21"/>
      <c r="BG80" s="21"/>
      <c r="BH80" s="21"/>
      <c r="BI80" s="24">
        <f t="shared" si="66"/>
        <v>0</v>
      </c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79">
        <f>SUM(BW81:BW83)</f>
        <v>877.74902048589843</v>
      </c>
      <c r="BX80" s="79"/>
      <c r="BY80" s="230">
        <f>SUM(BY81:BY83)</f>
        <v>60.930955510941629</v>
      </c>
      <c r="BZ80" s="123">
        <f>(C80*Emissionsfaktorer!$E$4+E80*Emissionsfaktorer!$E$3+F80*Emissionsfaktorer!$E$5+H80*Emissionsfaktorer!$E$7+I80*Emissionsfaktorer!$E$8+J80*Emissionsfaktorer!$E$9+K80*Emissionsfaktorer!$E$10+L80*Emissionsfaktorer!$E$11+M80*Emissionsfaktorer!$E$12)*-1</f>
        <v>0</v>
      </c>
      <c r="CA80" s="231"/>
      <c r="CB80" s="231"/>
      <c r="CC80" s="231"/>
      <c r="CD80" s="231"/>
    </row>
    <row r="81" spans="1:82" x14ac:dyDescent="0.25">
      <c r="A81" s="231"/>
      <c r="B81" s="31"/>
      <c r="C81" s="32"/>
      <c r="D81" s="32"/>
      <c r="E81" s="32">
        <f>Nøgletal!J65*Nøgletal!J66*Nøgletal!J71/Nøgletal!K391*-1</f>
        <v>0</v>
      </c>
      <c r="F81" s="32"/>
      <c r="G81" s="23">
        <f t="shared" si="29"/>
        <v>0</v>
      </c>
      <c r="H81" s="32">
        <f>Nøgletal!J62/Nøgletal!K389*-1</f>
        <v>0</v>
      </c>
      <c r="I81" s="32"/>
      <c r="J81" s="32">
        <f>Nøgletal!J65*Nøgletal!J66*Nøgletal!J70/Nøgletal!K390*-1</f>
        <v>0</v>
      </c>
      <c r="K81" s="32"/>
      <c r="L81" s="32"/>
      <c r="M81" s="32"/>
      <c r="N81" s="23">
        <f t="shared" si="32"/>
        <v>0</v>
      </c>
      <c r="O81" s="32"/>
      <c r="P81" s="32"/>
      <c r="Q81" s="32">
        <f>Nøgletal!J65*Nøgletal!J66*Nøgletal!J75/Nøgletal!K395*-1</f>
        <v>0</v>
      </c>
      <c r="R81" s="32"/>
      <c r="S81" s="32">
        <f>Nøgletal!J65*Nøgletal!J66*Nøgletal!J69*(1-1/Nøgletal!K388)*-1</f>
        <v>0</v>
      </c>
      <c r="T81" s="23">
        <f t="shared" si="30"/>
        <v>0</v>
      </c>
      <c r="U81" s="32"/>
      <c r="V81" s="32"/>
      <c r="W81" s="32">
        <f>Nøgletal!J65*Nøgletal!J66*Nøgletal!J74/Nøgletal!K394*-1</f>
        <v>0</v>
      </c>
      <c r="X81" s="32">
        <f>Nøgletal!J65*Nøgletal!J66*Nøgletal!J73/Nøgletal!K393*-1</f>
        <v>0</v>
      </c>
      <c r="Y81" s="32">
        <f>Nøgletal!J65*Nøgletal!J66*Nøgletal!J72/Nøgletal!K392*-1</f>
        <v>0</v>
      </c>
      <c r="Z81" s="32"/>
      <c r="AA81" s="32"/>
      <c r="AB81" s="32"/>
      <c r="AC81" s="78">
        <f>-(Nøgletal!J59/Nøgletal!J$385+Nøgletal!J60/Nøgletal!J$386+Nøgletal!J61/Nøgletal!J$387+Nøgletal!J65*Nøgletal!J66*Nøgletal!J76/Nøgletal!J384+Nøgletal!J65*Nøgletal!J66*Nøgletal!J69/Nøgletal!K388+Nøgletal!J77*Nøgletal!J65*Nøgletal!J66/Nøgletal!J383)</f>
        <v>-200.01674037600003</v>
      </c>
      <c r="AD81" s="32">
        <f>Nøgletal!J65*Nøgletal!J67*-1</f>
        <v>-163.44296291315999</v>
      </c>
      <c r="AE81" s="32"/>
      <c r="AF81" s="32"/>
      <c r="AG81" s="32"/>
      <c r="AH81" s="32"/>
      <c r="AI81" s="32"/>
      <c r="AJ81" s="105">
        <f t="shared" si="56"/>
        <v>-363.45970328916002</v>
      </c>
      <c r="AK81" s="44" t="s">
        <v>260</v>
      </c>
      <c r="AL81" s="39" t="s">
        <v>261</v>
      </c>
      <c r="AM81" s="39" t="s">
        <v>259</v>
      </c>
      <c r="AN81" s="37"/>
      <c r="AO81" s="38">
        <f t="shared" si="61"/>
        <v>314.55561026722796</v>
      </c>
      <c r="AP81" s="37">
        <f t="shared" si="68"/>
        <v>0.865448376864422</v>
      </c>
      <c r="AQ81" s="31"/>
      <c r="AR81" s="32"/>
      <c r="AS81" s="32"/>
      <c r="AT81" s="32"/>
      <c r="AU81" s="32"/>
      <c r="AV81" s="91">
        <f t="shared" si="65"/>
        <v>0</v>
      </c>
      <c r="AW81" s="32"/>
      <c r="AX81" s="32"/>
      <c r="AY81" s="32"/>
      <c r="AZ81" s="32"/>
      <c r="BA81" s="94"/>
      <c r="BB81" s="32"/>
      <c r="BC81" s="91">
        <f t="shared" si="69"/>
        <v>0</v>
      </c>
      <c r="BD81" s="32"/>
      <c r="BE81" s="32"/>
      <c r="BF81" s="32"/>
      <c r="BG81" s="32"/>
      <c r="BH81" s="32"/>
      <c r="BI81" s="91">
        <f t="shared" si="66"/>
        <v>0</v>
      </c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78">
        <f>Nøgletal!J57</f>
        <v>314.55561026722796</v>
      </c>
      <c r="BX81" s="78"/>
      <c r="BY81" s="127">
        <f>(AJ81+BW81)*-1</f>
        <v>48.904093021932056</v>
      </c>
      <c r="BZ81" s="123">
        <f>(C81*Emissionsfaktorer!$E$4+E81*Emissionsfaktorer!$E$3+F81*Emissionsfaktorer!$E$5+H81*Emissionsfaktorer!$E$7+I81*Emissionsfaktorer!$E$8+J81*Emissionsfaktorer!$E$9+K81*Emissionsfaktorer!$E$10+L81*Emissionsfaktorer!$E$11+M81*Emissionsfaktorer!$E$12)*-1</f>
        <v>0</v>
      </c>
      <c r="CA81" s="231"/>
      <c r="CB81" s="231"/>
      <c r="CC81" s="231"/>
      <c r="CD81" s="231"/>
    </row>
    <row r="82" spans="1:82" x14ac:dyDescent="0.25">
      <c r="A82" s="231"/>
      <c r="B82" s="31"/>
      <c r="C82" s="32"/>
      <c r="D82" s="32"/>
      <c r="E82" s="32">
        <f>Nøgletal!J93*Nøgletal!J94*Nøgletal!J99/Nøgletal!K391*-1</f>
        <v>0</v>
      </c>
      <c r="F82" s="32"/>
      <c r="G82" s="23">
        <f t="shared" si="29"/>
        <v>0</v>
      </c>
      <c r="H82" s="32">
        <f>Nøgletal!J90/Nøgletal!K389*-1</f>
        <v>0</v>
      </c>
      <c r="I82" s="32"/>
      <c r="J82" s="32">
        <f>Nøgletal!J93*Nøgletal!J94*Nøgletal!J98/Nøgletal!K390*-1</f>
        <v>0</v>
      </c>
      <c r="K82" s="32"/>
      <c r="L82" s="32"/>
      <c r="M82" s="32"/>
      <c r="N82" s="23">
        <f t="shared" si="32"/>
        <v>0</v>
      </c>
      <c r="O82" s="32"/>
      <c r="P82" s="32"/>
      <c r="Q82" s="32">
        <f>Nøgletal!J93*Nøgletal!J94*Nøgletal!J103/Nøgletal!K395*-1</f>
        <v>0</v>
      </c>
      <c r="R82" s="32"/>
      <c r="S82" s="32">
        <f>Nøgletal!J93*Nøgletal!J94*Nøgletal!J97*(1-1/Nøgletal!K388)*-1</f>
        <v>0</v>
      </c>
      <c r="T82" s="23">
        <f t="shared" si="30"/>
        <v>0</v>
      </c>
      <c r="U82" s="32"/>
      <c r="V82" s="32"/>
      <c r="W82" s="32">
        <f>Nøgletal!J93*Nøgletal!J94*Nøgletal!J102/Nøgletal!K394*-1</f>
        <v>0</v>
      </c>
      <c r="X82" s="32">
        <f>Nøgletal!J93*Nøgletal!J94*Nøgletal!J101/Nøgletal!K393*-1</f>
        <v>0</v>
      </c>
      <c r="Y82" s="32">
        <f>Nøgletal!J93*Nøgletal!J94*Nøgletal!J100/Nøgletal!K392*-1</f>
        <v>0</v>
      </c>
      <c r="Z82" s="32"/>
      <c r="AA82" s="32"/>
      <c r="AB82" s="32"/>
      <c r="AC82" s="78">
        <f>-(Nøgletal!J87/Nøgletal!J$385+Nøgletal!J88/Nøgletal!J$386+Nøgletal!J89/Nøgletal!J$387+Nøgletal!J93*Nøgletal!J94*(Nøgletal!J97/Nøgletal!K388+Nøgletal!J104/Nøgletal!J384+Nøgletal!J105/Nøgletal!J383))</f>
        <v>-115.72235249400001</v>
      </c>
      <c r="AD82" s="32">
        <f>Nøgletal!J93*Nøgletal!J95*-1</f>
        <v>-233.74101147796</v>
      </c>
      <c r="AE82" s="32"/>
      <c r="AF82" s="32"/>
      <c r="AG82" s="32"/>
      <c r="AH82" s="32"/>
      <c r="AI82" s="32"/>
      <c r="AJ82" s="105">
        <f t="shared" si="56"/>
        <v>-349.46336397196001</v>
      </c>
      <c r="AK82" s="44" t="s">
        <v>262</v>
      </c>
      <c r="AL82" s="39" t="s">
        <v>263</v>
      </c>
      <c r="AM82" s="39" t="s">
        <v>259</v>
      </c>
      <c r="AN82" s="37"/>
      <c r="AO82" s="38">
        <f t="shared" si="61"/>
        <v>343.04077340854303</v>
      </c>
      <c r="AP82" s="37">
        <f t="shared" si="68"/>
        <v>0.9816215625855067</v>
      </c>
      <c r="AQ82" s="31"/>
      <c r="AR82" s="32"/>
      <c r="AS82" s="32"/>
      <c r="AT82" s="32"/>
      <c r="AU82" s="32"/>
      <c r="AV82" s="91">
        <f t="shared" si="65"/>
        <v>0</v>
      </c>
      <c r="AW82" s="32"/>
      <c r="AX82" s="32"/>
      <c r="AY82" s="32"/>
      <c r="AZ82" s="32"/>
      <c r="BA82" s="94"/>
      <c r="BB82" s="32"/>
      <c r="BC82" s="91">
        <f t="shared" si="69"/>
        <v>0</v>
      </c>
      <c r="BD82" s="32"/>
      <c r="BE82" s="32"/>
      <c r="BF82" s="32"/>
      <c r="BG82" s="32"/>
      <c r="BH82" s="32"/>
      <c r="BI82" s="91">
        <f t="shared" si="66"/>
        <v>0</v>
      </c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78">
        <f>Nøgletal!J85</f>
        <v>343.04077340854303</v>
      </c>
      <c r="BX82" s="78"/>
      <c r="BY82" s="127">
        <f>(AJ82+BW82)*-1</f>
        <v>6.4225905634169749</v>
      </c>
      <c r="BZ82" s="123">
        <f>(C82*Emissionsfaktorer!$E$4+E82*Emissionsfaktorer!$E$3+F82*Emissionsfaktorer!$E$5+H82*Emissionsfaktorer!$E$7+I82*Emissionsfaktorer!$E$8+J82*Emissionsfaktorer!$E$9+K82*Emissionsfaktorer!$E$10+L82*Emissionsfaktorer!$E$11+M82*Emissionsfaktorer!$E$12)*-1</f>
        <v>0</v>
      </c>
      <c r="CA82" s="231"/>
      <c r="CB82" s="231"/>
      <c r="CC82" s="231"/>
      <c r="CD82" s="231"/>
    </row>
    <row r="83" spans="1:82" x14ac:dyDescent="0.25">
      <c r="A83" s="231"/>
      <c r="B83" s="31"/>
      <c r="C83" s="32"/>
      <c r="D83" s="32"/>
      <c r="E83" s="32">
        <f>Nøgletal!J121*Nøgletal!J122*Nøgletal!J127/Nøgletal!K391*-1</f>
        <v>0</v>
      </c>
      <c r="F83" s="32"/>
      <c r="G83" s="23">
        <f t="shared" si="29"/>
        <v>0</v>
      </c>
      <c r="H83" s="32">
        <f>Nøgletal!J118/Nøgletal!K389*-1</f>
        <v>0</v>
      </c>
      <c r="I83" s="32"/>
      <c r="J83" s="32">
        <f>Nøgletal!J121*Nøgletal!J122*Nøgletal!J126/Nøgletal!K390*-1</f>
        <v>0</v>
      </c>
      <c r="K83" s="32"/>
      <c r="L83" s="32"/>
      <c r="M83" s="32"/>
      <c r="N83" s="23">
        <f t="shared" si="32"/>
        <v>0</v>
      </c>
      <c r="O83" s="32"/>
      <c r="P83" s="32"/>
      <c r="Q83" s="32">
        <f>Nøgletal!J121*Nøgletal!J122*Nøgletal!J131/Nøgletal!K395*-1</f>
        <v>0</v>
      </c>
      <c r="R83" s="32"/>
      <c r="S83" s="32">
        <f>Nøgletal!J121*Nøgletal!J122*Nøgletal!J125*(1-1/Nøgletal!K388)*-1</f>
        <v>0</v>
      </c>
      <c r="T83" s="23">
        <f t="shared" si="30"/>
        <v>0</v>
      </c>
      <c r="U83" s="32"/>
      <c r="V83" s="32"/>
      <c r="W83" s="32">
        <f>Nøgletal!J121*Nøgletal!J122*Nøgletal!J130/Nøgletal!K394*-1</f>
        <v>0</v>
      </c>
      <c r="X83" s="32">
        <f>Nøgletal!J121*Nøgletal!J122*Nøgletal!J129/Nøgletal!K392*-1</f>
        <v>0</v>
      </c>
      <c r="Y83" s="32">
        <f>Nøgletal!J121*Nøgletal!J122*Nøgletal!J128/Nøgletal!K392*-1</f>
        <v>0</v>
      </c>
      <c r="Z83" s="32"/>
      <c r="AA83" s="32"/>
      <c r="AB83" s="32"/>
      <c r="AC83" s="78">
        <f>-(Nøgletal!J115/Nøgletal!J$385+Nøgletal!J116/Nøgletal!J$386+Nøgletal!J117/Nøgletal!J$387+Nøgletal!J121*Nøgletal!J122*(Nøgletal!J125/Nøgletal!K388+Nøgletal!J132/Nøgletal!J384+Nøgletal!J133/Nøgletal!J383))</f>
        <v>-100.97787253319999</v>
      </c>
      <c r="AD83" s="32">
        <f>Nøgletal!J121*Nøgletal!J123*-1</f>
        <v>-124.77903620251999</v>
      </c>
      <c r="AE83" s="32"/>
      <c r="AF83" s="32"/>
      <c r="AG83" s="32"/>
      <c r="AH83" s="32"/>
      <c r="AI83" s="32"/>
      <c r="AJ83" s="105">
        <f t="shared" si="56"/>
        <v>-225.75690873571997</v>
      </c>
      <c r="AK83" s="45" t="s">
        <v>264</v>
      </c>
      <c r="AL83" s="39" t="s">
        <v>265</v>
      </c>
      <c r="AM83" s="39" t="s">
        <v>259</v>
      </c>
      <c r="AN83" s="37"/>
      <c r="AO83" s="38">
        <f t="shared" si="61"/>
        <v>220.15263681012738</v>
      </c>
      <c r="AP83" s="37">
        <f t="shared" si="68"/>
        <v>0.97517563490314629</v>
      </c>
      <c r="AQ83" s="31"/>
      <c r="AR83" s="32"/>
      <c r="AS83" s="32"/>
      <c r="AT83" s="32"/>
      <c r="AU83" s="32"/>
      <c r="AV83" s="91">
        <f t="shared" si="65"/>
        <v>0</v>
      </c>
      <c r="AW83" s="32"/>
      <c r="AX83" s="32"/>
      <c r="AY83" s="32"/>
      <c r="AZ83" s="32"/>
      <c r="BA83" s="94"/>
      <c r="BB83" s="32"/>
      <c r="BC83" s="91">
        <f t="shared" si="69"/>
        <v>0</v>
      </c>
      <c r="BD83" s="32"/>
      <c r="BE83" s="32"/>
      <c r="BF83" s="32"/>
      <c r="BG83" s="32"/>
      <c r="BH83" s="32"/>
      <c r="BI83" s="91">
        <f t="shared" si="66"/>
        <v>0</v>
      </c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78">
        <f>Nøgletal!J113</f>
        <v>220.15263681012738</v>
      </c>
      <c r="BX83" s="78"/>
      <c r="BY83" s="127">
        <f>(AJ83+BW83)*-1</f>
        <v>5.6042719255925988</v>
      </c>
      <c r="BZ83" s="123">
        <f>(C83*Emissionsfaktorer!$E$4+E83*Emissionsfaktorer!$E$3+F83*Emissionsfaktorer!$E$5+H83*Emissionsfaktorer!$E$7+I83*Emissionsfaktorer!$E$8+J83*Emissionsfaktorer!$E$9+K83*Emissionsfaktorer!$E$10+L83*Emissionsfaktorer!$E$11+M83*Emissionsfaktorer!$E$12)*-1</f>
        <v>0</v>
      </c>
      <c r="CA83" s="231"/>
      <c r="CB83" s="231"/>
      <c r="CC83" s="231"/>
      <c r="CD83" s="231"/>
    </row>
    <row r="84" spans="1:82" x14ac:dyDescent="0.25">
      <c r="A84" s="231"/>
      <c r="B84" s="31"/>
      <c r="C84" s="266">
        <f>SUM(C85:C88)</f>
        <v>0</v>
      </c>
      <c r="D84" s="266">
        <f t="shared" ref="D84:AI84" si="71">SUM(D85:D88)</f>
        <v>0</v>
      </c>
      <c r="E84" s="266">
        <f t="shared" si="71"/>
        <v>-292.23899999999998</v>
      </c>
      <c r="F84" s="266">
        <f t="shared" si="71"/>
        <v>0</v>
      </c>
      <c r="G84" s="266">
        <f t="shared" si="71"/>
        <v>-69.519030000000001</v>
      </c>
      <c r="H84" s="266">
        <f t="shared" si="71"/>
        <v>-12.78</v>
      </c>
      <c r="I84" s="266">
        <f t="shared" si="71"/>
        <v>0</v>
      </c>
      <c r="J84" s="266">
        <f t="shared" si="71"/>
        <v>-22</v>
      </c>
      <c r="K84" s="266">
        <f t="shared" si="71"/>
        <v>-34.73903</v>
      </c>
      <c r="L84" s="266">
        <f t="shared" si="71"/>
        <v>0</v>
      </c>
      <c r="M84" s="266">
        <f t="shared" si="71"/>
        <v>0</v>
      </c>
      <c r="N84" s="266">
        <f t="shared" si="71"/>
        <v>0</v>
      </c>
      <c r="O84" s="266">
        <f t="shared" si="71"/>
        <v>0</v>
      </c>
      <c r="P84" s="266">
        <f t="shared" si="71"/>
        <v>0</v>
      </c>
      <c r="Q84" s="266">
        <f t="shared" si="71"/>
        <v>0</v>
      </c>
      <c r="R84" s="266">
        <f t="shared" si="71"/>
        <v>0</v>
      </c>
      <c r="S84" s="266">
        <f t="shared" si="71"/>
        <v>0</v>
      </c>
      <c r="T84" s="266">
        <f t="shared" si="71"/>
        <v>-1.3609700000000002</v>
      </c>
      <c r="U84" s="266">
        <f t="shared" si="71"/>
        <v>0</v>
      </c>
      <c r="V84" s="266">
        <f t="shared" si="71"/>
        <v>-1.3609700000000002</v>
      </c>
      <c r="W84" s="266">
        <f t="shared" si="71"/>
        <v>0</v>
      </c>
      <c r="X84" s="266">
        <f t="shared" si="71"/>
        <v>0</v>
      </c>
      <c r="Y84" s="266">
        <f t="shared" si="71"/>
        <v>0</v>
      </c>
      <c r="Z84" s="266">
        <f t="shared" si="71"/>
        <v>0</v>
      </c>
      <c r="AA84" s="266">
        <f t="shared" si="71"/>
        <v>0</v>
      </c>
      <c r="AB84" s="266">
        <f t="shared" si="71"/>
        <v>0</v>
      </c>
      <c r="AC84" s="266">
        <f t="shared" si="71"/>
        <v>-312.96718440000001</v>
      </c>
      <c r="AD84" s="266">
        <f t="shared" si="71"/>
        <v>-112.47687770367999</v>
      </c>
      <c r="AE84" s="266">
        <f t="shared" si="71"/>
        <v>0</v>
      </c>
      <c r="AF84" s="266">
        <f t="shared" si="71"/>
        <v>0</v>
      </c>
      <c r="AG84" s="266">
        <f t="shared" si="71"/>
        <v>0</v>
      </c>
      <c r="AH84" s="266">
        <f t="shared" si="71"/>
        <v>-145.10808</v>
      </c>
      <c r="AI84" s="266">
        <f t="shared" si="71"/>
        <v>0</v>
      </c>
      <c r="AJ84" s="105">
        <f>SUM(AJ85:AJ88)</f>
        <v>-788.56306210368007</v>
      </c>
      <c r="AK84" s="46" t="s">
        <v>356</v>
      </c>
      <c r="AL84" s="39" t="s">
        <v>297</v>
      </c>
      <c r="AM84" s="39" t="s">
        <v>236</v>
      </c>
      <c r="AN84" s="37">
        <f>'Størrelse på strømme'!E53</f>
        <v>62.49452372340842</v>
      </c>
      <c r="AO84" s="38">
        <f t="shared" si="61"/>
        <v>830.71658706379833</v>
      </c>
      <c r="AP84" s="37"/>
      <c r="AQ84" s="31"/>
      <c r="AR84" s="266">
        <f t="shared" ref="AR84:BZ84" si="72">SUM(AR85:AR88)</f>
        <v>0</v>
      </c>
      <c r="AS84" s="266">
        <f t="shared" si="72"/>
        <v>0</v>
      </c>
      <c r="AT84" s="266">
        <f t="shared" si="72"/>
        <v>0</v>
      </c>
      <c r="AU84" s="266">
        <f t="shared" si="72"/>
        <v>0</v>
      </c>
      <c r="AV84" s="266">
        <f t="shared" si="72"/>
        <v>0</v>
      </c>
      <c r="AW84" s="266">
        <f t="shared" si="72"/>
        <v>0</v>
      </c>
      <c r="AX84" s="266">
        <f t="shared" si="72"/>
        <v>0</v>
      </c>
      <c r="AY84" s="266">
        <f t="shared" si="72"/>
        <v>0</v>
      </c>
      <c r="AZ84" s="266">
        <f t="shared" si="72"/>
        <v>0</v>
      </c>
      <c r="BA84" s="266">
        <f t="shared" si="72"/>
        <v>0</v>
      </c>
      <c r="BB84" s="266">
        <f t="shared" si="72"/>
        <v>0</v>
      </c>
      <c r="BC84" s="266">
        <f t="shared" si="72"/>
        <v>0</v>
      </c>
      <c r="BD84" s="266">
        <f t="shared" si="72"/>
        <v>0</v>
      </c>
      <c r="BE84" s="266">
        <f t="shared" si="72"/>
        <v>0</v>
      </c>
      <c r="BF84" s="266">
        <f t="shared" si="72"/>
        <v>0</v>
      </c>
      <c r="BG84" s="266">
        <f t="shared" si="72"/>
        <v>0</v>
      </c>
      <c r="BH84" s="266">
        <f t="shared" si="72"/>
        <v>0</v>
      </c>
      <c r="BI84" s="266">
        <f t="shared" si="72"/>
        <v>0</v>
      </c>
      <c r="BJ84" s="266">
        <f t="shared" si="72"/>
        <v>0</v>
      </c>
      <c r="BK84" s="266">
        <f t="shared" si="72"/>
        <v>0</v>
      </c>
      <c r="BL84" s="266">
        <f t="shared" si="72"/>
        <v>0</v>
      </c>
      <c r="BM84" s="266">
        <f t="shared" si="72"/>
        <v>0</v>
      </c>
      <c r="BN84" s="266">
        <f t="shared" si="72"/>
        <v>0</v>
      </c>
      <c r="BO84" s="266">
        <f t="shared" si="72"/>
        <v>0</v>
      </c>
      <c r="BP84" s="266">
        <f t="shared" si="72"/>
        <v>0</v>
      </c>
      <c r="BQ84" s="266">
        <f t="shared" si="72"/>
        <v>0</v>
      </c>
      <c r="BR84" s="266">
        <f t="shared" si="72"/>
        <v>0</v>
      </c>
      <c r="BS84" s="266">
        <f t="shared" si="72"/>
        <v>0</v>
      </c>
      <c r="BT84" s="266"/>
      <c r="BU84" s="266">
        <f t="shared" si="72"/>
        <v>0</v>
      </c>
      <c r="BV84" s="266">
        <f t="shared" si="72"/>
        <v>0</v>
      </c>
      <c r="BW84" s="266">
        <f t="shared" si="72"/>
        <v>830.71658706379833</v>
      </c>
      <c r="BX84" s="266">
        <f t="shared" si="72"/>
        <v>0</v>
      </c>
      <c r="BY84" s="123">
        <f t="shared" si="72"/>
        <v>-42.153524960118304</v>
      </c>
      <c r="BZ84" s="123">
        <f t="shared" si="72"/>
        <v>21.67824405</v>
      </c>
      <c r="CA84" s="231"/>
      <c r="CB84" s="231"/>
      <c r="CC84" s="231"/>
      <c r="CD84" s="231"/>
    </row>
    <row r="85" spans="1:82" x14ac:dyDescent="0.25">
      <c r="A85" s="231"/>
      <c r="B85" s="31"/>
      <c r="C85" s="32"/>
      <c r="D85" s="32"/>
      <c r="E85" s="32">
        <f>Nøgletal!J149*Nøgletal!J150*Nøgletal!J155/Nøgletal!K391*-1</f>
        <v>0</v>
      </c>
      <c r="F85" s="32"/>
      <c r="G85" s="23">
        <f>SUM(H85:M85)</f>
        <v>0</v>
      </c>
      <c r="H85" s="32">
        <f>Nøgletal!J146/Nøgletal!K389*-1</f>
        <v>0</v>
      </c>
      <c r="I85" s="32"/>
      <c r="J85" s="32">
        <f>Nøgletal!J149*Nøgletal!J150*Nøgletal!J154/Nøgletal!K390*-1</f>
        <v>0</v>
      </c>
      <c r="K85" s="32"/>
      <c r="L85" s="32"/>
      <c r="M85" s="32"/>
      <c r="N85" s="23">
        <f t="shared" si="32"/>
        <v>0</v>
      </c>
      <c r="O85" s="32"/>
      <c r="P85" s="32"/>
      <c r="Q85" s="32">
        <f>Nøgletal!J149*Nøgletal!J150*Nøgletal!J159/Nøgletal!K395*-1</f>
        <v>0</v>
      </c>
      <c r="R85" s="32"/>
      <c r="S85" s="32">
        <f>Nøgletal!J149*Nøgletal!J150*Nøgletal!J153*(1-1/Nøgletal!K388)*-1</f>
        <v>0</v>
      </c>
      <c r="T85" s="23">
        <f>SUM(U85:AB85)</f>
        <v>0</v>
      </c>
      <c r="U85" s="32"/>
      <c r="V85" s="32"/>
      <c r="W85" s="32">
        <f>Nøgletal!J149*Nøgletal!J150*Nøgletal!J158/Nøgletal!K394*-1</f>
        <v>0</v>
      </c>
      <c r="X85" s="32">
        <f>Nøgletal!J149*Nøgletal!J150*Nøgletal!J157/Nøgletal!K393*-1</f>
        <v>0</v>
      </c>
      <c r="Y85" s="32">
        <f>Nøgletal!J149*Nøgletal!J150*Nøgletal!J156/Nøgletal!K392*-1</f>
        <v>0</v>
      </c>
      <c r="Z85" s="32"/>
      <c r="AA85" s="32"/>
      <c r="AB85" s="32"/>
      <c r="AC85" s="78">
        <f>-(Nøgletal!J143/Nøgletal!J$385+Nøgletal!J144/Nøgletal!J$386+Nøgletal!J145/Nøgletal!J$387+Nøgletal!J149*Nøgletal!J150*(Nøgletal!J153/Nøgletal!K388+Nøgletal!J160/Nøgletal!J384+Nøgletal!J161/Nøgletal!J383))</f>
        <v>-10.289300021999999</v>
      </c>
      <c r="AD85" s="32">
        <f>Nøgletal!J149*Nøgletal!J151*-1</f>
        <v>0</v>
      </c>
      <c r="AE85" s="32"/>
      <c r="AF85" s="32"/>
      <c r="AG85" s="32"/>
      <c r="AH85" s="32"/>
      <c r="AI85" s="32"/>
      <c r="AJ85" s="105">
        <f>SUM(C85:G85,N85,T85,AC85:AG85)</f>
        <v>-10.289300021999999</v>
      </c>
      <c r="AK85" s="45" t="s">
        <v>266</v>
      </c>
      <c r="AL85" s="39" t="s">
        <v>267</v>
      </c>
      <c r="AM85" s="39" t="s">
        <v>297</v>
      </c>
      <c r="AN85" s="37"/>
      <c r="AO85" s="38">
        <f t="shared" si="61"/>
        <v>9.0648733193819986</v>
      </c>
      <c r="AP85" s="37">
        <f t="shared" si="68"/>
        <v>0.88099999999999989</v>
      </c>
      <c r="AQ85" s="31"/>
      <c r="AR85" s="32"/>
      <c r="AS85" s="32"/>
      <c r="AT85" s="32"/>
      <c r="AU85" s="32"/>
      <c r="AV85" s="91">
        <f t="shared" si="65"/>
        <v>0</v>
      </c>
      <c r="AW85" s="32"/>
      <c r="AX85" s="32"/>
      <c r="AY85" s="32"/>
      <c r="AZ85" s="32"/>
      <c r="BA85" s="94"/>
      <c r="BB85" s="32"/>
      <c r="BC85" s="91">
        <f t="shared" si="69"/>
        <v>0</v>
      </c>
      <c r="BD85" s="32"/>
      <c r="BE85" s="32"/>
      <c r="BF85" s="32"/>
      <c r="BG85" s="32"/>
      <c r="BH85" s="32"/>
      <c r="BI85" s="91">
        <f t="shared" si="66"/>
        <v>0</v>
      </c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78">
        <f>Nøgletal!J141</f>
        <v>9.0648733193819986</v>
      </c>
      <c r="BX85" s="78"/>
      <c r="BY85" s="127">
        <f>(AJ85+BW85)*-1</f>
        <v>1.2244267026180005</v>
      </c>
      <c r="BZ85" s="123">
        <f>(C85*Emissionsfaktorer!$E$4+E85*Emissionsfaktorer!$E$3+F85*Emissionsfaktorer!$E$5+H85*Emissionsfaktorer!$E$7+I85*Emissionsfaktorer!$E$8+J85*Emissionsfaktorer!$E$9+K85*Emissionsfaktorer!$E$10+L85*Emissionsfaktorer!$E$11+M85*Emissionsfaktorer!$E$12)*-1</f>
        <v>0</v>
      </c>
      <c r="CA85" s="231"/>
      <c r="CB85" s="231"/>
      <c r="CC85" s="231"/>
      <c r="CD85" s="231"/>
    </row>
    <row r="86" spans="1:82" x14ac:dyDescent="0.25">
      <c r="A86" s="231"/>
      <c r="B86" s="31"/>
      <c r="C86" s="32"/>
      <c r="D86" s="32"/>
      <c r="E86" s="78">
        <f>Nøgletal!J181*Nøgletal!J182*Nøgletal!J187/Nøgletal!K391*-1+Nøgletal!J177/Nøgletal!K397*Nøgletal!J413*-1+Nøgletal!J178/Nøgletal!K398*Nøgletal!J424*-1</f>
        <v>-292.23899999999998</v>
      </c>
      <c r="F86" s="32">
        <f>Nøgletal!J178/Nøgletal!K398*Nøgletal!J427*-1</f>
        <v>0</v>
      </c>
      <c r="G86" s="23">
        <f>SUM(H86:M86)</f>
        <v>-34.78</v>
      </c>
      <c r="H86" s="32">
        <f>Nøgletal!J175/Nøgletal!K389*-1</f>
        <v>-12.78</v>
      </c>
      <c r="I86" s="32">
        <f>Nøgletal!J178/Nøgletal!K398*Nøgletal!J425*-1</f>
        <v>0</v>
      </c>
      <c r="J86" s="32">
        <f>Nøgletal!J181*Nøgletal!J182*Nøgletal!J186/Nøgletal!K390*-1+Nøgletal!J176/Nøgletal!K396*Nøgletal!J416*-1</f>
        <v>-22</v>
      </c>
      <c r="K86" s="32"/>
      <c r="L86" s="32"/>
      <c r="M86" s="32"/>
      <c r="N86" s="23">
        <f>SUM(O86:S86)</f>
        <v>0</v>
      </c>
      <c r="O86" s="32"/>
      <c r="P86" s="32"/>
      <c r="Q86" s="32">
        <f>Nøgletal!J181*Nøgletal!J182*Nøgletal!J191/Nøgletal!K395*-1</f>
        <v>0</v>
      </c>
      <c r="R86" s="32"/>
      <c r="S86" s="32">
        <f>Nøgletal!J181*Nøgletal!J182*Nøgletal!J185*(1-1/Nøgletal!K388)*-1</f>
        <v>0</v>
      </c>
      <c r="T86" s="23">
        <f>SUM(U86:AB86)</f>
        <v>0</v>
      </c>
      <c r="U86" s="32"/>
      <c r="V86" s="32"/>
      <c r="W86" s="32">
        <f>Nøgletal!J181*Nøgletal!J182*Nøgletal!J190/Nøgletal!K394*-1</f>
        <v>0</v>
      </c>
      <c r="X86" s="32">
        <f>Nøgletal!$J$177/Nøgletal!$K$397*Nøgletal!$J$414*-1+Nøgletal!J176/Nøgletal!K396*Nøgletal!J417*-1</f>
        <v>0</v>
      </c>
      <c r="Y86" s="32">
        <f>Nøgletal!J178/Nøgletal!K398*Nøgletal!J426*-1</f>
        <v>0</v>
      </c>
      <c r="Z86" s="32"/>
      <c r="AA86" s="32"/>
      <c r="AB86" s="32"/>
      <c r="AC86" s="78">
        <f>-(Nøgletal!J171/Nøgletal!J$385+Nøgletal!J172/Nøgletal!J$386+Nøgletal!J173/Nøgletal!J$387+Nøgletal!J181*Nøgletal!J182*(Nøgletal!J185/Nøgletal!K388+Nøgletal!J192/Nøgletal!J384+Nøgletal!J193/Nøgletal!J383))</f>
        <v>-268.66288287359998</v>
      </c>
      <c r="AD86" s="32">
        <f>(Nøgletal!J181*Nøgletal!J183+Nøgletal!J202)*-1</f>
        <v>-86.115109491879991</v>
      </c>
      <c r="AE86" s="32"/>
      <c r="AF86" s="32"/>
      <c r="AG86" s="32"/>
      <c r="AH86" s="269">
        <f>AH68</f>
        <v>-145.10808</v>
      </c>
      <c r="AI86" s="32"/>
      <c r="AJ86" s="105">
        <f>SUM(C86:G86,N86,T86,AC86:AG86)</f>
        <v>-681.79699236548004</v>
      </c>
      <c r="AK86" s="45" t="s">
        <v>268</v>
      </c>
      <c r="AL86" s="39" t="s">
        <v>269</v>
      </c>
      <c r="AM86" s="39" t="s">
        <v>297</v>
      </c>
      <c r="AN86" s="37"/>
      <c r="AO86" s="38">
        <f t="shared" si="61"/>
        <v>755.58668930352155</v>
      </c>
      <c r="AP86" s="37">
        <f t="shared" si="68"/>
        <v>1.1082282523453642</v>
      </c>
      <c r="AQ86" s="31"/>
      <c r="AR86" s="32"/>
      <c r="AS86" s="32"/>
      <c r="AT86" s="32"/>
      <c r="AU86" s="32"/>
      <c r="AV86" s="91">
        <f t="shared" si="65"/>
        <v>0</v>
      </c>
      <c r="AW86" s="32"/>
      <c r="AX86" s="32"/>
      <c r="AY86" s="32"/>
      <c r="AZ86" s="32"/>
      <c r="BA86" s="94"/>
      <c r="BB86" s="32"/>
      <c r="BC86" s="91">
        <f t="shared" si="69"/>
        <v>0</v>
      </c>
      <c r="BD86" s="32"/>
      <c r="BE86" s="32"/>
      <c r="BF86" s="32"/>
      <c r="BG86" s="32"/>
      <c r="BH86" s="32"/>
      <c r="BI86" s="91">
        <f t="shared" si="66"/>
        <v>0</v>
      </c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78">
        <f>Nøgletal!J169</f>
        <v>755.58668930352155</v>
      </c>
      <c r="BX86" s="78"/>
      <c r="BY86" s="127">
        <f>(AJ86+BW86)*-1</f>
        <v>-73.789696938041516</v>
      </c>
      <c r="BZ86" s="123">
        <f>(C86*Emissionsfaktorer!$E$4+E86*Emissionsfaktorer!$E$3+F86*Emissionsfaktorer!$E$5+H86*Emissionsfaktorer!$E$7+I86*Emissionsfaktorer!$E$8+J86*Emissionsfaktorer!$E$9+K86*Emissionsfaktorer!$E$10+L86*Emissionsfaktorer!$E$11+M86*Emissionsfaktorer!$E$12)*-1</f>
        <v>19.107555829999999</v>
      </c>
      <c r="CA86" s="231"/>
      <c r="CB86" s="231"/>
      <c r="CC86" s="231"/>
      <c r="CD86" s="231"/>
    </row>
    <row r="87" spans="1:82" x14ac:dyDescent="0.25">
      <c r="A87" s="231"/>
      <c r="B87" s="31"/>
      <c r="C87" s="32"/>
      <c r="D87" s="32"/>
      <c r="E87" s="32">
        <f>Nøgletal!J211*Nøgletal!J212*Nøgletal!J217/Nøgletal!K391*-1</f>
        <v>0</v>
      </c>
      <c r="F87" s="32"/>
      <c r="G87" s="23">
        <f>SUM(H87:M87)</f>
        <v>0</v>
      </c>
      <c r="H87" s="32">
        <f>Nøgletal!J208/Nøgletal!K389*-1</f>
        <v>0</v>
      </c>
      <c r="I87" s="149"/>
      <c r="J87" s="32">
        <f>Nøgletal!J211*Nøgletal!J212*Nøgletal!J216/Nøgletal!K390*-1</f>
        <v>0</v>
      </c>
      <c r="K87" s="32"/>
      <c r="L87" s="32"/>
      <c r="M87" s="32"/>
      <c r="N87" s="23">
        <f>SUM(O87:S87)</f>
        <v>0</v>
      </c>
      <c r="O87" s="32"/>
      <c r="P87" s="32"/>
      <c r="Q87" s="32">
        <f>Nøgletal!J211*Nøgletal!J212*Nøgletal!J221/Nøgletal!K395*-1</f>
        <v>0</v>
      </c>
      <c r="R87" s="32"/>
      <c r="S87" s="32">
        <f>Nøgletal!J211*Nøgletal!J212*Nøgletal!J215*(1-1/Nøgletal!K388)*-1</f>
        <v>0</v>
      </c>
      <c r="T87" s="23">
        <f>SUM(U87:AB87)</f>
        <v>0</v>
      </c>
      <c r="U87" s="32"/>
      <c r="V87" s="32"/>
      <c r="W87" s="32">
        <f>Nøgletal!J211*Nøgletal!J212*Nøgletal!J220/Nøgletal!K394*-1</f>
        <v>0</v>
      </c>
      <c r="X87" s="32">
        <f>Nøgletal!J211*Nøgletal!J212*Nøgletal!J219/Nøgletal!K393*-1</f>
        <v>0</v>
      </c>
      <c r="Y87" s="32">
        <f>Nøgletal!J211*Nøgletal!J212*Nøgletal!J218/Nøgletal!K392*-1</f>
        <v>0</v>
      </c>
      <c r="Z87" s="32"/>
      <c r="AA87" s="32"/>
      <c r="AB87" s="32"/>
      <c r="AC87" s="78">
        <f>-(Nøgletal!J205/Nøgletal!J$385+Nøgletal!J206/Nøgletal!J$386+Nøgletal!J207/Nøgletal!J$387+Nøgletal!J211*Nøgletal!J212*(Nøgletal!J215/Nøgletal!K388+Nøgletal!J222/Nøgletal!J384+Nøgletal!J223/Nøgletal!J383))</f>
        <v>-1.3559942988000002</v>
      </c>
      <c r="AD87" s="32">
        <f>Nøgletal!J211*Nøgletal!J213*-1</f>
        <v>-26.361768211799998</v>
      </c>
      <c r="AE87" s="32"/>
      <c r="AF87" s="32"/>
      <c r="AG87" s="32"/>
      <c r="AH87" s="32"/>
      <c r="AI87" s="32"/>
      <c r="AJ87" s="105">
        <f>SUM(C87:G87,N87,T87,AC87:AG87)</f>
        <v>-27.717762510599997</v>
      </c>
      <c r="AK87" s="45" t="s">
        <v>270</v>
      </c>
      <c r="AL87" s="39" t="s">
        <v>271</v>
      </c>
      <c r="AM87" s="39" t="s">
        <v>297</v>
      </c>
      <c r="AN87" s="37"/>
      <c r="AO87" s="38">
        <f t="shared" si="61"/>
        <v>27.469615553919599</v>
      </c>
      <c r="AP87" s="37">
        <f t="shared" si="68"/>
        <v>0.99104736695158924</v>
      </c>
      <c r="AQ87" s="31"/>
      <c r="AR87" s="32"/>
      <c r="AS87" s="32"/>
      <c r="AT87" s="32"/>
      <c r="AU87" s="32"/>
      <c r="AV87" s="91">
        <f t="shared" si="65"/>
        <v>0</v>
      </c>
      <c r="AW87" s="32"/>
      <c r="AX87" s="32"/>
      <c r="AY87" s="32"/>
      <c r="AZ87" s="32"/>
      <c r="BA87" s="94"/>
      <c r="BB87" s="32"/>
      <c r="BC87" s="91">
        <f t="shared" si="69"/>
        <v>0</v>
      </c>
      <c r="BD87" s="32"/>
      <c r="BE87" s="32"/>
      <c r="BF87" s="32"/>
      <c r="BG87" s="32"/>
      <c r="BH87" s="32"/>
      <c r="BI87" s="91">
        <f t="shared" si="66"/>
        <v>0</v>
      </c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78">
        <f>Nøgletal!J203</f>
        <v>27.469615553919599</v>
      </c>
      <c r="BX87" s="78"/>
      <c r="BY87" s="127">
        <f>(AJ87+BW87)*-1</f>
        <v>0.24814695668039732</v>
      </c>
      <c r="BZ87" s="123">
        <f>(C87*Emissionsfaktorer!$E$4+E87*Emissionsfaktorer!$E$3+F87*Emissionsfaktorer!$E$5+H87*Emissionsfaktorer!$E$7+I87*Emissionsfaktorer!$E$8+J87*Emissionsfaktorer!$E$9+K87*Emissionsfaktorer!$E$10+L87*Emissionsfaktorer!$E$11+M87*Emissionsfaktorer!$E$12)*-1</f>
        <v>0</v>
      </c>
      <c r="CA87" s="231"/>
      <c r="CB87" s="231"/>
      <c r="CC87" s="231"/>
      <c r="CD87" s="231"/>
    </row>
    <row r="88" spans="1:82" x14ac:dyDescent="0.25">
      <c r="A88" s="231"/>
      <c r="B88" s="31"/>
      <c r="C88" s="32"/>
      <c r="D88" s="32"/>
      <c r="E88" s="32">
        <f>(Nøgletal!J236/Nøgletal!J406*Nøgletal!J696+Nøgletal!J240*Nøgletal!J241*Nøgletal!J246/Nøgletal!K391)*-1</f>
        <v>0</v>
      </c>
      <c r="F88" s="32"/>
      <c r="G88" s="23">
        <f>SUM(H88:M88)</f>
        <v>-34.73903</v>
      </c>
      <c r="H88" s="32">
        <f>Nøgletal!J237/Nøgletal!K389*-1</f>
        <v>0</v>
      </c>
      <c r="I88" s="32"/>
      <c r="J88" s="32">
        <f>Nøgletal!J240*Nøgletal!J241*Nøgletal!J245/Nøgletal!K390*-1</f>
        <v>0</v>
      </c>
      <c r="K88" s="78">
        <f>Nøgletal!J236/Nøgletal!J406*Nøgletal!J692*-1</f>
        <v>-34.73903</v>
      </c>
      <c r="L88" s="32"/>
      <c r="M88" s="32">
        <f>Nøgletal!J236/Nøgletal!J406*Nøgletal!J693*-1</f>
        <v>0</v>
      </c>
      <c r="N88" s="23">
        <f>SUM(O88:S88)</f>
        <v>0</v>
      </c>
      <c r="O88" s="32"/>
      <c r="P88" s="32"/>
      <c r="Q88" s="32">
        <f>Nøgletal!J240*Nøgletal!J241*Nøgletal!J250/Nøgletal!K395*-1</f>
        <v>0</v>
      </c>
      <c r="R88" s="32"/>
      <c r="S88" s="32">
        <f>Nøgletal!J240*Nøgletal!J241*Nøgletal!J244*(1-1/Nøgletal!K388)*-1</f>
        <v>0</v>
      </c>
      <c r="T88" s="23">
        <f>SUM(U88:AB88)</f>
        <v>-1.3609700000000002</v>
      </c>
      <c r="U88" s="32">
        <f>Nøgletal!J236*Nøgletal!J695/Nøgletal!J406*-1</f>
        <v>0</v>
      </c>
      <c r="V88" s="32">
        <f>Nøgletal!J236*Nøgletal!J697/Nøgletal!J406*-1</f>
        <v>-1.3609700000000002</v>
      </c>
      <c r="W88" s="32">
        <f>Nøgletal!J240*Nøgletal!J241*Nøgletal!J249/Nøgletal!K394*-1</f>
        <v>0</v>
      </c>
      <c r="X88" s="32">
        <f>Nøgletal!J240*Nøgletal!J241*Nøgletal!J248/Nøgletal!K393*-1</f>
        <v>0</v>
      </c>
      <c r="Y88" s="32">
        <f>Nøgletal!J240*Nøgletal!J241*Nøgletal!J247/Nøgletal!K392*-1</f>
        <v>0</v>
      </c>
      <c r="Z88" s="32"/>
      <c r="AA88" s="32"/>
      <c r="AB88" s="32">
        <f>Nøgletal!J236*Nøgletal!J694/Nøgletal!J406*-1</f>
        <v>0</v>
      </c>
      <c r="AC88" s="78">
        <f>-(Nøgletal!J233/Nøgletal!J$385+Nøgletal!J234/Nøgletal!J$386+Nøgletal!J235/Nøgletal!J$387+Nøgletal!J236*Nøgletal!J698/Nøgletal!J406+Nøgletal!J240*Nøgletal!J241*(Nøgletal!J244/Nøgletal!K388+Nøgletal!J251/Nøgletal!J384+Nøgletal!J252/Nøgletal!J383))</f>
        <v>-32.659007205600012</v>
      </c>
      <c r="AD88" s="32">
        <f>Nøgletal!J240*Nøgletal!J242</f>
        <v>0</v>
      </c>
      <c r="AE88" s="32"/>
      <c r="AF88" s="32"/>
      <c r="AG88" s="32"/>
      <c r="AH88" s="32"/>
      <c r="AI88" s="32"/>
      <c r="AJ88" s="105">
        <f>SUM(C88:G88,N88,T88,AC88:AG88)</f>
        <v>-68.759007205600014</v>
      </c>
      <c r="AK88" s="45" t="s">
        <v>272</v>
      </c>
      <c r="AL88" s="39" t="s">
        <v>273</v>
      </c>
      <c r="AM88" s="39" t="s">
        <v>297</v>
      </c>
      <c r="AN88" s="37"/>
      <c r="AO88" s="38">
        <f t="shared" si="61"/>
        <v>38.595408886975207</v>
      </c>
      <c r="AP88" s="37">
        <f t="shared" si="68"/>
        <v>0.56131422566310463</v>
      </c>
      <c r="AQ88" s="31"/>
      <c r="AR88" s="32"/>
      <c r="AS88" s="32"/>
      <c r="AT88" s="32"/>
      <c r="AU88" s="32"/>
      <c r="AV88" s="91">
        <f t="shared" si="65"/>
        <v>0</v>
      </c>
      <c r="AW88" s="32"/>
      <c r="AX88" s="32"/>
      <c r="AY88" s="32"/>
      <c r="AZ88" s="32"/>
      <c r="BA88" s="94"/>
      <c r="BB88" s="32"/>
      <c r="BC88" s="91">
        <f t="shared" si="69"/>
        <v>0</v>
      </c>
      <c r="BD88" s="32"/>
      <c r="BE88" s="32"/>
      <c r="BF88" s="32"/>
      <c r="BG88" s="32"/>
      <c r="BH88" s="32"/>
      <c r="BI88" s="91">
        <f t="shared" si="66"/>
        <v>0</v>
      </c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78">
        <f>Nøgletal!J231</f>
        <v>38.595408886975207</v>
      </c>
      <c r="BX88" s="78"/>
      <c r="BY88" s="127">
        <f>(AJ88+BW88)*-1</f>
        <v>30.163598318624807</v>
      </c>
      <c r="BZ88" s="123">
        <f>(C88*Emissionsfaktorer!$E$4+E88*Emissionsfaktorer!$E$3+F88*Emissionsfaktorer!$E$5+H88*Emissionsfaktorer!$E$7+I88*Emissionsfaktorer!$E$8+J88*Emissionsfaktorer!$E$9+K88*Emissionsfaktorer!$E$10+L88*Emissionsfaktorer!$E$11+M88*Emissionsfaktorer!$E$12)*-1</f>
        <v>2.5706882199999996</v>
      </c>
      <c r="CA88" s="231"/>
      <c r="CB88" s="231"/>
      <c r="CC88" s="231"/>
      <c r="CD88" s="231"/>
    </row>
    <row r="89" spans="1:82" x14ac:dyDescent="0.25">
      <c r="A89" s="231"/>
      <c r="B89" s="31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44">
        <f>AJ89</f>
        <v>-5569.2982476080979</v>
      </c>
      <c r="AJ89" s="155">
        <f>AJ90+AJ101+AJ112+AJ117</f>
        <v>-5569.2982476080979</v>
      </c>
      <c r="AK89" s="88" t="s">
        <v>274</v>
      </c>
      <c r="AL89" s="89" t="s">
        <v>275</v>
      </c>
      <c r="AM89" s="89"/>
      <c r="AN89" s="37"/>
      <c r="AO89" s="38">
        <f t="shared" si="61"/>
        <v>3867.5630100706912</v>
      </c>
      <c r="AP89" s="37">
        <f t="shared" si="68"/>
        <v>0.694443507623556</v>
      </c>
      <c r="AQ89" s="31"/>
      <c r="AR89" s="109"/>
      <c r="AS89" s="109"/>
      <c r="AT89" s="109"/>
      <c r="AU89" s="109"/>
      <c r="AV89" s="109"/>
      <c r="AW89" s="109"/>
      <c r="AX89" s="109"/>
      <c r="AY89" s="109"/>
      <c r="AZ89" s="109"/>
      <c r="BA89" s="110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15"/>
      <c r="BU89" s="109"/>
      <c r="BV89" s="109"/>
      <c r="BW89" s="82">
        <f>BW90+BW101+BW112+BW117</f>
        <v>3867.5630100706912</v>
      </c>
      <c r="BX89" s="82"/>
      <c r="BY89" s="128">
        <f>BY90+BY101+BY112+BY117</f>
        <v>1709.8405528523508</v>
      </c>
      <c r="BZ89" s="128">
        <f>BZ90+BZ101+BZ112+BZ117</f>
        <v>0</v>
      </c>
      <c r="CA89" s="231"/>
      <c r="CB89" s="231"/>
      <c r="CC89" s="231"/>
      <c r="CD89" s="231"/>
    </row>
    <row r="90" spans="1:82" x14ac:dyDescent="0.25">
      <c r="A90" s="231"/>
      <c r="B90" s="116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45">
        <f>AJ90</f>
        <v>-1903.923</v>
      </c>
      <c r="AJ90" s="156">
        <f>SUM(AJ91:AJ100)</f>
        <v>-1903.923</v>
      </c>
      <c r="AK90" s="96" t="s">
        <v>239</v>
      </c>
      <c r="AL90" s="39" t="s">
        <v>276</v>
      </c>
      <c r="AM90" s="39" t="s">
        <v>275</v>
      </c>
      <c r="AN90" s="264">
        <f>'Størrelse på strømme'!E55</f>
        <v>85.598679597463828</v>
      </c>
      <c r="AO90" s="38">
        <f>BW90</f>
        <v>512.10055</v>
      </c>
      <c r="AP90" s="146">
        <f t="shared" ref="AP90:AP127" si="73">BW90/IF(AJ90&lt;0,AJ90,1)*-1</f>
        <v>0.2689712504129631</v>
      </c>
      <c r="AQ90" s="49"/>
      <c r="AR90" s="19"/>
      <c r="AS90" s="19"/>
      <c r="AT90" s="19"/>
      <c r="AU90" s="19"/>
      <c r="AV90" s="19"/>
      <c r="AW90" s="19"/>
      <c r="AX90" s="19"/>
      <c r="AY90" s="19"/>
      <c r="AZ90" s="19"/>
      <c r="BA90" s="111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20"/>
      <c r="BW90" s="152">
        <f>SUM(BW91:BW100)</f>
        <v>512.10055</v>
      </c>
      <c r="BX90" s="108"/>
      <c r="BY90" s="129">
        <f>SUM(BY91:BY100)</f>
        <v>1389.1812500000001</v>
      </c>
      <c r="BZ90" s="129">
        <f>SUM(BZ91:BZ100)</f>
        <v>0</v>
      </c>
      <c r="CA90" s="231"/>
      <c r="CB90" s="231"/>
      <c r="CC90" s="231"/>
      <c r="CD90" s="231"/>
    </row>
    <row r="91" spans="1:82" x14ac:dyDescent="0.25">
      <c r="A91" s="231"/>
      <c r="B91" s="116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45">
        <f t="shared" ref="AI91:AI127" si="74">AJ91</f>
        <v>-579.48</v>
      </c>
      <c r="AJ91" s="156">
        <f>AO91/Nøgletal!J401*-1</f>
        <v>-579.48</v>
      </c>
      <c r="AK91" s="101" t="s">
        <v>241</v>
      </c>
      <c r="AL91" s="39" t="s">
        <v>277</v>
      </c>
      <c r="AM91" s="39" t="s">
        <v>276</v>
      </c>
      <c r="AN91" s="264"/>
      <c r="AO91" s="38">
        <f t="shared" ref="AO91:AO127" si="75">BW91</f>
        <v>115.896</v>
      </c>
      <c r="AP91" s="146">
        <f t="shared" si="73"/>
        <v>0.19999999999999998</v>
      </c>
      <c r="AQ91" s="49"/>
      <c r="AR91" s="19"/>
      <c r="AS91" s="19"/>
      <c r="AT91" s="19"/>
      <c r="AU91" s="19"/>
      <c r="AV91" s="19"/>
      <c r="AW91" s="19"/>
      <c r="AX91" s="19"/>
      <c r="AY91" s="19"/>
      <c r="AZ91" s="19"/>
      <c r="BA91" s="111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231"/>
      <c r="BW91" s="78">
        <f>Nøgletal!J$282*Nøgletal!J286</f>
        <v>115.896</v>
      </c>
      <c r="BX91" s="119"/>
      <c r="BY91" s="127">
        <f t="shared" ref="BY91:BY98" si="76">(AJ91+BW91)*-1</f>
        <v>463.584</v>
      </c>
      <c r="BZ91" s="125">
        <v>0</v>
      </c>
      <c r="CA91" s="231"/>
      <c r="CB91" s="151"/>
      <c r="CC91" s="231"/>
      <c r="CD91" s="231"/>
    </row>
    <row r="92" spans="1:82" x14ac:dyDescent="0.25">
      <c r="A92" s="231"/>
      <c r="B92" s="116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45">
        <f t="shared" si="74"/>
        <v>-315.31</v>
      </c>
      <c r="AJ92" s="156">
        <f>AO92/Nøgletal!J402*-1</f>
        <v>-315.31</v>
      </c>
      <c r="AK92" s="101" t="s">
        <v>243</v>
      </c>
      <c r="AL92" s="39" t="s">
        <v>278</v>
      </c>
      <c r="AM92" s="39" t="s">
        <v>276</v>
      </c>
      <c r="AN92" s="264"/>
      <c r="AO92" s="38">
        <f t="shared" si="75"/>
        <v>78.827500000000001</v>
      </c>
      <c r="AP92" s="146">
        <f t="shared" si="73"/>
        <v>0.25</v>
      </c>
      <c r="AQ92" s="49"/>
      <c r="AR92" s="19"/>
      <c r="AS92" s="19"/>
      <c r="AT92" s="19"/>
      <c r="AU92" s="19"/>
      <c r="AV92" s="19"/>
      <c r="AW92" s="19"/>
      <c r="AX92" s="19"/>
      <c r="AY92" s="19"/>
      <c r="AZ92" s="19"/>
      <c r="BA92" s="111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231"/>
      <c r="BW92" s="78">
        <f>Nøgletal!J$282*Nøgletal!J287</f>
        <v>78.827500000000001</v>
      </c>
      <c r="BX92" s="119"/>
      <c r="BY92" s="127">
        <f t="shared" si="76"/>
        <v>236.48250000000002</v>
      </c>
      <c r="BZ92" s="125">
        <v>0</v>
      </c>
      <c r="CA92" s="231"/>
      <c r="CB92" s="151"/>
      <c r="CC92" s="231"/>
      <c r="CD92" s="231"/>
    </row>
    <row r="93" spans="1:82" x14ac:dyDescent="0.25">
      <c r="A93" s="231"/>
      <c r="B93" s="116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45">
        <f t="shared" si="74"/>
        <v>-198.12299999999999</v>
      </c>
      <c r="AJ93" s="156">
        <f>AO93/IF(Nøgletal!J403&gt;0,Nøgletal!J403,1)*-1</f>
        <v>-198.12299999999999</v>
      </c>
      <c r="AK93" s="101" t="s">
        <v>244</v>
      </c>
      <c r="AL93" s="39" t="s">
        <v>279</v>
      </c>
      <c r="AM93" s="39" t="s">
        <v>276</v>
      </c>
      <c r="AN93" s="264"/>
      <c r="AO93" s="38">
        <f t="shared" si="75"/>
        <v>49.530749999999998</v>
      </c>
      <c r="AP93" s="146">
        <f t="shared" si="73"/>
        <v>0.25</v>
      </c>
      <c r="AQ93" s="49"/>
      <c r="AR93" s="19"/>
      <c r="AS93" s="19"/>
      <c r="AT93" s="19"/>
      <c r="AU93" s="19"/>
      <c r="AV93" s="19"/>
      <c r="AW93" s="19"/>
      <c r="AX93" s="19"/>
      <c r="AY93" s="19"/>
      <c r="AZ93" s="19"/>
      <c r="BA93" s="111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231"/>
      <c r="BW93" s="78">
        <f>Nøgletal!J$282*Nøgletal!J288</f>
        <v>49.530749999999998</v>
      </c>
      <c r="BX93" s="119"/>
      <c r="BY93" s="127">
        <f t="shared" si="76"/>
        <v>148.59224999999998</v>
      </c>
      <c r="BZ93" s="125">
        <v>0</v>
      </c>
      <c r="CA93" s="231"/>
      <c r="CB93" s="151"/>
      <c r="CC93" s="231"/>
      <c r="CD93" s="231"/>
    </row>
    <row r="94" spans="1:82" x14ac:dyDescent="0.25">
      <c r="A94" s="231"/>
      <c r="B94" s="116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45">
        <f t="shared" si="74"/>
        <v>-17.889999999999997</v>
      </c>
      <c r="AJ94" s="156">
        <f>AO94/Nøgletal!J404*-1</f>
        <v>-17.889999999999997</v>
      </c>
      <c r="AK94" s="101" t="s">
        <v>246</v>
      </c>
      <c r="AL94" s="39" t="s">
        <v>280</v>
      </c>
      <c r="AM94" s="39" t="s">
        <v>276</v>
      </c>
      <c r="AN94" s="264"/>
      <c r="AO94" s="38">
        <f t="shared" si="75"/>
        <v>5.9036999999999997</v>
      </c>
      <c r="AP94" s="146">
        <f t="shared" si="73"/>
        <v>0.33</v>
      </c>
      <c r="AQ94" s="49"/>
      <c r="AR94" s="19"/>
      <c r="AS94" s="19"/>
      <c r="AT94" s="19"/>
      <c r="AU94" s="19"/>
      <c r="AV94" s="19"/>
      <c r="AW94" s="19"/>
      <c r="AX94" s="19"/>
      <c r="AY94" s="19"/>
      <c r="AZ94" s="19"/>
      <c r="BA94" s="111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231"/>
      <c r="BW94" s="78">
        <f>Nøgletal!J$282*Nøgletal!J289</f>
        <v>5.9036999999999997</v>
      </c>
      <c r="BX94" s="119"/>
      <c r="BY94" s="127">
        <f t="shared" si="76"/>
        <v>11.986299999999996</v>
      </c>
      <c r="BZ94" s="125">
        <v>0</v>
      </c>
      <c r="CA94" s="231"/>
      <c r="CB94" s="151"/>
      <c r="CC94" s="231"/>
      <c r="CD94" s="231"/>
    </row>
    <row r="95" spans="1:82" x14ac:dyDescent="0.25">
      <c r="A95" s="231"/>
      <c r="B95" s="116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45">
        <f t="shared" si="74"/>
        <v>-356.36</v>
      </c>
      <c r="AJ95" s="156">
        <f>AO95/Nøgletal!J405*-1</f>
        <v>-356.36</v>
      </c>
      <c r="AK95" s="101" t="s">
        <v>248</v>
      </c>
      <c r="AL95" s="39" t="s">
        <v>281</v>
      </c>
      <c r="AM95" s="39" t="s">
        <v>276</v>
      </c>
      <c r="AN95" s="264"/>
      <c r="AO95" s="38">
        <f t="shared" si="75"/>
        <v>117.59880000000001</v>
      </c>
      <c r="AP95" s="146">
        <f t="shared" si="73"/>
        <v>0.33</v>
      </c>
      <c r="AQ95" s="49"/>
      <c r="AR95" s="19"/>
      <c r="AS95" s="19"/>
      <c r="AT95" s="19"/>
      <c r="AU95" s="19"/>
      <c r="AV95" s="19"/>
      <c r="AW95" s="19"/>
      <c r="AX95" s="19"/>
      <c r="AY95" s="19"/>
      <c r="AZ95" s="19"/>
      <c r="BA95" s="111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231"/>
      <c r="BW95" s="78">
        <f>Nøgletal!J$282*Nøgletal!J290</f>
        <v>117.59880000000001</v>
      </c>
      <c r="BX95" s="119"/>
      <c r="BY95" s="127">
        <f t="shared" si="76"/>
        <v>238.7612</v>
      </c>
      <c r="BZ95" s="125">
        <v>0</v>
      </c>
      <c r="CA95" s="231"/>
      <c r="CB95" s="151"/>
      <c r="CC95" s="231"/>
      <c r="CD95" s="231"/>
    </row>
    <row r="96" spans="1:82" x14ac:dyDescent="0.25">
      <c r="A96" s="231"/>
      <c r="B96" s="116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45">
        <f t="shared" si="74"/>
        <v>-30.4</v>
      </c>
      <c r="AJ96" s="156">
        <f>AO96/Nøgletal!J407*-1</f>
        <v>-30.4</v>
      </c>
      <c r="AK96" s="101" t="s">
        <v>250</v>
      </c>
      <c r="AL96" s="39" t="s">
        <v>282</v>
      </c>
      <c r="AM96" s="39" t="s">
        <v>276</v>
      </c>
      <c r="AN96" s="264"/>
      <c r="AO96" s="38">
        <f t="shared" si="75"/>
        <v>10.032</v>
      </c>
      <c r="AP96" s="146">
        <f t="shared" si="73"/>
        <v>0.33</v>
      </c>
      <c r="AQ96" s="49"/>
      <c r="AR96" s="19"/>
      <c r="AS96" s="19"/>
      <c r="AT96" s="19"/>
      <c r="AU96" s="19"/>
      <c r="AV96" s="19"/>
      <c r="AW96" s="19"/>
      <c r="AX96" s="19"/>
      <c r="AY96" s="19"/>
      <c r="AZ96" s="19"/>
      <c r="BA96" s="111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231"/>
      <c r="BW96" s="78">
        <f>Nøgletal!J$282*Nøgletal!J291</f>
        <v>10.032</v>
      </c>
      <c r="BX96" s="119"/>
      <c r="BY96" s="127">
        <f t="shared" si="76"/>
        <v>20.367999999999999</v>
      </c>
      <c r="BZ96" s="125">
        <v>0</v>
      </c>
      <c r="CA96" s="231"/>
      <c r="CB96" s="151"/>
      <c r="CC96" s="231"/>
      <c r="CD96" s="231"/>
    </row>
    <row r="97" spans="1:82" x14ac:dyDescent="0.25">
      <c r="A97" s="231"/>
      <c r="B97" s="116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45">
        <f t="shared" si="74"/>
        <v>-344.6</v>
      </c>
      <c r="AJ97" s="156">
        <f>AO97/Nøgletal!J408*-1</f>
        <v>-344.6</v>
      </c>
      <c r="AK97" s="101" t="s">
        <v>252</v>
      </c>
      <c r="AL97" s="39" t="s">
        <v>283</v>
      </c>
      <c r="AM97" s="39" t="s">
        <v>276</v>
      </c>
      <c r="AN97" s="264"/>
      <c r="AO97" s="38">
        <f t="shared" si="75"/>
        <v>113.71800000000002</v>
      </c>
      <c r="AP97" s="146">
        <f t="shared" si="73"/>
        <v>0.33</v>
      </c>
      <c r="AQ97" s="49"/>
      <c r="AR97" s="19"/>
      <c r="AS97" s="19"/>
      <c r="AT97" s="19"/>
      <c r="AU97" s="19"/>
      <c r="AV97" s="19"/>
      <c r="AW97" s="19"/>
      <c r="AX97" s="19"/>
      <c r="AY97" s="19"/>
      <c r="AZ97" s="19"/>
      <c r="BA97" s="111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231"/>
      <c r="BW97" s="78">
        <f>Nøgletal!J$282*Nøgletal!J292</f>
        <v>113.71800000000002</v>
      </c>
      <c r="BX97" s="119"/>
      <c r="BY97" s="127">
        <f t="shared" si="76"/>
        <v>230.88200000000001</v>
      </c>
      <c r="BZ97" s="125">
        <v>0</v>
      </c>
      <c r="CA97" s="231"/>
      <c r="CB97" s="151"/>
      <c r="CC97" s="231"/>
      <c r="CD97" s="231"/>
    </row>
    <row r="98" spans="1:82" x14ac:dyDescent="0.25">
      <c r="A98" s="231"/>
      <c r="B98" s="116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45">
        <f t="shared" si="74"/>
        <v>-57.5</v>
      </c>
      <c r="AJ98" s="156">
        <f>AO98/Nøgletal!J409*-1</f>
        <v>-57.5</v>
      </c>
      <c r="AK98" s="101" t="s">
        <v>254</v>
      </c>
      <c r="AL98" s="39" t="s">
        <v>284</v>
      </c>
      <c r="AM98" s="39" t="s">
        <v>276</v>
      </c>
      <c r="AN98" s="264"/>
      <c r="AO98" s="38">
        <f t="shared" si="75"/>
        <v>18.975000000000001</v>
      </c>
      <c r="AP98" s="146">
        <f t="shared" si="73"/>
        <v>0.33</v>
      </c>
      <c r="AQ98" s="49"/>
      <c r="AR98" s="19"/>
      <c r="AS98" s="19"/>
      <c r="AT98" s="19"/>
      <c r="AU98" s="19"/>
      <c r="AV98" s="19"/>
      <c r="AW98" s="19"/>
      <c r="AX98" s="19"/>
      <c r="AY98" s="19"/>
      <c r="AZ98" s="19"/>
      <c r="BA98" s="111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231"/>
      <c r="BW98" s="78">
        <f>Nøgletal!J$282*Nøgletal!J293</f>
        <v>18.975000000000001</v>
      </c>
      <c r="BX98" s="119"/>
      <c r="BY98" s="127">
        <f t="shared" si="76"/>
        <v>38.524999999999999</v>
      </c>
      <c r="BZ98" s="125">
        <v>0</v>
      </c>
      <c r="CA98" s="231"/>
      <c r="CB98" s="151"/>
      <c r="CC98" s="231"/>
      <c r="CD98" s="231"/>
    </row>
    <row r="99" spans="1:82" x14ac:dyDescent="0.25">
      <c r="A99" s="231"/>
      <c r="B99" s="116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45">
        <f t="shared" si="74"/>
        <v>0</v>
      </c>
      <c r="AJ99" s="156">
        <f>AO99/Nøgletal!J410*-1</f>
        <v>0</v>
      </c>
      <c r="AK99" s="101" t="s">
        <v>561</v>
      </c>
      <c r="AL99" s="39" t="s">
        <v>494</v>
      </c>
      <c r="AM99" s="39" t="s">
        <v>276</v>
      </c>
      <c r="AN99" s="264"/>
      <c r="AO99" s="38">
        <f t="shared" si="75"/>
        <v>0</v>
      </c>
      <c r="AP99" s="146">
        <f t="shared" si="73"/>
        <v>0</v>
      </c>
      <c r="AQ99" s="49"/>
      <c r="AR99" s="19"/>
      <c r="AS99" s="19"/>
      <c r="AT99" s="19"/>
      <c r="AU99" s="19"/>
      <c r="AV99" s="19"/>
      <c r="AW99" s="19"/>
      <c r="AX99" s="19"/>
      <c r="AY99" s="19"/>
      <c r="AZ99" s="19"/>
      <c r="BA99" s="111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231"/>
      <c r="BW99" s="78">
        <f>Nøgletal!J$282*Nøgletal!J284</f>
        <v>0</v>
      </c>
      <c r="BX99" s="119"/>
      <c r="BY99" s="147">
        <v>0</v>
      </c>
      <c r="BZ99" s="125">
        <v>0</v>
      </c>
      <c r="CA99" s="231"/>
      <c r="CB99" s="151"/>
      <c r="CC99" s="231"/>
      <c r="CD99" s="231"/>
    </row>
    <row r="100" spans="1:82" x14ac:dyDescent="0.25">
      <c r="A100" s="231"/>
      <c r="B100" s="116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45">
        <f t="shared" si="74"/>
        <v>-4.26</v>
      </c>
      <c r="AJ100" s="156">
        <f>AO100/Nøgletal!J411*-1</f>
        <v>-4.26</v>
      </c>
      <c r="AK100" s="101" t="s">
        <v>560</v>
      </c>
      <c r="AL100" s="39" t="s">
        <v>496</v>
      </c>
      <c r="AM100" s="39" t="s">
        <v>276</v>
      </c>
      <c r="AN100" s="264"/>
      <c r="AO100" s="38">
        <f t="shared" si="75"/>
        <v>1.6188</v>
      </c>
      <c r="AP100" s="146">
        <f t="shared" si="73"/>
        <v>0.38</v>
      </c>
      <c r="AQ100" s="4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11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231"/>
      <c r="BW100" s="78">
        <f>Nøgletal!J$282*Nøgletal!J285</f>
        <v>1.6188</v>
      </c>
      <c r="BX100" s="119"/>
      <c r="BY100" s="147">
        <v>0</v>
      </c>
      <c r="BZ100" s="125">
        <v>0</v>
      </c>
      <c r="CA100" s="231"/>
      <c r="CB100" s="151"/>
      <c r="CC100" s="231"/>
      <c r="CD100" s="231"/>
    </row>
    <row r="101" spans="1:82" x14ac:dyDescent="0.25">
      <c r="A101" s="231"/>
      <c r="B101" s="116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45">
        <f t="shared" si="74"/>
        <v>-765.03018990118392</v>
      </c>
      <c r="AJ101" s="156">
        <f>SUM(AJ102:AJ111)</f>
        <v>-765.03018990118392</v>
      </c>
      <c r="AK101" s="96" t="s">
        <v>29</v>
      </c>
      <c r="AL101" s="39" t="s">
        <v>287</v>
      </c>
      <c r="AM101" s="39" t="s">
        <v>275</v>
      </c>
      <c r="AN101" s="264">
        <f>'Størrelse på strømme'!E57</f>
        <v>75.482596877564546</v>
      </c>
      <c r="AO101" s="38">
        <f t="shared" si="75"/>
        <v>674.94349332543356</v>
      </c>
      <c r="AP101" s="146">
        <f t="shared" si="73"/>
        <v>0.88224425942277318</v>
      </c>
      <c r="AQ101" s="4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11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20"/>
      <c r="BW101" s="108">
        <f>SUM(BW102:BW111)</f>
        <v>674.94349332543356</v>
      </c>
      <c r="BX101" s="108"/>
      <c r="BY101" s="129">
        <f>SUM(BY102:BY111)</f>
        <v>100.8332118906944</v>
      </c>
      <c r="BZ101" s="129">
        <f>SUM(BZ102:BZ111)</f>
        <v>0</v>
      </c>
      <c r="CA101" s="231"/>
      <c r="CB101" s="19"/>
      <c r="CC101" s="231"/>
      <c r="CD101" s="231"/>
    </row>
    <row r="102" spans="1:82" x14ac:dyDescent="0.25">
      <c r="A102" s="231"/>
      <c r="B102" s="116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45">
        <f t="shared" si="74"/>
        <v>-21.493030629887997</v>
      </c>
      <c r="AJ102" s="156">
        <f>AO102/Nøgletal!J386*-1</f>
        <v>-21.493030629887997</v>
      </c>
      <c r="AK102" s="97" t="s">
        <v>288</v>
      </c>
      <c r="AL102" s="28" t="s">
        <v>289</v>
      </c>
      <c r="AM102" s="39" t="s">
        <v>287</v>
      </c>
      <c r="AN102" s="264"/>
      <c r="AO102" s="38">
        <f t="shared" si="75"/>
        <v>32.239545944831995</v>
      </c>
      <c r="AP102" s="146">
        <f t="shared" si="73"/>
        <v>1.5</v>
      </c>
      <c r="AQ102" s="4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11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20"/>
      <c r="BW102" s="119">
        <f>Nøgletal!J172</f>
        <v>32.239545944831995</v>
      </c>
      <c r="BX102" s="119"/>
      <c r="BY102" s="127">
        <v>0</v>
      </c>
      <c r="BZ102" s="125">
        <v>0</v>
      </c>
      <c r="CA102" s="231"/>
      <c r="CB102" s="19"/>
      <c r="CC102" s="231"/>
      <c r="CD102" s="231"/>
    </row>
    <row r="103" spans="1:82" x14ac:dyDescent="0.25">
      <c r="A103" s="231"/>
      <c r="B103" s="116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45">
        <f t="shared" si="74"/>
        <v>-231.050079271296</v>
      </c>
      <c r="AJ103" s="156">
        <f>AO103/Nøgletal!J387*-1</f>
        <v>-231.050079271296</v>
      </c>
      <c r="AK103" s="97" t="s">
        <v>290</v>
      </c>
      <c r="AL103" s="28" t="s">
        <v>291</v>
      </c>
      <c r="AM103" s="39" t="s">
        <v>287</v>
      </c>
      <c r="AN103" s="264"/>
      <c r="AO103" s="38">
        <f t="shared" si="75"/>
        <v>196.39256738060161</v>
      </c>
      <c r="AP103" s="146">
        <f t="shared" si="73"/>
        <v>0.85</v>
      </c>
      <c r="AQ103" s="49"/>
      <c r="AR103" s="19"/>
      <c r="AS103" s="19"/>
      <c r="AT103" s="19"/>
      <c r="AU103" s="19"/>
      <c r="AV103" s="19"/>
      <c r="AW103" s="231"/>
      <c r="AX103" s="19"/>
      <c r="AY103" s="19"/>
      <c r="AZ103" s="19"/>
      <c r="BA103" s="111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20"/>
      <c r="BW103" s="119">
        <f>Nøgletal!J173</f>
        <v>196.39256738060161</v>
      </c>
      <c r="BX103" s="119"/>
      <c r="BY103" s="127">
        <f t="shared" ref="BY103:BY111" si="77">(AJ103+BW103)*-1</f>
        <v>34.657511890694394</v>
      </c>
      <c r="BZ103" s="125">
        <v>0</v>
      </c>
      <c r="CA103" s="231"/>
      <c r="CB103" s="19"/>
      <c r="CC103" s="231"/>
      <c r="CD103" s="231"/>
    </row>
    <row r="104" spans="1:82" x14ac:dyDescent="0.25">
      <c r="A104" s="231"/>
      <c r="B104" s="116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45">
        <f t="shared" si="74"/>
        <v>-22</v>
      </c>
      <c r="AJ104" s="156">
        <f>AO104/Nøgletal!K396*-1</f>
        <v>-22</v>
      </c>
      <c r="AK104" s="101" t="s">
        <v>292</v>
      </c>
      <c r="AL104" s="28" t="s">
        <v>293</v>
      </c>
      <c r="AM104" s="39" t="s">
        <v>287</v>
      </c>
      <c r="AN104" s="264"/>
      <c r="AO104" s="38">
        <f t="shared" si="75"/>
        <v>19.8</v>
      </c>
      <c r="AP104" s="146">
        <f t="shared" si="73"/>
        <v>0.9</v>
      </c>
      <c r="AQ104" s="49"/>
      <c r="AR104" s="19"/>
      <c r="AS104" s="19"/>
      <c r="AT104" s="19"/>
      <c r="AU104" s="19"/>
      <c r="AV104" s="19"/>
      <c r="AW104" s="231"/>
      <c r="AX104" s="19"/>
      <c r="AY104" s="19"/>
      <c r="AZ104" s="19"/>
      <c r="BA104" s="111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20"/>
      <c r="BW104" s="119">
        <f>Nøgletal!J176</f>
        <v>19.8</v>
      </c>
      <c r="BX104" s="119"/>
      <c r="BY104" s="127">
        <f t="shared" si="77"/>
        <v>2.1999999999999993</v>
      </c>
      <c r="BZ104" s="125">
        <v>0</v>
      </c>
      <c r="CA104" s="231"/>
      <c r="CB104" s="19"/>
      <c r="CC104" s="231"/>
      <c r="CD104" s="231"/>
    </row>
    <row r="105" spans="1:82" x14ac:dyDescent="0.25">
      <c r="A105" s="231"/>
      <c r="B105" s="116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45">
        <f t="shared" si="74"/>
        <v>-292.23899999999998</v>
      </c>
      <c r="AJ105" s="156">
        <f>AO105/IF(Nøgletal!K397&gt;0,Nøgletal!K397,1)*-1</f>
        <v>-292.23899999999998</v>
      </c>
      <c r="AK105" s="101" t="s">
        <v>294</v>
      </c>
      <c r="AL105" s="28" t="s">
        <v>295</v>
      </c>
      <c r="AM105" s="39" t="s">
        <v>287</v>
      </c>
      <c r="AN105" s="264"/>
      <c r="AO105" s="38">
        <f t="shared" si="75"/>
        <v>263.01509999999996</v>
      </c>
      <c r="AP105" s="146">
        <f t="shared" si="73"/>
        <v>0.89999999999999991</v>
      </c>
      <c r="AQ105" s="4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11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20"/>
      <c r="BW105" s="119">
        <f>Nøgletal!J177</f>
        <v>263.01509999999996</v>
      </c>
      <c r="BX105" s="119"/>
      <c r="BY105" s="127">
        <f t="shared" si="77"/>
        <v>29.223900000000015</v>
      </c>
      <c r="BZ105" s="125">
        <v>0</v>
      </c>
      <c r="CA105" s="231"/>
      <c r="CB105" s="19"/>
      <c r="CC105" s="231"/>
      <c r="CD105" s="231"/>
    </row>
    <row r="106" spans="1:82" x14ac:dyDescent="0.25">
      <c r="A106" s="231"/>
      <c r="B106" s="116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45">
        <f t="shared" si="74"/>
        <v>0</v>
      </c>
      <c r="AJ106" s="156">
        <f>'2025'!AO106/Nøgletal!K398*-1</f>
        <v>0</v>
      </c>
      <c r="AK106" s="101" t="s">
        <v>296</v>
      </c>
      <c r="AL106" s="28" t="s">
        <v>604</v>
      </c>
      <c r="AM106" s="39" t="s">
        <v>287</v>
      </c>
      <c r="AN106" s="264"/>
      <c r="AO106" s="38">
        <f t="shared" si="75"/>
        <v>0</v>
      </c>
      <c r="AP106" s="146">
        <f t="shared" si="73"/>
        <v>0</v>
      </c>
      <c r="AQ106" s="4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11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20"/>
      <c r="BW106" s="119">
        <f>Nøgletal!J178</f>
        <v>0</v>
      </c>
      <c r="BX106" s="119"/>
      <c r="BY106" s="127">
        <f t="shared" si="77"/>
        <v>0</v>
      </c>
      <c r="BZ106" s="125">
        <v>0</v>
      </c>
      <c r="CA106" s="231"/>
      <c r="CB106" s="19"/>
      <c r="CC106" s="231"/>
      <c r="CD106" s="231"/>
    </row>
    <row r="107" spans="1:82" x14ac:dyDescent="0.25">
      <c r="A107" s="231"/>
      <c r="B107" s="1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45">
        <f t="shared" si="74"/>
        <v>-4.26</v>
      </c>
      <c r="AJ107" s="156">
        <f>AO107/Nøgletal!K389*-1</f>
        <v>-4.26</v>
      </c>
      <c r="AK107" s="101" t="s">
        <v>298</v>
      </c>
      <c r="AL107" s="28" t="s">
        <v>299</v>
      </c>
      <c r="AM107" s="39" t="s">
        <v>287</v>
      </c>
      <c r="AN107" s="264"/>
      <c r="AO107" s="38">
        <f t="shared" si="75"/>
        <v>1.6188</v>
      </c>
      <c r="AP107" s="146">
        <f t="shared" si="73"/>
        <v>0.38</v>
      </c>
      <c r="AQ107" s="4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11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"/>
      <c r="BU107" s="19"/>
      <c r="BV107" s="120"/>
      <c r="BW107" s="119">
        <f>Nøgletal!J34+Nøgletal!J62+Nøgletal!J90+Nøgletal!J118+Nøgletal!J146+Nøgletal!J208+Nøgletal!J237</f>
        <v>1.6188</v>
      </c>
      <c r="BX107" s="119"/>
      <c r="BY107" s="127">
        <f t="shared" si="77"/>
        <v>2.6411999999999995</v>
      </c>
      <c r="BZ107" s="125">
        <v>0</v>
      </c>
      <c r="CA107" s="231"/>
      <c r="CB107" s="19"/>
      <c r="CC107" s="231"/>
      <c r="CD107" s="231"/>
    </row>
    <row r="108" spans="1:82" x14ac:dyDescent="0.25">
      <c r="A108" s="231"/>
      <c r="B108" s="1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45">
        <f t="shared" si="74"/>
        <v>-12.78</v>
      </c>
      <c r="AJ108" s="156">
        <f>AO108/Nøgletal!K389*-1</f>
        <v>-12.78</v>
      </c>
      <c r="AK108" s="103" t="s">
        <v>497</v>
      </c>
      <c r="AL108" s="28" t="s">
        <v>300</v>
      </c>
      <c r="AM108" s="39" t="s">
        <v>287</v>
      </c>
      <c r="AN108" s="264"/>
      <c r="AO108" s="38">
        <f t="shared" si="75"/>
        <v>4.8563999999999998</v>
      </c>
      <c r="AP108" s="146">
        <f t="shared" si="73"/>
        <v>0.38</v>
      </c>
      <c r="AQ108" s="4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11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"/>
      <c r="BU108" s="19"/>
      <c r="BV108" s="120"/>
      <c r="BW108" s="119">
        <f>Nøgletal!J175</f>
        <v>4.8563999999999998</v>
      </c>
      <c r="BX108" s="119"/>
      <c r="BY108" s="127">
        <f t="shared" si="77"/>
        <v>7.9235999999999995</v>
      </c>
      <c r="BZ108" s="125">
        <v>0</v>
      </c>
      <c r="CA108" s="231"/>
      <c r="CB108" s="19"/>
      <c r="CC108" s="231"/>
      <c r="CD108" s="231"/>
    </row>
    <row r="109" spans="1:82" x14ac:dyDescent="0.25">
      <c r="A109" s="231"/>
      <c r="B109" s="1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45">
        <f t="shared" si="74"/>
        <v>-145.10808</v>
      </c>
      <c r="AJ109" s="156">
        <f>AO109*-1</f>
        <v>-145.10808</v>
      </c>
      <c r="AK109" s="103" t="s">
        <v>227</v>
      </c>
      <c r="AL109" s="28" t="s">
        <v>301</v>
      </c>
      <c r="AM109" s="39" t="s">
        <v>287</v>
      </c>
      <c r="AN109" s="264"/>
      <c r="AO109" s="38">
        <f t="shared" si="75"/>
        <v>145.10808</v>
      </c>
      <c r="AP109" s="146">
        <f t="shared" si="73"/>
        <v>1</v>
      </c>
      <c r="AQ109" s="4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11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"/>
      <c r="BU109" s="19"/>
      <c r="BV109" s="120"/>
      <c r="BW109" s="119">
        <f>Nøgletal!J201</f>
        <v>145.10808</v>
      </c>
      <c r="BX109" s="119"/>
      <c r="BY109" s="127">
        <f t="shared" si="77"/>
        <v>0</v>
      </c>
      <c r="BZ109" s="125">
        <v>0</v>
      </c>
      <c r="CA109" s="231"/>
      <c r="CB109" s="19"/>
      <c r="CC109" s="231"/>
      <c r="CD109" s="231"/>
    </row>
    <row r="110" spans="1:82" x14ac:dyDescent="0.25">
      <c r="A110" s="231"/>
      <c r="B110" s="116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45">
        <f>AJ110</f>
        <v>-36.1</v>
      </c>
      <c r="AJ110" s="156">
        <f>AO110/Nøgletal!J406*-1</f>
        <v>-36.1</v>
      </c>
      <c r="AK110" s="101" t="s">
        <v>285</v>
      </c>
      <c r="AL110" s="150" t="s">
        <v>286</v>
      </c>
      <c r="AM110" s="39" t="s">
        <v>287</v>
      </c>
      <c r="AN110" s="264"/>
      <c r="AO110" s="38">
        <f>BW110</f>
        <v>11.913</v>
      </c>
      <c r="AP110" s="146">
        <f t="shared" si="73"/>
        <v>0.33</v>
      </c>
      <c r="AQ110" s="4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11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231"/>
      <c r="BW110" s="78">
        <f>Nøgletal!J236</f>
        <v>11.913</v>
      </c>
      <c r="BX110" s="119"/>
      <c r="BY110" s="127">
        <f t="shared" si="77"/>
        <v>24.187000000000001</v>
      </c>
      <c r="BZ110" s="125">
        <v>0</v>
      </c>
      <c r="CA110" s="231"/>
      <c r="CB110" s="151"/>
      <c r="CC110" s="231"/>
      <c r="CD110" s="231"/>
    </row>
    <row r="111" spans="1:82" x14ac:dyDescent="0.25">
      <c r="A111" s="231"/>
      <c r="B111" s="1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45">
        <f t="shared" si="74"/>
        <v>0</v>
      </c>
      <c r="AJ111" s="156">
        <f>AO111*-1</f>
        <v>0</v>
      </c>
      <c r="AK111" s="103" t="s">
        <v>225</v>
      </c>
      <c r="AL111" s="28" t="s">
        <v>302</v>
      </c>
      <c r="AM111" s="39" t="s">
        <v>287</v>
      </c>
      <c r="AN111" s="264"/>
      <c r="AO111" s="38">
        <f t="shared" si="75"/>
        <v>0</v>
      </c>
      <c r="AP111" s="146">
        <f t="shared" si="73"/>
        <v>0</v>
      </c>
      <c r="AQ111" s="4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11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"/>
      <c r="BU111" s="19"/>
      <c r="BV111" s="120"/>
      <c r="BW111" s="119">
        <f>Nøgletal!J202</f>
        <v>0</v>
      </c>
      <c r="BX111" s="119"/>
      <c r="BY111" s="127">
        <f t="shared" si="77"/>
        <v>0</v>
      </c>
      <c r="BZ111" s="125">
        <v>0</v>
      </c>
      <c r="CA111" s="231"/>
      <c r="CB111" s="19"/>
      <c r="CC111" s="231"/>
      <c r="CD111" s="231"/>
    </row>
    <row r="112" spans="1:82" x14ac:dyDescent="0.25">
      <c r="A112" s="231"/>
      <c r="B112" s="1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45">
        <f t="shared" si="74"/>
        <v>-762.59197004454359</v>
      </c>
      <c r="AJ112" s="157">
        <f>SUM(AJ113:AJ116)</f>
        <v>-762.59197004454359</v>
      </c>
      <c r="AK112" s="96" t="s">
        <v>303</v>
      </c>
      <c r="AL112" s="28" t="s">
        <v>304</v>
      </c>
      <c r="AM112" s="39" t="s">
        <v>275</v>
      </c>
      <c r="AN112" s="264">
        <f>'Størrelse på strømme'!E59</f>
        <v>18.009582031902347</v>
      </c>
      <c r="AO112" s="38">
        <f t="shared" si="75"/>
        <v>643.6625851177555</v>
      </c>
      <c r="AP112" s="146">
        <f t="shared" si="73"/>
        <v>0.84404584679820149</v>
      </c>
      <c r="AQ112" s="4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11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"/>
      <c r="BU112" s="19"/>
      <c r="BV112" s="120"/>
      <c r="BW112" s="108">
        <f>SUM(BW113:BW116)</f>
        <v>643.6625851177555</v>
      </c>
      <c r="BX112" s="108"/>
      <c r="BY112" s="129">
        <f>SUM(BY113:BY116)</f>
        <v>118.92938492678805</v>
      </c>
      <c r="BZ112" s="129">
        <f>SUM(BZ113:BZ116)</f>
        <v>0</v>
      </c>
      <c r="CA112" s="231"/>
      <c r="CB112" s="231"/>
      <c r="CC112" s="231"/>
      <c r="CD112" s="231"/>
    </row>
    <row r="113" spans="1:82" x14ac:dyDescent="0.25">
      <c r="A113" s="231"/>
      <c r="B113" s="1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45">
        <f t="shared" si="74"/>
        <v>-174.26385152980777</v>
      </c>
      <c r="AJ113" s="157">
        <f>AO113/Nøgletal!J385*-1</f>
        <v>-174.26385152980777</v>
      </c>
      <c r="AK113" s="97" t="s">
        <v>305</v>
      </c>
      <c r="AL113" s="28" t="s">
        <v>306</v>
      </c>
      <c r="AM113" s="39" t="s">
        <v>304</v>
      </c>
      <c r="AN113" s="264"/>
      <c r="AO113" s="38">
        <f t="shared" si="75"/>
        <v>87.131925764903883</v>
      </c>
      <c r="AP113" s="146">
        <f t="shared" si="73"/>
        <v>0.5</v>
      </c>
      <c r="AQ113" s="4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11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2"/>
      <c r="BU113" s="19"/>
      <c r="BV113" s="120"/>
      <c r="BW113" s="119">
        <f>Nøgletal!J31+Nøgletal!J59+Nøgletal!J87+Nøgletal!J115+Nøgletal!J143+Nøgletal!J171+Nøgletal!J205+Nøgletal!J233</f>
        <v>87.131925764903883</v>
      </c>
      <c r="BX113" s="119"/>
      <c r="BY113" s="127">
        <f>(AJ113+BW113)*-1</f>
        <v>87.131925764903883</v>
      </c>
      <c r="BZ113" s="125">
        <v>0</v>
      </c>
      <c r="CA113" s="231"/>
      <c r="CB113" s="231"/>
      <c r="CC113" s="231"/>
      <c r="CD113" s="231"/>
    </row>
    <row r="114" spans="1:82" x14ac:dyDescent="0.25">
      <c r="A114" s="231"/>
      <c r="B114" s="1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45">
        <f t="shared" si="74"/>
        <v>-44.244894172091762</v>
      </c>
      <c r="AJ114" s="157">
        <f>AO114/Nøgletal!J382*-1</f>
        <v>-44.244894172091762</v>
      </c>
      <c r="AK114" s="97" t="s">
        <v>307</v>
      </c>
      <c r="AL114" s="28" t="s">
        <v>308</v>
      </c>
      <c r="AM114" s="39" t="s">
        <v>304</v>
      </c>
      <c r="AN114" s="264"/>
      <c r="AO114" s="38">
        <f t="shared" si="75"/>
        <v>19.467753435720375</v>
      </c>
      <c r="AP114" s="146">
        <f t="shared" si="73"/>
        <v>0.44</v>
      </c>
      <c r="AQ114" s="4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11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2"/>
      <c r="BU114" s="19"/>
      <c r="BV114" s="120"/>
      <c r="BW114" s="119">
        <f>Nøgletal!J30</f>
        <v>19.467753435720375</v>
      </c>
      <c r="BX114" s="119"/>
      <c r="BY114" s="127">
        <f>(AJ114+BW114)*-1</f>
        <v>24.777140736371386</v>
      </c>
      <c r="BZ114" s="125">
        <v>0</v>
      </c>
      <c r="CA114" s="231"/>
      <c r="CB114" s="231"/>
      <c r="CC114" s="231"/>
      <c r="CD114" s="231"/>
    </row>
    <row r="115" spans="1:82" x14ac:dyDescent="0.25">
      <c r="A115" s="231"/>
      <c r="B115" s="1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45">
        <f t="shared" si="74"/>
        <v>-114.75717727059053</v>
      </c>
      <c r="AJ115" s="157">
        <f>AO115/Nøgletal!J386*-1</f>
        <v>-114.75717727059053</v>
      </c>
      <c r="AK115" s="97" t="s">
        <v>309</v>
      </c>
      <c r="AL115" s="28" t="s">
        <v>310</v>
      </c>
      <c r="AM115" s="39" t="s">
        <v>304</v>
      </c>
      <c r="AN115" s="264"/>
      <c r="AO115" s="38">
        <f t="shared" si="75"/>
        <v>172.13576590588579</v>
      </c>
      <c r="AP115" s="146">
        <f t="shared" si="73"/>
        <v>1.5</v>
      </c>
      <c r="AQ115" s="4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11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"/>
      <c r="BU115" s="19"/>
      <c r="BV115" s="120"/>
      <c r="BW115" s="119">
        <f>Nøgletal!J32+Nøgletal!J60+Nøgletal!J88+Nøgletal!J116+Nøgletal!J144+Nøgletal!J206+Nøgletal!J234</f>
        <v>172.13576590588579</v>
      </c>
      <c r="BX115" s="119"/>
      <c r="BY115" s="127">
        <f>(AJ115+BW115)*-1</f>
        <v>-57.378588635295259</v>
      </c>
      <c r="BZ115" s="125">
        <v>0</v>
      </c>
      <c r="CA115" s="231"/>
      <c r="CB115" s="231"/>
      <c r="CC115" s="231"/>
      <c r="CD115" s="231"/>
    </row>
    <row r="116" spans="1:82" x14ac:dyDescent="0.25">
      <c r="A116" s="231"/>
      <c r="B116" s="1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45">
        <f t="shared" si="74"/>
        <v>-429.32604707205348</v>
      </c>
      <c r="AJ116" s="157">
        <f>AO116/Nøgletal!J387*-1</f>
        <v>-429.32604707205348</v>
      </c>
      <c r="AK116" s="97" t="s">
        <v>290</v>
      </c>
      <c r="AL116" s="28" t="s">
        <v>311</v>
      </c>
      <c r="AM116" s="39" t="s">
        <v>304</v>
      </c>
      <c r="AN116" s="264"/>
      <c r="AO116" s="38">
        <f t="shared" si="75"/>
        <v>364.92714001124546</v>
      </c>
      <c r="AP116" s="146">
        <f t="shared" si="73"/>
        <v>0.85</v>
      </c>
      <c r="AQ116" s="4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11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"/>
      <c r="BU116" s="19"/>
      <c r="BV116" s="120"/>
      <c r="BW116" s="119">
        <f>Nøgletal!J33+Nøgletal!J61+Nøgletal!J89+Nøgletal!J117+Nøgletal!J145+Nøgletal!J207+Nøgletal!J235</f>
        <v>364.92714001124546</v>
      </c>
      <c r="BX116" s="119"/>
      <c r="BY116" s="127">
        <f>(AJ116+BW116)*-1</f>
        <v>64.398907060808028</v>
      </c>
      <c r="BZ116" s="125">
        <v>0</v>
      </c>
      <c r="CA116" s="231"/>
      <c r="CB116" s="231"/>
      <c r="CC116" s="231"/>
      <c r="CD116" s="231"/>
    </row>
    <row r="117" spans="1:82" x14ac:dyDescent="0.25">
      <c r="A117" s="231"/>
      <c r="B117" s="1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145">
        <f t="shared" si="74"/>
        <v>-2137.7530876623705</v>
      </c>
      <c r="AJ117" s="157">
        <f>SUM(AJ118:AJ127)</f>
        <v>-2137.7530876623705</v>
      </c>
      <c r="AK117" s="96" t="s">
        <v>312</v>
      </c>
      <c r="AL117" s="28" t="s">
        <v>313</v>
      </c>
      <c r="AM117" s="39" t="s">
        <v>275</v>
      </c>
      <c r="AN117" s="264">
        <f>'Størrelse på strømme'!E61</f>
        <v>150.3006795482631</v>
      </c>
      <c r="AO117" s="38">
        <f t="shared" si="75"/>
        <v>2036.8563816275021</v>
      </c>
      <c r="AP117" s="146">
        <f t="shared" si="73"/>
        <v>0.9528024510327342</v>
      </c>
      <c r="AQ117" s="4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11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2"/>
      <c r="BU117" s="19"/>
      <c r="BV117" s="120"/>
      <c r="BW117" s="108">
        <f>SUM(BW118:BW127)</f>
        <v>2036.8563816275021</v>
      </c>
      <c r="BX117" s="108"/>
      <c r="BY117" s="129">
        <f>SUM(BY118:BY127)</f>
        <v>100.89670603486809</v>
      </c>
      <c r="BZ117" s="129">
        <f>SUM(BZ118:BZ127)</f>
        <v>0</v>
      </c>
      <c r="CA117" s="231"/>
      <c r="CB117" s="231"/>
      <c r="CC117" s="231"/>
      <c r="CD117" s="231"/>
    </row>
    <row r="118" spans="1:82" x14ac:dyDescent="0.25">
      <c r="A118" s="231"/>
      <c r="B118" s="1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45">
        <f t="shared" si="74"/>
        <v>-5.4170603486809892</v>
      </c>
      <c r="AJ118" s="157">
        <f>AO118/Nøgletal!J383*-1</f>
        <v>-5.4170603486809892</v>
      </c>
      <c r="AK118" s="107" t="s">
        <v>314</v>
      </c>
      <c r="AL118" s="28" t="s">
        <v>315</v>
      </c>
      <c r="AM118" s="39" t="s">
        <v>313</v>
      </c>
      <c r="AN118" s="264"/>
      <c r="AO118" s="38">
        <f t="shared" si="75"/>
        <v>4.8753543138128901</v>
      </c>
      <c r="AP118" s="146">
        <f t="shared" si="73"/>
        <v>0.9</v>
      </c>
      <c r="AQ118" s="4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11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2"/>
      <c r="BU118" s="19"/>
      <c r="BV118" s="120"/>
      <c r="BW118" s="119">
        <f>Nøgletal!J49*Nøgletal!J38*Nøgletal!J37+Nøgletal!J65*Nøgletal!J66*Nøgletal!J77+Nøgletal!J93*Nøgletal!J94*Nøgletal!J105+Nøgletal!J121*Nøgletal!J122*Nøgletal!J133+Nøgletal!J149*Nøgletal!J150*Nøgletal!J161+Nøgletal!J181*Nøgletal!J182*Nøgletal!J193+Nøgletal!J211*Nøgletal!J212*Nøgletal!J223+Nøgletal!J240*Nøgletal!J241*Nøgletal!J252</f>
        <v>4.8753543138128901</v>
      </c>
      <c r="BX118" s="119"/>
      <c r="BY118" s="127">
        <f t="shared" ref="BY118:BY127" si="78">(AJ118+BW118)*-1</f>
        <v>0.5417060348680991</v>
      </c>
      <c r="BZ118" s="125">
        <v>0</v>
      </c>
      <c r="CA118" s="231"/>
      <c r="CB118" s="231"/>
      <c r="CC118" s="231"/>
      <c r="CD118" s="231"/>
    </row>
    <row r="119" spans="1:82" x14ac:dyDescent="0.25">
      <c r="A119" s="231"/>
      <c r="B119" s="1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145">
        <f t="shared" si="74"/>
        <v>-22.983813193689329</v>
      </c>
      <c r="AJ119" s="157">
        <f>AO119*Nøgletal!J384*-1</f>
        <v>-22.983813193689329</v>
      </c>
      <c r="AK119" s="107" t="s">
        <v>316</v>
      </c>
      <c r="AL119" s="28" t="s">
        <v>317</v>
      </c>
      <c r="AM119" s="39" t="s">
        <v>313</v>
      </c>
      <c r="AN119" s="264"/>
      <c r="AO119" s="38">
        <f t="shared" si="75"/>
        <v>22.983813193689329</v>
      </c>
      <c r="AP119" s="146">
        <f t="shared" si="73"/>
        <v>1</v>
      </c>
      <c r="AQ119" s="4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11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2"/>
      <c r="BU119" s="19"/>
      <c r="BV119" s="120"/>
      <c r="BW119" s="119">
        <f>Nøgletal!J37*Nøgletal!J38*Nøgletal!J48+Nøgletal!J65*Nøgletal!J66*Nøgletal!J76+Nøgletal!J93*Nøgletal!J94*Nøgletal!J104+Nøgletal!J121*Nøgletal!J122*Nøgletal!J132+Nøgletal!J149*Nøgletal!J150*Nøgletal!J160+Nøgletal!J181*Nøgletal!J182*Nøgletal!J192+Nøgletal!J211*Nøgletal!J212*Nøgletal!J222+Nøgletal!J240*Nøgletal!J241*Nøgletal!J251</f>
        <v>22.983813193689329</v>
      </c>
      <c r="BX119" s="119"/>
      <c r="BY119" s="127">
        <f t="shared" si="78"/>
        <v>0</v>
      </c>
      <c r="BZ119" s="125">
        <v>0</v>
      </c>
      <c r="CA119" s="231"/>
      <c r="CB119" s="231"/>
      <c r="CC119" s="231"/>
      <c r="CD119" s="231"/>
    </row>
    <row r="120" spans="1:82" x14ac:dyDescent="0.25">
      <c r="A120" s="231"/>
      <c r="B120" s="1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145">
        <f t="shared" si="74"/>
        <v>-1.401</v>
      </c>
      <c r="AJ120" s="157">
        <f>AO120*-1</f>
        <v>-1.401</v>
      </c>
      <c r="AK120" s="107" t="s">
        <v>318</v>
      </c>
      <c r="AL120" s="28" t="s">
        <v>319</v>
      </c>
      <c r="AM120" s="39" t="s">
        <v>313</v>
      </c>
      <c r="AN120" s="264"/>
      <c r="AO120" s="38">
        <f t="shared" si="75"/>
        <v>1.401</v>
      </c>
      <c r="AP120" s="146">
        <f t="shared" si="73"/>
        <v>1</v>
      </c>
      <c r="AQ120" s="4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11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"/>
      <c r="BU120" s="19"/>
      <c r="BV120" s="120"/>
      <c r="BW120" s="119">
        <f>Nøgletal!J37*Nøgletal!J38*Nøgletal!J41+Nøgletal!J65*Nøgletal!J66*Nøgletal!J69+Nøgletal!J93*Nøgletal!J94*Nøgletal!J97+Nøgletal!J121*Nøgletal!J122*Nøgletal!J125+Nøgletal!J149*Nøgletal!J150*Nøgletal!J153+Nøgletal!J181*Nøgletal!J182*Nøgletal!J185+Nøgletal!J211*Nøgletal!J212*Nøgletal!J215+Nøgletal!J240*Nøgletal!J241*Nøgletal!J244</f>
        <v>1.401</v>
      </c>
      <c r="BX120" s="119"/>
      <c r="BY120" s="127">
        <f t="shared" si="78"/>
        <v>0</v>
      </c>
      <c r="BZ120" s="125">
        <v>0</v>
      </c>
      <c r="CA120" s="231"/>
      <c r="CB120" s="231"/>
      <c r="CC120" s="231"/>
      <c r="CD120" s="231"/>
    </row>
    <row r="121" spans="1:82" x14ac:dyDescent="0.25">
      <c r="A121" s="231"/>
      <c r="B121" s="1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145">
        <f t="shared" si="74"/>
        <v>-99.999999999999972</v>
      </c>
      <c r="AJ121" s="157">
        <f>AO121/Nøgletal!K390*-1</f>
        <v>-99.999999999999972</v>
      </c>
      <c r="AK121" s="107" t="s">
        <v>320</v>
      </c>
      <c r="AL121" s="28" t="s">
        <v>321</v>
      </c>
      <c r="AM121" s="39" t="s">
        <v>313</v>
      </c>
      <c r="AN121" s="264"/>
      <c r="AO121" s="38">
        <f t="shared" si="75"/>
        <v>79.999999999999986</v>
      </c>
      <c r="AP121" s="146">
        <f t="shared" si="73"/>
        <v>0.8</v>
      </c>
      <c r="AQ121" s="4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11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"/>
      <c r="BU121" s="19"/>
      <c r="BV121" s="120"/>
      <c r="BW121" s="119">
        <f>Nøgletal!J$37*Nøgletal!J$38*Nøgletal!J42+Nøgletal!J$65*Nøgletal!J$66*Nøgletal!J70+Nøgletal!J$93*Nøgletal!J$94*Nøgletal!J98+Nøgletal!J$121*Nøgletal!J$122*Nøgletal!J126+Nøgletal!J$149*Nøgletal!J$150*Nøgletal!J154+Nøgletal!J$181*Nøgletal!J$182*Nøgletal!J186+Nøgletal!J$211*Nøgletal!J$212*Nøgletal!J216+Nøgletal!J$240*Nøgletal!J$241*Nøgletal!J245</f>
        <v>79.999999999999986</v>
      </c>
      <c r="BX121" s="119"/>
      <c r="BY121" s="127">
        <f t="shared" si="78"/>
        <v>19.999999999999986</v>
      </c>
      <c r="BZ121" s="125">
        <v>0</v>
      </c>
      <c r="CA121" s="231"/>
      <c r="CB121" s="231"/>
      <c r="CC121" s="231"/>
      <c r="CD121" s="231"/>
    </row>
    <row r="122" spans="1:82" x14ac:dyDescent="0.25">
      <c r="A122" s="231"/>
      <c r="B122" s="1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145">
        <f t="shared" si="74"/>
        <v>-0.7</v>
      </c>
      <c r="AJ122" s="157">
        <f>AO122/Nøgletal!K391*-1</f>
        <v>-0.7</v>
      </c>
      <c r="AK122" s="107" t="s">
        <v>322</v>
      </c>
      <c r="AL122" s="28" t="s">
        <v>323</v>
      </c>
      <c r="AM122" s="39" t="s">
        <v>313</v>
      </c>
      <c r="AN122" s="264"/>
      <c r="AO122" s="38">
        <f t="shared" si="75"/>
        <v>0.59499999999999997</v>
      </c>
      <c r="AP122" s="146">
        <f t="shared" si="73"/>
        <v>0.85</v>
      </c>
      <c r="AQ122" s="4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11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2"/>
      <c r="BU122" s="19"/>
      <c r="BV122" s="120"/>
      <c r="BW122" s="119">
        <f>Nøgletal!J$37*Nøgletal!J$38*Nøgletal!J43+Nøgletal!J$65*Nøgletal!J$66*Nøgletal!J71+Nøgletal!J$93*Nøgletal!J$94*Nøgletal!J99+Nøgletal!J$121*Nøgletal!J$122*Nøgletal!J127+Nøgletal!J$149*Nøgletal!J$150*Nøgletal!J155+Nøgletal!J$181*Nøgletal!J$182*Nøgletal!J187+Nøgletal!J$211*Nøgletal!J$212*Nøgletal!J217+Nøgletal!J$240*Nøgletal!J$241*Nøgletal!J246</f>
        <v>0.59499999999999997</v>
      </c>
      <c r="BX122" s="119"/>
      <c r="BY122" s="127">
        <f t="shared" si="78"/>
        <v>0.10499999999999998</v>
      </c>
      <c r="BZ122" s="125">
        <v>0</v>
      </c>
      <c r="CA122" s="231"/>
      <c r="CB122" s="231"/>
      <c r="CC122" s="231"/>
      <c r="CD122" s="231"/>
    </row>
    <row r="123" spans="1:82" x14ac:dyDescent="0.25">
      <c r="A123" s="231"/>
      <c r="B123" s="1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145">
        <f t="shared" si="74"/>
        <v>-62</v>
      </c>
      <c r="AJ123" s="157">
        <f>AO123/Nøgletal!K392*-1</f>
        <v>-62</v>
      </c>
      <c r="AK123" s="107" t="s">
        <v>324</v>
      </c>
      <c r="AL123" s="28" t="s">
        <v>325</v>
      </c>
      <c r="AM123" s="39" t="s">
        <v>313</v>
      </c>
      <c r="AN123" s="264"/>
      <c r="AO123" s="38">
        <f t="shared" si="75"/>
        <v>46.5</v>
      </c>
      <c r="AP123" s="146">
        <f t="shared" si="73"/>
        <v>0.75</v>
      </c>
      <c r="AQ123" s="4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11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2"/>
      <c r="BU123" s="19"/>
      <c r="BV123" s="120"/>
      <c r="BW123" s="119">
        <f>Nøgletal!J$37*Nøgletal!J$38*Nøgletal!J44+Nøgletal!J$65*Nøgletal!J$66*Nøgletal!J72+Nøgletal!J$93*Nøgletal!J$94*Nøgletal!J100+Nøgletal!J$121*Nøgletal!J$122*Nøgletal!J128+Nøgletal!J$149*Nøgletal!J$150*Nøgletal!J156+Nøgletal!J$181*Nøgletal!J$182*Nøgletal!J188+Nøgletal!J$211*Nøgletal!J$212*Nøgletal!J218+Nøgletal!J$240*Nøgletal!J$241*Nøgletal!J247</f>
        <v>46.5</v>
      </c>
      <c r="BX123" s="119"/>
      <c r="BY123" s="127">
        <f t="shared" si="78"/>
        <v>15.5</v>
      </c>
      <c r="BZ123" s="125">
        <v>0</v>
      </c>
      <c r="CA123" s="231"/>
      <c r="CB123" s="231"/>
      <c r="CC123" s="231"/>
      <c r="CD123" s="231"/>
    </row>
    <row r="124" spans="1:82" x14ac:dyDescent="0.25">
      <c r="A124" s="231"/>
      <c r="B124" s="1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45">
        <f t="shared" si="74"/>
        <v>-158</v>
      </c>
      <c r="AJ124" s="157">
        <f>AO124/Nøgletal!K393*-1</f>
        <v>-158</v>
      </c>
      <c r="AK124" s="107" t="s">
        <v>326</v>
      </c>
      <c r="AL124" s="28" t="s">
        <v>327</v>
      </c>
      <c r="AM124" s="39" t="s">
        <v>313</v>
      </c>
      <c r="AN124" s="264"/>
      <c r="AO124" s="38">
        <f t="shared" si="75"/>
        <v>102.7</v>
      </c>
      <c r="AP124" s="146">
        <f t="shared" si="73"/>
        <v>0.65</v>
      </c>
      <c r="AQ124" s="4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11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2"/>
      <c r="BU124" s="19"/>
      <c r="BV124" s="120"/>
      <c r="BW124" s="119">
        <f>Nøgletal!J$37*Nøgletal!J$38*Nøgletal!J45+Nøgletal!J$65*Nøgletal!J$66*Nøgletal!J73+Nøgletal!J$93*Nøgletal!J$94*Nøgletal!J101+Nøgletal!J$121*Nøgletal!J$122*Nøgletal!J129+Nøgletal!J$149*Nøgletal!J$150*Nøgletal!J157+Nøgletal!J$181*Nøgletal!J$182*Nøgletal!J189+Nøgletal!J$211*Nøgletal!J$212*Nøgletal!J219+Nøgletal!J$240*Nøgletal!J$241*Nøgletal!J248</f>
        <v>102.7</v>
      </c>
      <c r="BX124" s="119"/>
      <c r="BY124" s="127">
        <f t="shared" si="78"/>
        <v>55.3</v>
      </c>
      <c r="BZ124" s="125">
        <v>0</v>
      </c>
      <c r="CA124" s="231"/>
      <c r="CB124" s="231"/>
      <c r="CC124" s="231"/>
      <c r="CD124" s="231"/>
    </row>
    <row r="125" spans="1:82" x14ac:dyDescent="0.25">
      <c r="A125" s="231"/>
      <c r="B125" s="1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45">
        <f t="shared" si="74"/>
        <v>-27</v>
      </c>
      <c r="AJ125" s="157">
        <f>AO125/Nøgletal!K394*-1</f>
        <v>-27</v>
      </c>
      <c r="AK125" s="107" t="s">
        <v>328</v>
      </c>
      <c r="AL125" s="28" t="s">
        <v>329</v>
      </c>
      <c r="AM125" s="39" t="s">
        <v>313</v>
      </c>
      <c r="AN125" s="265"/>
      <c r="AO125" s="38">
        <f t="shared" si="75"/>
        <v>17.55</v>
      </c>
      <c r="AP125" s="146">
        <f t="shared" si="73"/>
        <v>0.65</v>
      </c>
      <c r="AQ125" s="4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11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2"/>
      <c r="BU125" s="19"/>
      <c r="BV125" s="120"/>
      <c r="BW125" s="119">
        <f>Nøgletal!J$37*Nøgletal!J$38*Nøgletal!J46+Nøgletal!J$65*Nøgletal!J$66*Nøgletal!J74+Nøgletal!J$93*Nøgletal!J$94*Nøgletal!J102+Nøgletal!J$121*Nøgletal!J$122*Nøgletal!J130+Nøgletal!J$149*Nøgletal!J$150*Nøgletal!J158+Nøgletal!J$181*Nøgletal!J$182*Nøgletal!J190+Nøgletal!J$211*Nøgletal!J$212*Nøgletal!J220+Nøgletal!J$240*Nøgletal!J$241*Nøgletal!J249</f>
        <v>17.55</v>
      </c>
      <c r="BX125" s="119"/>
      <c r="BY125" s="127">
        <f t="shared" si="78"/>
        <v>9.4499999999999993</v>
      </c>
      <c r="BZ125" s="125">
        <v>0</v>
      </c>
      <c r="CA125" s="231"/>
      <c r="CB125" s="231"/>
      <c r="CC125" s="231"/>
      <c r="CD125" s="231"/>
    </row>
    <row r="126" spans="1:82" x14ac:dyDescent="0.25">
      <c r="A126" s="23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45">
        <f t="shared" si="74"/>
        <v>-1757.45121412</v>
      </c>
      <c r="AJ126" s="157">
        <f>AO126*-1</f>
        <v>-1757.45121412</v>
      </c>
      <c r="AK126" s="107" t="s">
        <v>28</v>
      </c>
      <c r="AL126" s="28" t="s">
        <v>330</v>
      </c>
      <c r="AM126" s="39" t="s">
        <v>313</v>
      </c>
      <c r="AN126" s="265"/>
      <c r="AO126" s="38">
        <f t="shared" si="75"/>
        <v>1757.45121412</v>
      </c>
      <c r="AP126" s="146">
        <f t="shared" si="73"/>
        <v>1</v>
      </c>
      <c r="AQ126" s="4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11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"/>
      <c r="BU126" s="19"/>
      <c r="BV126" s="120"/>
      <c r="BW126" s="119">
        <f>Nøgletal!J37*Nøgletal!J39+Nøgletal!J65*Nøgletal!J67+Nøgletal!J93*Nøgletal!J95+Nøgletal!J121*Nøgletal!J123+Nøgletal!J149*Nøgletal!J151+Nøgletal!J181*Nøgletal!J183+Nøgletal!J211*Nøgletal!J213+Nøgletal!J240*Nøgletal!J242</f>
        <v>1757.45121412</v>
      </c>
      <c r="BX126" s="119"/>
      <c r="BY126" s="127">
        <f t="shared" si="78"/>
        <v>0</v>
      </c>
      <c r="BZ126" s="125">
        <v>0</v>
      </c>
      <c r="CA126" s="231"/>
      <c r="CB126" s="231"/>
      <c r="CC126" s="231"/>
      <c r="CD126" s="231"/>
    </row>
    <row r="127" spans="1:82" x14ac:dyDescent="0.25">
      <c r="A127" s="118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45">
        <f t="shared" si="74"/>
        <v>-2.8</v>
      </c>
      <c r="AJ127" s="157">
        <f>AO127/Nøgletal!K395*-1</f>
        <v>-2.8</v>
      </c>
      <c r="AK127" s="107" t="s">
        <v>331</v>
      </c>
      <c r="AL127" s="28" t="s">
        <v>332</v>
      </c>
      <c r="AM127" s="39" t="s">
        <v>313</v>
      </c>
      <c r="AN127" s="39"/>
      <c r="AO127" s="38">
        <f t="shared" si="75"/>
        <v>2.8</v>
      </c>
      <c r="AP127" s="146">
        <f t="shared" si="73"/>
        <v>1</v>
      </c>
      <c r="AQ127" s="49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3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4"/>
      <c r="BU127" s="112"/>
      <c r="BV127" s="121"/>
      <c r="BW127" s="119">
        <f>Nøgletal!J$37*Nøgletal!J$38*Nøgletal!J47+Nøgletal!J$65*Nøgletal!J$66*Nøgletal!J75+Nøgletal!J$93*Nøgletal!J$94*Nøgletal!J103+Nøgletal!J$121*Nøgletal!J$122*Nøgletal!J131+Nøgletal!J$149*Nøgletal!J$150*Nøgletal!J159+Nøgletal!J$181*Nøgletal!J$182*Nøgletal!J191+Nøgletal!J$211*Nøgletal!J$212*Nøgletal!J221+Nøgletal!J$240*Nøgletal!J$241*Nøgletal!J250</f>
        <v>2.8</v>
      </c>
      <c r="BX127" s="119"/>
      <c r="BY127" s="127">
        <f t="shared" si="78"/>
        <v>0</v>
      </c>
      <c r="BZ127" s="125">
        <v>0</v>
      </c>
      <c r="CA127" s="231"/>
      <c r="CB127" s="231"/>
      <c r="CC127" s="231"/>
      <c r="CD127" s="231"/>
    </row>
    <row r="128" spans="1:82" x14ac:dyDescent="0.25">
      <c r="A128" s="231"/>
      <c r="B128" s="231"/>
      <c r="C128" s="40">
        <f>C9+C68+' Plan Energi 2011'!C81</f>
        <v>0</v>
      </c>
      <c r="D128" s="231"/>
      <c r="E128" s="40">
        <f>E9+E68+' Plan Energi 2011'!I81</f>
        <v>0</v>
      </c>
      <c r="F128" s="40">
        <f>F9+F68+' Plan Energi 2011'!W81</f>
        <v>0</v>
      </c>
      <c r="G128" s="231"/>
      <c r="H128" s="40">
        <f>H9+H68+' Plan Energi 2011'!B81</f>
        <v>0</v>
      </c>
      <c r="I128" s="40">
        <f>I9+I68+' Plan Energi 2011'!D81</f>
        <v>0</v>
      </c>
      <c r="J128" s="40">
        <f>J9+J68+' Plan Energi 2011'!E81</f>
        <v>0</v>
      </c>
      <c r="K128" s="40">
        <f>K9+K68+' Plan Energi 2011'!F81</f>
        <v>0</v>
      </c>
      <c r="L128" s="40">
        <f>L9+L68+' Plan Energi 2011'!G81</f>
        <v>0</v>
      </c>
      <c r="M128" s="40">
        <f>M9+M68+' Plan Energi 2011'!H81</f>
        <v>0</v>
      </c>
      <c r="N128" s="231"/>
      <c r="O128" s="40">
        <f>O9+O68+' Plan Energi 2011'!J81</f>
        <v>0</v>
      </c>
      <c r="P128" s="40">
        <f>P9+P68+' Plan Energi 2011'!K81</f>
        <v>0</v>
      </c>
      <c r="Q128" s="40">
        <f>Q9+Q68+' Plan Energi 2011'!L81</f>
        <v>0</v>
      </c>
      <c r="R128" s="40">
        <f>R9+R68+' Plan Energi 2011'!M81</f>
        <v>0</v>
      </c>
      <c r="S128" s="40">
        <f>S9+S68+' Plan Energi 2011'!N81</f>
        <v>0</v>
      </c>
      <c r="T128" s="231"/>
      <c r="U128" s="40">
        <f>U9+U68+' Plan Energi 2011'!O81</f>
        <v>0</v>
      </c>
      <c r="V128" s="40">
        <f>V9+V68+' Plan Energi 2011'!P81</f>
        <v>0</v>
      </c>
      <c r="W128" s="40">
        <f>W9+W68+' Plan Energi 2011'!Q81</f>
        <v>0</v>
      </c>
      <c r="X128" s="40">
        <f>X9+X68+' Plan Energi 2011'!R81</f>
        <v>0</v>
      </c>
      <c r="Y128" s="40">
        <f>Y9+Y68+' Plan Energi 2011'!S81</f>
        <v>0</v>
      </c>
      <c r="Z128" s="40">
        <f>Z9+Z68+' Plan Energi 2011'!T81</f>
        <v>0</v>
      </c>
      <c r="AA128" s="40">
        <f>AA9+AA68+' Plan Energi 2011'!U81</f>
        <v>0</v>
      </c>
      <c r="AB128" s="40">
        <f>AB9+AB68+' Plan Energi 2011'!V81</f>
        <v>0</v>
      </c>
      <c r="AC128" s="143">
        <f>BR10-' Plan Energi 2011'!A15</f>
        <v>0</v>
      </c>
      <c r="AD128" s="40">
        <f>AD68+SUM(' Plan Energi 2011'!AI39:AP68)+SUM(' Plan Energi 2011'!AI70:AP71)</f>
        <v>3.9559999999999604</v>
      </c>
      <c r="AE128" s="231"/>
      <c r="AF128" s="231"/>
      <c r="AG128" s="231"/>
      <c r="AH128" s="231"/>
      <c r="AI128" s="231"/>
      <c r="AJ128" s="231"/>
      <c r="AK128" s="122"/>
      <c r="AL128" s="231"/>
      <c r="AM128" s="231"/>
      <c r="AN128" s="231"/>
      <c r="AO128" s="231"/>
      <c r="AP128" s="102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2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  <c r="CC128" s="231"/>
      <c r="CD128" s="231"/>
    </row>
    <row r="129" spans="1:82" x14ac:dyDescent="0.25">
      <c r="A129" s="231"/>
      <c r="B129" s="231"/>
      <c r="C129" s="40"/>
      <c r="D129" s="40"/>
      <c r="E129" s="40"/>
      <c r="F129" s="40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 t="s">
        <v>667</v>
      </c>
      <c r="AC129" s="143">
        <f>AC69-' Plan Energi 2011'!A15</f>
        <v>-418.35262204702235</v>
      </c>
      <c r="AD129" s="143">
        <f>BS10+BS11+BS18+BS57+BS65-(SUM(' Plan Energi 2011'!AF32:AF38,' Plan Energi 2011'!AF40:AF42,' Plan Energi 2011'!AF44:AF51,' Plan Energi 2011'!AF53:AF54,' Plan Energi 2011'!AF56:AF61,' Plan Energi 2011'!AF63:AF68))</f>
        <v>0</v>
      </c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2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31"/>
      <c r="BW129" s="231"/>
      <c r="BX129" s="231"/>
      <c r="BY129" s="231"/>
      <c r="BZ129" s="231"/>
      <c r="CA129" s="231"/>
      <c r="CB129" s="231"/>
      <c r="CC129" s="231"/>
      <c r="CD129" s="231"/>
    </row>
    <row r="130" spans="1:82" x14ac:dyDescent="0.25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2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  <c r="CC130" s="231"/>
      <c r="CD130" s="231"/>
    </row>
    <row r="131" spans="1:82" x14ac:dyDescent="0.25">
      <c r="A131" s="231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31"/>
      <c r="BW131" s="231"/>
      <c r="BX131" s="231"/>
      <c r="BY131" s="231"/>
      <c r="BZ131" s="231"/>
      <c r="CA131" s="231"/>
      <c r="CB131" s="231"/>
      <c r="CC131" s="231"/>
      <c r="CD131" s="231"/>
    </row>
    <row r="132" spans="1:82" x14ac:dyDescent="0.25">
      <c r="A132" s="231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31"/>
      <c r="BW132" s="231"/>
      <c r="BX132" s="231"/>
      <c r="BY132" s="231"/>
      <c r="BZ132" s="231"/>
      <c r="CA132" s="231"/>
      <c r="CB132" s="231"/>
      <c r="CC132" s="231"/>
      <c r="CD132" s="231"/>
    </row>
    <row r="133" spans="1:82" x14ac:dyDescent="0.25">
      <c r="A133" s="231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31"/>
      <c r="BW133" s="231"/>
      <c r="BX133" s="231"/>
      <c r="BY133" s="231"/>
      <c r="BZ133" s="231"/>
      <c r="CA133" s="231"/>
      <c r="CB133" s="231"/>
      <c r="CC133" s="231"/>
      <c r="CD133" s="23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39</vt:i4>
      </vt:variant>
    </vt:vector>
  </HeadingPairs>
  <TitlesOfParts>
    <vt:vector size="39" baseType="lpstr">
      <vt:lpstr>2030 </vt:lpstr>
      <vt:lpstr>Meta data</vt:lpstr>
      <vt:lpstr>Størrelse på strømme</vt:lpstr>
      <vt:lpstr>2025</vt:lpstr>
      <vt:lpstr>2019</vt:lpstr>
      <vt:lpstr>2017</vt:lpstr>
      <vt:lpstr>2015</vt:lpstr>
      <vt:lpstr>2013</vt:lpstr>
      <vt:lpstr>2011</vt:lpstr>
      <vt:lpstr>2009</vt:lpstr>
      <vt:lpstr>2008</vt:lpstr>
      <vt:lpstr>2006</vt:lpstr>
      <vt:lpstr>Emissionsfaktorer</vt:lpstr>
      <vt:lpstr>Bolig, Service, Handel, Byg</vt:lpstr>
      <vt:lpstr>Fremstilling, Gartneri, Landbru</vt:lpstr>
      <vt:lpstr>Fjernvarmeprognose</vt:lpstr>
      <vt:lpstr>Transport</vt:lpstr>
      <vt:lpstr>Elproduktion</vt:lpstr>
      <vt:lpstr>Fjernvarme</vt:lpstr>
      <vt:lpstr>Raffinaderi</vt:lpstr>
      <vt:lpstr>Tekniske virkning</vt:lpstr>
      <vt:lpstr>Nøgletal</vt:lpstr>
      <vt:lpstr>Ekstra vedr. transport</vt:lpstr>
      <vt:lpstr> Plan Energi 2030-S</vt:lpstr>
      <vt:lpstr> Plan Energi 2019</vt:lpstr>
      <vt:lpstr> Plan Energi 2017</vt:lpstr>
      <vt:lpstr> Plan Energi 2015</vt:lpstr>
      <vt:lpstr> Plan Energi 2013</vt:lpstr>
      <vt:lpstr> Plan Energi 2011</vt:lpstr>
      <vt:lpstr> Plan Energi 2009</vt:lpstr>
      <vt:lpstr> Plan Energi 2008</vt:lpstr>
      <vt:lpstr> Plan Energi 2006</vt:lpstr>
      <vt:lpstr>BF - Husholdning</vt:lpstr>
      <vt:lpstr>BF - transport</vt:lpstr>
      <vt:lpstr>BF - elapparater</vt:lpstr>
      <vt:lpstr>BF - elforbrug</vt:lpstr>
      <vt:lpstr>BF - overblik 2019</vt:lpstr>
      <vt:lpstr>BF - overblik beregning</vt:lpstr>
      <vt:lpstr>BF - overblik 2030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Flemming</dc:creator>
  <cp:keywords/>
  <dc:description/>
  <cp:lastModifiedBy>Flemming Nissen</cp:lastModifiedBy>
  <cp:revision/>
  <dcterms:created xsi:type="dcterms:W3CDTF">2018-01-06T07:25:37Z</dcterms:created>
  <dcterms:modified xsi:type="dcterms:W3CDTF">2020-07-16T09:04:29Z</dcterms:modified>
  <cp:category/>
  <cp:contentStatus/>
</cp:coreProperties>
</file>