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fec84c66b9add70f/Documents/Strategirummet/E2G/Tekster til E2G-platform/"/>
    </mc:Choice>
  </mc:AlternateContent>
  <xr:revisionPtr revIDLastSave="26" documentId="8_{465835CE-0D2A-480F-8F0C-412D1DBA1104}" xr6:coauthVersionLast="45" xr6:coauthVersionMax="45" xr10:uidLastSave="{922820E9-C51D-47CE-B864-90FD6BF66EC8}"/>
  <workbookProtection workbookAlgorithmName="SHA-512" workbookHashValue="pCAIxfziHsC5WMunoJ7ISUkwDctWAZC3/jZc7BaMElnOpS3vsfsKiMKVNcVnbToDoFJ17l+EhRQ25Kb9FbPTNw==" workbookSaltValue="KlgrzfSRz10xji0vSCI6kQ==" workbookSpinCount="100000" lockStructure="1"/>
  <bookViews>
    <workbookView xWindow="-120" yWindow="-120" windowWidth="30960" windowHeight="16920" activeTab="5" xr2:uid="{00000000-000D-0000-FFFF-FFFF00000000}"/>
  </bookViews>
  <sheets>
    <sheet name="2050" sheetId="31" r:id="rId1"/>
    <sheet name="Meta data" sheetId="34" state="hidden" r:id="rId2"/>
    <sheet name="Emissionsfaktorer" sheetId="33" state="hidden" r:id="rId3"/>
    <sheet name="Størrelse på strømme" sheetId="35" state="hidden" r:id="rId4"/>
    <sheet name="World IEA-format 2016" sheetId="27" state="hidden" r:id="rId5"/>
    <sheet name="Key figures" sheetId="3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" i="32" l="1"/>
  <c r="AH10" i="31" l="1"/>
  <c r="AH9" i="31"/>
  <c r="B4" i="32" l="1"/>
  <c r="H93" i="32"/>
  <c r="B93" i="32" s="1"/>
  <c r="H89" i="32"/>
  <c r="H79" i="32"/>
  <c r="B79" i="32" s="1"/>
  <c r="H72" i="32"/>
  <c r="B72" i="32" s="1"/>
  <c r="H65" i="32"/>
  <c r="B65" i="32" s="1"/>
  <c r="H62" i="32"/>
  <c r="H59" i="32"/>
  <c r="B59" i="32" s="1"/>
  <c r="H48" i="32"/>
  <c r="B48" i="32" s="1"/>
  <c r="H40" i="32"/>
  <c r="B40" i="32" s="1"/>
  <c r="H32" i="32"/>
  <c r="B32" i="32" s="1"/>
  <c r="H20" i="32"/>
  <c r="B20" i="32" s="1"/>
  <c r="H16" i="32"/>
  <c r="B16" i="32" s="1"/>
  <c r="H8" i="32"/>
  <c r="B8" i="32" s="1"/>
  <c r="B7" i="32"/>
  <c r="B10" i="32"/>
  <c r="B11" i="32"/>
  <c r="B12" i="32"/>
  <c r="B13" i="32"/>
  <c r="B14" i="32"/>
  <c r="B15" i="32"/>
  <c r="B17" i="32"/>
  <c r="B19" i="32"/>
  <c r="B21" i="32"/>
  <c r="B22" i="32"/>
  <c r="B23" i="32"/>
  <c r="B24" i="32"/>
  <c r="B25" i="32"/>
  <c r="B27" i="32"/>
  <c r="B28" i="32"/>
  <c r="B29" i="32"/>
  <c r="B30" i="32"/>
  <c r="B31" i="32"/>
  <c r="B33" i="32"/>
  <c r="B35" i="32"/>
  <c r="B36" i="32"/>
  <c r="B38" i="32"/>
  <c r="B39" i="32"/>
  <c r="B41" i="32"/>
  <c r="B42" i="32"/>
  <c r="B43" i="32"/>
  <c r="B44" i="32"/>
  <c r="B45" i="32"/>
  <c r="B46" i="32"/>
  <c r="B49" i="32"/>
  <c r="B51" i="32"/>
  <c r="B53" i="32"/>
  <c r="B55" i="32"/>
  <c r="B57" i="32"/>
  <c r="B58" i="32"/>
  <c r="B61" i="32"/>
  <c r="B62" i="32"/>
  <c r="B64" i="32"/>
  <c r="B67" i="32"/>
  <c r="B68" i="32"/>
  <c r="B69" i="32"/>
  <c r="B70" i="32"/>
  <c r="B73" i="32"/>
  <c r="B74" i="32"/>
  <c r="B75" i="32"/>
  <c r="B76" i="32"/>
  <c r="B77" i="32"/>
  <c r="B80" i="32"/>
  <c r="B81" i="32"/>
  <c r="B82" i="32"/>
  <c r="B83" i="32"/>
  <c r="B84" i="32"/>
  <c r="B86" i="32"/>
  <c r="B87" i="32"/>
  <c r="B88" i="32"/>
  <c r="B89" i="32"/>
  <c r="B90" i="32"/>
  <c r="B91" i="32"/>
  <c r="B94" i="32"/>
  <c r="B6" i="32"/>
  <c r="E27" i="35" l="1"/>
  <c r="E26" i="35"/>
  <c r="E25" i="35"/>
  <c r="E24" i="35"/>
  <c r="E23" i="35"/>
  <c r="E22" i="35"/>
  <c r="T12" i="31" l="1"/>
  <c r="T11" i="31"/>
  <c r="T10" i="31"/>
  <c r="T9" i="31"/>
  <c r="N16" i="31" l="1"/>
  <c r="C12" i="35" l="1"/>
  <c r="E12" i="35" s="1"/>
  <c r="C20" i="35"/>
  <c r="E20" i="35" s="1"/>
  <c r="R16" i="31" s="1"/>
  <c r="N13" i="31"/>
  <c r="N17" i="31"/>
  <c r="N19" i="31"/>
  <c r="N18" i="31"/>
  <c r="K18" i="31" s="1"/>
  <c r="AF18" i="31" l="1"/>
  <c r="AG18" i="31" s="1"/>
  <c r="E18" i="31"/>
  <c r="F18" i="31"/>
  <c r="J18" i="31"/>
  <c r="C18" i="31"/>
  <c r="I18" i="31"/>
  <c r="L18" i="31"/>
  <c r="AF19" i="31"/>
  <c r="AG19" i="31" s="1"/>
  <c r="L19" i="31"/>
  <c r="F19" i="31"/>
  <c r="K19" i="31"/>
  <c r="E19" i="31"/>
  <c r="J19" i="31"/>
  <c r="C19" i="31"/>
  <c r="I19" i="31"/>
  <c r="J17" i="31"/>
  <c r="D17" i="31"/>
  <c r="D16" i="31" s="1"/>
  <c r="E17" i="31"/>
  <c r="I17" i="31"/>
  <c r="C17" i="31"/>
  <c r="L17" i="31"/>
  <c r="F17" i="31"/>
  <c r="K17" i="31"/>
  <c r="K13" i="31"/>
  <c r="D13" i="31"/>
  <c r="E13" i="31"/>
  <c r="J13" i="31"/>
  <c r="C13" i="31"/>
  <c r="F13" i="31"/>
  <c r="L13" i="31"/>
  <c r="AF17" i="31"/>
  <c r="AG17" i="31" s="1"/>
  <c r="AH18" i="31" l="1"/>
  <c r="AH19" i="31"/>
  <c r="AH17" i="31"/>
  <c r="AH13" i="31"/>
  <c r="S13" i="31"/>
  <c r="V8" i="31"/>
  <c r="M8" i="31"/>
  <c r="AH16" i="31" l="1"/>
  <c r="G16" i="31"/>
  <c r="H16" i="31"/>
  <c r="M16" i="31"/>
  <c r="N15" i="31"/>
  <c r="N7" i="31"/>
  <c r="N5" i="31"/>
  <c r="AG13" i="31" l="1"/>
  <c r="L8" i="31"/>
  <c r="N20" i="31" l="1"/>
  <c r="AF16" i="31" l="1"/>
  <c r="AF20" i="31" s="1"/>
  <c r="T20" i="31" s="1"/>
  <c r="J16" i="31"/>
  <c r="S19" i="31"/>
  <c r="S17" i="31"/>
  <c r="E16" i="31"/>
  <c r="X14" i="31" s="1"/>
  <c r="I16" i="31"/>
  <c r="S20" i="31" l="1"/>
  <c r="AG20" i="31" s="1"/>
  <c r="AG16" i="31"/>
  <c r="AB15" i="31"/>
  <c r="S15" i="31" s="1"/>
  <c r="C11" i="35" s="1"/>
  <c r="E11" i="35" s="1"/>
  <c r="C16" i="31"/>
  <c r="S16" i="31"/>
  <c r="S18" i="31"/>
  <c r="L16" i="31"/>
  <c r="AE14" i="31" s="1"/>
  <c r="L14" i="31" s="1"/>
  <c r="K16" i="31"/>
  <c r="AD14" i="31" s="1"/>
  <c r="K14" i="31" s="1"/>
  <c r="F16" i="31"/>
  <c r="E14" i="31"/>
  <c r="C9" i="35" l="1"/>
  <c r="E9" i="35" s="1"/>
  <c r="B4" i="31" s="1"/>
  <c r="U4" i="31" s="1"/>
  <c r="AH4" i="31" s="1"/>
  <c r="C21" i="35"/>
  <c r="E21" i="35" s="1"/>
  <c r="C14" i="35"/>
  <c r="E14" i="35" s="1"/>
  <c r="S14" i="31"/>
  <c r="AE8" i="31"/>
  <c r="AG4" i="31" l="1"/>
  <c r="AE10" i="31"/>
  <c r="AD10" i="31" s="1"/>
  <c r="AE11" i="31"/>
  <c r="K11" i="31" s="1"/>
  <c r="N14" i="31"/>
  <c r="C34" i="27"/>
  <c r="D34" i="27"/>
  <c r="E34" i="27"/>
  <c r="F34" i="27"/>
  <c r="G34" i="27"/>
  <c r="H34" i="27"/>
  <c r="I34" i="27"/>
  <c r="J34" i="27"/>
  <c r="K34" i="27"/>
  <c r="L34" i="27"/>
  <c r="B34" i="27"/>
  <c r="AG14" i="31" l="1"/>
  <c r="C15" i="35" s="1"/>
  <c r="E15" i="35" s="1"/>
  <c r="C10" i="35"/>
  <c r="E10" i="35" s="1"/>
  <c r="K8" i="31"/>
  <c r="AD8" i="31" s="1"/>
  <c r="I11" i="31"/>
  <c r="G11" i="31" s="1"/>
  <c r="I10" i="31"/>
  <c r="J10" i="31" s="1"/>
  <c r="J11" i="31" l="1"/>
  <c r="D11" i="31"/>
  <c r="C10" i="31"/>
  <c r="G10" i="31"/>
  <c r="F10" i="31"/>
  <c r="E11" i="31"/>
  <c r="D10" i="31"/>
  <c r="E10" i="31"/>
  <c r="C11" i="31"/>
  <c r="F11" i="31"/>
  <c r="AD9" i="31"/>
  <c r="S10" i="31"/>
  <c r="S11" i="31"/>
  <c r="I9" i="31" l="1"/>
  <c r="I8" i="31" s="1"/>
  <c r="H9" i="31"/>
  <c r="AH11" i="31"/>
  <c r="S9" i="31"/>
  <c r="E9" i="31" l="1"/>
  <c r="X12" i="31" s="1"/>
  <c r="F9" i="31"/>
  <c r="F8" i="31" s="1"/>
  <c r="Y6" i="31" s="1"/>
  <c r="F6" i="31" s="1"/>
  <c r="Y5" i="31" s="1"/>
  <c r="J9" i="31"/>
  <c r="G9" i="31"/>
  <c r="G8" i="31" s="1"/>
  <c r="Z6" i="31" s="1"/>
  <c r="G6" i="31" s="1"/>
  <c r="Z5" i="31" s="1"/>
  <c r="C9" i="31"/>
  <c r="D9" i="31"/>
  <c r="AB7" i="31"/>
  <c r="H8" i="31"/>
  <c r="AA7" i="31" s="1"/>
  <c r="N11" i="31"/>
  <c r="AG11" i="31" s="1"/>
  <c r="N10" i="31"/>
  <c r="AG10" i="31" s="1"/>
  <c r="J12" i="31" l="1"/>
  <c r="D12" i="31"/>
  <c r="S7" i="31"/>
  <c r="C6" i="35" s="1"/>
  <c r="E6" i="35" s="1"/>
  <c r="N9" i="31"/>
  <c r="AG9" i="31" s="1"/>
  <c r="E8" i="31"/>
  <c r="X8" i="31" s="1"/>
  <c r="S8" i="31" s="1"/>
  <c r="C8" i="35" s="1"/>
  <c r="E8" i="35" s="1"/>
  <c r="C8" i="31"/>
  <c r="V6" i="31" s="1"/>
  <c r="C6" i="31" s="1"/>
  <c r="V5" i="31" s="1"/>
  <c r="S12" i="31"/>
  <c r="J8" i="31" l="1"/>
  <c r="AC6" i="31" s="1"/>
  <c r="J6" i="31" s="1"/>
  <c r="AC5" i="31" s="1"/>
  <c r="AH12" i="31"/>
  <c r="AH8" i="31" s="1"/>
  <c r="B1" i="32" s="1"/>
  <c r="D8" i="31"/>
  <c r="W6" i="31" s="1"/>
  <c r="N12" i="31"/>
  <c r="AG12" i="31" s="1"/>
  <c r="N8" i="31" l="1"/>
  <c r="B8" i="34"/>
  <c r="D6" i="31"/>
  <c r="W5" i="31" s="1"/>
  <c r="S6" i="31"/>
  <c r="AG8" i="31" l="1"/>
  <c r="C7" i="35"/>
  <c r="E7" i="35" s="1"/>
  <c r="C18" i="35"/>
  <c r="E18" i="35" s="1"/>
  <c r="R8" i="31" s="1"/>
  <c r="S5" i="31"/>
  <c r="N6" i="31"/>
  <c r="AG6" i="31" l="1"/>
  <c r="C5" i="35"/>
  <c r="E5" i="35" s="1"/>
  <c r="B7" i="34"/>
  <c r="C13" i="35"/>
  <c r="E13" i="35" s="1"/>
  <c r="C19" i="35"/>
  <c r="E19" i="35" s="1"/>
</calcChain>
</file>

<file path=xl/sharedStrings.xml><?xml version="1.0" encoding="utf-8"?>
<sst xmlns="http://schemas.openxmlformats.org/spreadsheetml/2006/main" count="331" uniqueCount="213">
  <si>
    <t>Transport</t>
  </si>
  <si>
    <t>Crude oil</t>
  </si>
  <si>
    <t>Natual Gas</t>
  </si>
  <si>
    <t>Coal</t>
  </si>
  <si>
    <t>Nuclear</t>
  </si>
  <si>
    <t>Oil Products</t>
  </si>
  <si>
    <t>Electricity</t>
  </si>
  <si>
    <t>Heat</t>
  </si>
  <si>
    <t>Production</t>
  </si>
  <si>
    <t>Imports</t>
  </si>
  <si>
    <t>CHP plants</t>
  </si>
  <si>
    <t>Heat Plants</t>
  </si>
  <si>
    <t>Oil refineries</t>
  </si>
  <si>
    <t>Exit energy</t>
  </si>
  <si>
    <t>Industry</t>
  </si>
  <si>
    <t xml:space="preserve">Other </t>
  </si>
  <si>
    <t>Residential</t>
  </si>
  <si>
    <t>Non-specified</t>
  </si>
  <si>
    <t>Total consumption</t>
  </si>
  <si>
    <t>Coal*</t>
  </si>
  <si>
    <t>Oil products</t>
  </si>
  <si>
    <t>Natural gas</t>
  </si>
  <si>
    <t>Hydro</t>
  </si>
  <si>
    <t>Geothermal, solar, etc.</t>
  </si>
  <si>
    <t>Biofuels and waste</t>
  </si>
  <si>
    <t>Total**</t>
  </si>
  <si>
    <t>ktoe</t>
  </si>
  <si>
    <t>Exports</t>
  </si>
  <si>
    <t>TPES</t>
  </si>
  <si>
    <t>Transfers</t>
  </si>
  <si>
    <t>Losses</t>
  </si>
  <si>
    <t>Total final consumption</t>
  </si>
  <si>
    <t>Other</t>
  </si>
  <si>
    <t>Fishing</t>
  </si>
  <si>
    <t>Geothermal, solar, wind, etc.</t>
  </si>
  <si>
    <t>Energy Services</t>
  </si>
  <si>
    <t>Electricity-only plants</t>
  </si>
  <si>
    <t>Total production</t>
  </si>
  <si>
    <t>Efficiency</t>
  </si>
  <si>
    <t>Loss</t>
  </si>
  <si>
    <t>Entry fuels</t>
  </si>
  <si>
    <t>Transport of fuels</t>
  </si>
  <si>
    <t xml:space="preserve">Entry On-Grid RE </t>
  </si>
  <si>
    <t>Entry electricity, district heating and oil products</t>
  </si>
  <si>
    <t>Transport electricity, district heating and oil products</t>
  </si>
  <si>
    <t>Entry Off-Grid RE</t>
  </si>
  <si>
    <t>World 2016</t>
  </si>
  <si>
    <t>- Industry</t>
  </si>
  <si>
    <t>- Transport</t>
  </si>
  <si>
    <t>Share of consumption</t>
  </si>
  <si>
    <t>- Other</t>
  </si>
  <si>
    <t>- Coal</t>
  </si>
  <si>
    <t>- Oil products</t>
  </si>
  <si>
    <t>- Natual Gas</t>
  </si>
  <si>
    <t>- Geothermal, Solar, Wind, etc.</t>
  </si>
  <si>
    <t>- Biofuels and Waste</t>
  </si>
  <si>
    <t>- Electricity</t>
  </si>
  <si>
    <t>- Heat</t>
  </si>
  <si>
    <r>
      <t xml:space="preserve">Share of energyforms </t>
    </r>
    <r>
      <rPr>
        <b/>
        <i/>
        <sz val="11"/>
        <color theme="1"/>
        <rFont val="Calibri"/>
        <family val="2"/>
        <scheme val="minor"/>
      </rPr>
      <t>Industry</t>
    </r>
  </si>
  <si>
    <r>
      <t xml:space="preserve">Share of energyforms </t>
    </r>
    <r>
      <rPr>
        <b/>
        <i/>
        <sz val="11"/>
        <color theme="1"/>
        <rFont val="Calibri"/>
        <family val="2"/>
        <scheme val="minor"/>
      </rPr>
      <t>Transport</t>
    </r>
  </si>
  <si>
    <r>
      <t xml:space="preserve">Share of energyforms </t>
    </r>
    <r>
      <rPr>
        <b/>
        <i/>
        <sz val="11"/>
        <color theme="1"/>
        <rFont val="Calibri"/>
        <family val="2"/>
        <scheme val="minor"/>
      </rPr>
      <t>Other</t>
    </r>
  </si>
  <si>
    <t>- Electricity-only plants</t>
  </si>
  <si>
    <t>- CHP plants</t>
  </si>
  <si>
    <r>
      <t xml:space="preserve">Distribution of production between technologies </t>
    </r>
    <r>
      <rPr>
        <b/>
        <i/>
        <sz val="11"/>
        <color theme="1"/>
        <rFont val="Calibri"/>
        <family val="2"/>
        <scheme val="minor"/>
      </rPr>
      <t>Heat</t>
    </r>
  </si>
  <si>
    <t>- Heat plants</t>
  </si>
  <si>
    <r>
      <t xml:space="preserve">Distribution of production between technologies </t>
    </r>
    <r>
      <rPr>
        <b/>
        <i/>
        <sz val="11"/>
        <color theme="1"/>
        <rFont val="Calibri"/>
        <family val="2"/>
        <scheme val="minor"/>
      </rPr>
      <t>Oil products</t>
    </r>
  </si>
  <si>
    <t>- Oil refineries</t>
  </si>
  <si>
    <t>- Heat Plants</t>
  </si>
  <si>
    <t>- Hydro</t>
  </si>
  <si>
    <r>
      <t xml:space="preserve">Share of non-fuel RE for </t>
    </r>
    <r>
      <rPr>
        <b/>
        <i/>
        <sz val="11"/>
        <color theme="1"/>
        <rFont val="Calibri"/>
        <family val="2"/>
        <scheme val="minor"/>
      </rPr>
      <t>Electricity-only plants</t>
    </r>
  </si>
  <si>
    <t>- Fuel based plants</t>
  </si>
  <si>
    <r>
      <rPr>
        <i/>
        <sz val="11"/>
        <color theme="1"/>
        <rFont val="Calibri"/>
        <family val="2"/>
        <scheme val="minor"/>
      </rPr>
      <t xml:space="preserve">Fuel distribution for </t>
    </r>
    <r>
      <rPr>
        <b/>
        <i/>
        <sz val="11"/>
        <color theme="1"/>
        <rFont val="Calibri"/>
        <family val="2"/>
        <scheme val="minor"/>
      </rPr>
      <t>Electricity-only plants</t>
    </r>
  </si>
  <si>
    <t>- Crude Oil</t>
  </si>
  <si>
    <t>- Nuclear</t>
  </si>
  <si>
    <r>
      <t xml:space="preserve">Fuel distribution for </t>
    </r>
    <r>
      <rPr>
        <b/>
        <i/>
        <sz val="11"/>
        <color theme="1"/>
        <rFont val="Calibri"/>
        <family val="2"/>
        <scheme val="minor"/>
      </rPr>
      <t>CHP plants</t>
    </r>
  </si>
  <si>
    <r>
      <t xml:space="preserve">Fuel distribution for </t>
    </r>
    <r>
      <rPr>
        <b/>
        <i/>
        <sz val="11"/>
        <color theme="1"/>
        <rFont val="Calibri"/>
        <family val="2"/>
        <scheme val="minor"/>
      </rPr>
      <t>Heat plants</t>
    </r>
  </si>
  <si>
    <r>
      <t xml:space="preserve">Fuel distribution for </t>
    </r>
    <r>
      <rPr>
        <b/>
        <i/>
        <sz val="11"/>
        <color theme="1"/>
        <rFont val="Calibri"/>
        <family val="2"/>
        <scheme val="minor"/>
      </rPr>
      <t>Oil refineries</t>
    </r>
  </si>
  <si>
    <r>
      <t xml:space="preserve">Share of non-fuel RE for </t>
    </r>
    <r>
      <rPr>
        <b/>
        <i/>
        <sz val="11"/>
        <color theme="1"/>
        <rFont val="Calibri"/>
        <family val="2"/>
        <scheme val="minor"/>
      </rPr>
      <t>CHP plants</t>
    </r>
  </si>
  <si>
    <r>
      <t xml:space="preserve">Share of non-fuel RE for </t>
    </r>
    <r>
      <rPr>
        <b/>
        <i/>
        <sz val="11"/>
        <color theme="1"/>
        <rFont val="Calibri"/>
        <family val="2"/>
        <scheme val="minor"/>
      </rPr>
      <t>Heat plants</t>
    </r>
  </si>
  <si>
    <t>Efficiencies thermal plants</t>
  </si>
  <si>
    <t>Energy Industry one use</t>
  </si>
  <si>
    <t>Transport losses</t>
  </si>
  <si>
    <t>Industry one use (% of total consumption)</t>
  </si>
  <si>
    <t>- Natual gas</t>
  </si>
  <si>
    <t>- Crude oil</t>
  </si>
  <si>
    <t>- Biofuels and waste</t>
  </si>
  <si>
    <t xml:space="preserve">Industry one use  </t>
  </si>
  <si>
    <t>Distribution between energi forms</t>
  </si>
  <si>
    <t>- Cm-value</t>
  </si>
  <si>
    <r>
      <t xml:space="preserve">Ratio between electricity and heat production on CHP  plants </t>
    </r>
    <r>
      <rPr>
        <b/>
        <i/>
        <sz val="11"/>
        <color theme="1"/>
        <rFont val="Calibri"/>
        <family val="2"/>
        <scheme val="minor"/>
      </rPr>
      <t>(Electricity)</t>
    </r>
  </si>
  <si>
    <t>Key figures based on links to other worksheets</t>
  </si>
  <si>
    <t>International marine bunkers***</t>
  </si>
  <si>
    <t>International aviation bunkers****</t>
  </si>
  <si>
    <t>Stock changes</t>
  </si>
  <si>
    <t>Statistical differences</t>
  </si>
  <si>
    <t>Electricity plants</t>
  </si>
  <si>
    <t>Heat plants</t>
  </si>
  <si>
    <t>Gas works</t>
  </si>
  <si>
    <t>Coal transformation</t>
  </si>
  <si>
    <t>Liquefication plants</t>
  </si>
  <si>
    <t>Other transformation</t>
  </si>
  <si>
    <t>Energy industry own use</t>
  </si>
  <si>
    <t>Commercial and public services</t>
  </si>
  <si>
    <t>Agriculture / forestry</t>
  </si>
  <si>
    <t>Non-energy use</t>
  </si>
  <si>
    <t>Calculated and predicted values</t>
  </si>
  <si>
    <t>CO2-emissions</t>
  </si>
  <si>
    <t>mio. ton/PJ</t>
  </si>
  <si>
    <t>Crude Oil</t>
  </si>
  <si>
    <t>Geothermal, Solar, Wind, etc.</t>
  </si>
  <si>
    <t>Biofuels and Waste</t>
  </si>
  <si>
    <t>Electricity consumption on Heat plants</t>
  </si>
  <si>
    <t>- % of heat production on Heat plants</t>
  </si>
  <si>
    <t>Consumption</t>
  </si>
  <si>
    <t>ID</t>
  </si>
  <si>
    <t xml:space="preserve">C </t>
  </si>
  <si>
    <t>CC</t>
  </si>
  <si>
    <t>CCO</t>
  </si>
  <si>
    <t>COP</t>
  </si>
  <si>
    <t>CNG</t>
  </si>
  <si>
    <t>CNU</t>
  </si>
  <si>
    <t>CHY</t>
  </si>
  <si>
    <t>CGSW</t>
  </si>
  <si>
    <t>CWB</t>
  </si>
  <si>
    <t>CE</t>
  </si>
  <si>
    <t>CH</t>
  </si>
  <si>
    <t>CES</t>
  </si>
  <si>
    <t>fbrbr</t>
  </si>
  <si>
    <t>ID Parent</t>
  </si>
  <si>
    <t>pbrpr</t>
  </si>
  <si>
    <t>pvrkg</t>
  </si>
  <si>
    <t xml:space="preserve">P </t>
  </si>
  <si>
    <t>PC</t>
  </si>
  <si>
    <t>PCO</t>
  </si>
  <si>
    <t>POP</t>
  </si>
  <si>
    <t>PNG</t>
  </si>
  <si>
    <t>PNU</t>
  </si>
  <si>
    <t>PHY</t>
  </si>
  <si>
    <t>PGSW</t>
  </si>
  <si>
    <t>PWB</t>
  </si>
  <si>
    <t>PE</t>
  </si>
  <si>
    <t>PH</t>
  </si>
  <si>
    <t>PES</t>
  </si>
  <si>
    <t>PTAB</t>
  </si>
  <si>
    <t>PCO2</t>
  </si>
  <si>
    <t>C</t>
  </si>
  <si>
    <t>Structures</t>
  </si>
  <si>
    <t>P</t>
  </si>
  <si>
    <t>ETP</t>
  </si>
  <si>
    <t>TRAP</t>
  </si>
  <si>
    <t>ELP1</t>
  </si>
  <si>
    <t>ES</t>
  </si>
  <si>
    <t>ESEP</t>
  </si>
  <si>
    <t>ESCHP</t>
  </si>
  <si>
    <t>ESHP</t>
  </si>
  <si>
    <t>ESOR</t>
  </si>
  <si>
    <t>ESNSP</t>
  </si>
  <si>
    <t>TRAS</t>
  </si>
  <si>
    <t>ELP2</t>
  </si>
  <si>
    <t>EX</t>
  </si>
  <si>
    <t>EXI</t>
  </si>
  <si>
    <t>EXT</t>
  </si>
  <si>
    <t>EXO</t>
  </si>
  <si>
    <t>EN</t>
  </si>
  <si>
    <t>Navn</t>
  </si>
  <si>
    <t>Type</t>
  </si>
  <si>
    <t>Års</t>
  </si>
  <si>
    <t>Energi Enhed</t>
  </si>
  <si>
    <t>PJ</t>
  </si>
  <si>
    <t>CO2 Enhed</t>
  </si>
  <si>
    <t>mio. Ton</t>
  </si>
  <si>
    <t>Tab Sum</t>
  </si>
  <si>
    <t>CO2 Sum</t>
  </si>
  <si>
    <t>World e2g-balance 2050</t>
  </si>
  <si>
    <t>Factor</t>
  </si>
  <si>
    <t>Faktor</t>
  </si>
  <si>
    <t>factor</t>
  </si>
  <si>
    <t>Niveau 1</t>
  </si>
  <si>
    <t>Størrelse</t>
  </si>
  <si>
    <t>Energi</t>
  </si>
  <si>
    <t>Under kasser</t>
  </si>
  <si>
    <t>Energi/%</t>
  </si>
  <si>
    <t>Udgang transport af brændsel</t>
  </si>
  <si>
    <t>Indgang On-Grid VE</t>
  </si>
  <si>
    <t>Indgang el, fjernvarme og olieprodukter</t>
  </si>
  <si>
    <t>Udgang el, fjernvarme og olieprodukter</t>
  </si>
  <si>
    <t>Under el, fjernvarme og olieprodukter</t>
  </si>
  <si>
    <t>Indgang transport af el, fjernvarme og olieprodukter</t>
  </si>
  <si>
    <t>Indgang Off-Grid VE</t>
  </si>
  <si>
    <t>Exit Energy</t>
  </si>
  <si>
    <t>Tab konvertering</t>
  </si>
  <si>
    <t>Tab slutforbrug</t>
  </si>
  <si>
    <t>Tab transport af el mv.</t>
  </si>
  <si>
    <t>Indgang el, varme  og olieprodukter</t>
  </si>
  <si>
    <t>Tab indgang el, varme og olieprodukter</t>
  </si>
  <si>
    <t>Udgang energi</t>
  </si>
  <si>
    <t>Tab udgang</t>
  </si>
  <si>
    <t>Energitjenester</t>
  </si>
  <si>
    <t>Tab energitjenester</t>
  </si>
  <si>
    <t>Transport brændsler</t>
  </si>
  <si>
    <t>Tab transport af brændsler</t>
  </si>
  <si>
    <t>Transport af el, varme og olieprodukter</t>
  </si>
  <si>
    <t>Tab transport af el, varme og olieprodukter</t>
  </si>
  <si>
    <t>Culture</t>
  </si>
  <si>
    <t>da-DK</t>
  </si>
  <si>
    <t>MÅL: 10.000</t>
  </si>
  <si>
    <t>Fluegas cleaning</t>
  </si>
  <si>
    <t>Coal fired power plants</t>
  </si>
  <si>
    <t>Oilfired power plants</t>
  </si>
  <si>
    <t>Biomass-fired power plants</t>
  </si>
  <si>
    <t>Natual gas fired power plants</t>
  </si>
  <si>
    <t>Biofuels and Waste with cleaning</t>
  </si>
  <si>
    <t>CO2-emissions (mio. 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</si>
</sst>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\ ###,##0;[Red]\-###,##0;&quot;-&quot;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95">
    <xf numFmtId="0" fontId="0" fillId="0" borderId="0" xfId="0"/>
    <xf numFmtId="0" fontId="2" fillId="3" borderId="1" xfId="0" applyFont="1" applyFill="1" applyBorder="1" applyAlignment="1">
      <alignment horizontal="center" textRotation="90"/>
    </xf>
    <xf numFmtId="164" fontId="2" fillId="3" borderId="1" xfId="0" applyNumberFormat="1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3" fillId="4" borderId="0" xfId="0" quotePrefix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textRotation="90"/>
    </xf>
    <xf numFmtId="0" fontId="2" fillId="4" borderId="1" xfId="0" quotePrefix="1" applyFont="1" applyFill="1" applyBorder="1"/>
    <xf numFmtId="1" fontId="0" fillId="0" borderId="0" xfId="0" applyNumberFormat="1"/>
    <xf numFmtId="0" fontId="2" fillId="4" borderId="3" xfId="0" applyFont="1" applyFill="1" applyBorder="1" applyAlignment="1">
      <alignment horizontal="center" textRotation="90"/>
    </xf>
    <xf numFmtId="164" fontId="2" fillId="4" borderId="1" xfId="0" applyNumberFormat="1" applyFont="1" applyFill="1" applyBorder="1" applyAlignment="1">
      <alignment horizontal="center" textRotation="90"/>
    </xf>
    <xf numFmtId="0" fontId="1" fillId="8" borderId="1" xfId="0" quotePrefix="1" applyFont="1" applyFill="1" applyBorder="1" applyAlignment="1"/>
    <xf numFmtId="0" fontId="2" fillId="6" borderId="4" xfId="0" applyFont="1" applyFill="1" applyBorder="1" applyAlignment="1">
      <alignment horizontal="center" textRotation="90"/>
    </xf>
    <xf numFmtId="0" fontId="2" fillId="6" borderId="1" xfId="0" applyFont="1" applyFill="1" applyBorder="1" applyAlignment="1">
      <alignment horizontal="center" textRotation="90"/>
    </xf>
    <xf numFmtId="0" fontId="2" fillId="9" borderId="1" xfId="0" applyFont="1" applyFill="1" applyBorder="1" applyAlignment="1">
      <alignment horizontal="center" textRotation="90"/>
    </xf>
    <xf numFmtId="1" fontId="1" fillId="2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 textRotation="90"/>
    </xf>
    <xf numFmtId="1" fontId="1" fillId="2" borderId="2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1" fontId="5" fillId="5" borderId="1" xfId="0" quotePrefix="1" applyNumberFormat="1" applyFont="1" applyFill="1" applyBorder="1" applyAlignment="1">
      <alignment horizontal="center"/>
    </xf>
    <xf numFmtId="0" fontId="1" fillId="8" borderId="1" xfId="0" quotePrefix="1" applyFont="1" applyFill="1" applyBorder="1"/>
    <xf numFmtId="165" fontId="1" fillId="8" borderId="1" xfId="0" applyNumberFormat="1" applyFont="1" applyFill="1" applyBorder="1" applyAlignment="1">
      <alignment horizontal="left"/>
    </xf>
    <xf numFmtId="1" fontId="6" fillId="7" borderId="1" xfId="0" applyNumberFormat="1" applyFont="1" applyFill="1" applyBorder="1" applyAlignment="1">
      <alignment horizontal="center"/>
    </xf>
    <xf numFmtId="1" fontId="6" fillId="7" borderId="1" xfId="0" quotePrefix="1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7" fillId="4" borderId="1" xfId="0" quotePrefix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49" fontId="9" fillId="10" borderId="0" xfId="0" applyNumberFormat="1" applyFont="1" applyFill="1"/>
    <xf numFmtId="49" fontId="9" fillId="10" borderId="0" xfId="0" applyNumberFormat="1" applyFont="1" applyFill="1" applyAlignment="1">
      <alignment wrapText="1"/>
    </xf>
    <xf numFmtId="1" fontId="0" fillId="10" borderId="0" xfId="0" applyNumberFormat="1" applyFill="1"/>
    <xf numFmtId="2" fontId="0" fillId="0" borderId="0" xfId="0" applyNumberFormat="1"/>
    <xf numFmtId="0" fontId="8" fillId="0" borderId="0" xfId="0" applyFont="1" applyAlignment="1">
      <alignment horizontal="center"/>
    </xf>
    <xf numFmtId="1" fontId="8" fillId="10" borderId="0" xfId="0" applyNumberFormat="1" applyFont="1" applyFill="1"/>
    <xf numFmtId="2" fontId="8" fillId="0" borderId="0" xfId="0" applyNumberFormat="1" applyFont="1"/>
    <xf numFmtId="1" fontId="7" fillId="4" borderId="1" xfId="0" applyNumberFormat="1" applyFont="1" applyFill="1" applyBorder="1" applyAlignment="1">
      <alignment horizontal="center"/>
    </xf>
    <xf numFmtId="2" fontId="6" fillId="7" borderId="1" xfId="0" quotePrefix="1" applyNumberFormat="1" applyFont="1" applyFill="1" applyBorder="1" applyAlignment="1">
      <alignment horizontal="center"/>
    </xf>
    <xf numFmtId="49" fontId="0" fillId="10" borderId="0" xfId="0" applyNumberFormat="1" applyFill="1"/>
    <xf numFmtId="49" fontId="2" fillId="0" borderId="0" xfId="0" applyNumberFormat="1" applyFont="1"/>
    <xf numFmtId="9" fontId="0" fillId="0" borderId="0" xfId="0" applyNumberFormat="1"/>
    <xf numFmtId="9" fontId="8" fillId="0" borderId="0" xfId="0" applyNumberFormat="1" applyFont="1"/>
    <xf numFmtId="0" fontId="0" fillId="0" borderId="0" xfId="0" applyAlignment="1">
      <alignment wrapText="1"/>
    </xf>
    <xf numFmtId="9" fontId="0" fillId="10" borderId="0" xfId="0" applyNumberFormat="1" applyFill="1"/>
    <xf numFmtId="9" fontId="2" fillId="0" borderId="0" xfId="0" applyNumberFormat="1" applyFont="1"/>
    <xf numFmtId="9" fontId="0" fillId="10" borderId="0" xfId="0" applyNumberFormat="1" applyFill="1" applyAlignment="1">
      <alignment horizontal="center"/>
    </xf>
    <xf numFmtId="9" fontId="0" fillId="0" borderId="0" xfId="0" applyNumberFormat="1" applyFont="1" applyAlignment="1">
      <alignment horizontal="center"/>
    </xf>
    <xf numFmtId="9" fontId="8" fillId="10" borderId="0" xfId="0" applyNumberFormat="1" applyFont="1" applyFill="1"/>
    <xf numFmtId="0" fontId="2" fillId="5" borderId="1" xfId="0" applyFont="1" applyFill="1" applyBorder="1" applyAlignment="1">
      <alignment horizontal="center" textRotation="90"/>
    </xf>
    <xf numFmtId="0" fontId="0" fillId="12" borderId="1" xfId="0" applyFill="1" applyBorder="1"/>
    <xf numFmtId="0" fontId="2" fillId="12" borderId="1" xfId="0" applyFont="1" applyFill="1" applyBorder="1" applyAlignment="1">
      <alignment horizontal="center"/>
    </xf>
    <xf numFmtId="164" fontId="2" fillId="12" borderId="1" xfId="0" applyNumberFormat="1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164" fontId="2" fillId="12" borderId="2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11" borderId="0" xfId="0" quotePrefix="1" applyFont="1" applyFill="1" applyBorder="1" applyAlignment="1">
      <alignment horizontal="center" vertical="center" wrapText="1"/>
    </xf>
    <xf numFmtId="0" fontId="2" fillId="12" borderId="2" xfId="0" quotePrefix="1" applyFont="1" applyFill="1" applyBorder="1" applyAlignment="1">
      <alignment horizontal="center" wrapText="1"/>
    </xf>
    <xf numFmtId="0" fontId="2" fillId="12" borderId="1" xfId="0" quotePrefix="1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/>
    </xf>
    <xf numFmtId="0" fontId="0" fillId="12" borderId="3" xfId="0" applyFill="1" applyBorder="1"/>
    <xf numFmtId="0" fontId="2" fillId="12" borderId="3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 vertical="center" wrapText="1"/>
    </xf>
    <xf numFmtId="0" fontId="0" fillId="0" borderId="0" xfId="0" applyFill="1"/>
    <xf numFmtId="2" fontId="6" fillId="0" borderId="1" xfId="0" quotePrefix="1" applyNumberFormat="1" applyFont="1" applyFill="1" applyBorder="1" applyAlignment="1">
      <alignment horizontal="center"/>
    </xf>
    <xf numFmtId="0" fontId="1" fillId="5" borderId="7" xfId="0" quotePrefix="1" applyFont="1" applyFill="1" applyBorder="1"/>
    <xf numFmtId="0" fontId="1" fillId="5" borderId="1" xfId="0" quotePrefix="1" applyFont="1" applyFill="1" applyBorder="1"/>
    <xf numFmtId="0" fontId="0" fillId="4" borderId="7" xfId="0" quotePrefix="1" applyFont="1" applyFill="1" applyBorder="1"/>
    <xf numFmtId="165" fontId="1" fillId="2" borderId="4" xfId="0" applyNumberFormat="1" applyFont="1" applyFill="1" applyBorder="1" applyAlignment="1">
      <alignment horizontal="left"/>
    </xf>
    <xf numFmtId="165" fontId="1" fillId="5" borderId="1" xfId="0" applyNumberFormat="1" applyFont="1" applyFill="1" applyBorder="1" applyAlignment="1">
      <alignment horizontal="left"/>
    </xf>
    <xf numFmtId="165" fontId="1" fillId="5" borderId="8" xfId="0" applyNumberFormat="1" applyFont="1" applyFill="1" applyBorder="1" applyAlignment="1">
      <alignment horizontal="left"/>
    </xf>
    <xf numFmtId="0" fontId="0" fillId="4" borderId="4" xfId="0" quotePrefix="1" applyFont="1" applyFill="1" applyBorder="1"/>
    <xf numFmtId="3" fontId="7" fillId="4" borderId="1" xfId="1" quotePrefix="1" applyNumberFormat="1" applyFont="1" applyFill="1" applyBorder="1" applyAlignment="1">
      <alignment horizontal="left"/>
    </xf>
    <xf numFmtId="165" fontId="2" fillId="5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0" fillId="0" borderId="0" xfId="0" applyAlignment="1">
      <alignment horizontal="center"/>
    </xf>
    <xf numFmtId="0" fontId="0" fillId="12" borderId="0" xfId="0" applyFill="1" applyBorder="1"/>
    <xf numFmtId="0" fontId="2" fillId="12" borderId="7" xfId="0" quotePrefix="1" applyFont="1" applyFill="1" applyBorder="1" applyAlignment="1">
      <alignment horizontal="center" wrapText="1"/>
    </xf>
    <xf numFmtId="0" fontId="2" fillId="12" borderId="6" xfId="0" quotePrefix="1" applyFont="1" applyFill="1" applyBorder="1" applyAlignment="1">
      <alignment horizontal="center" wrapText="1"/>
    </xf>
    <xf numFmtId="3" fontId="0" fillId="0" borderId="0" xfId="0" applyNumberFormat="1"/>
    <xf numFmtId="9" fontId="5" fillId="9" borderId="0" xfId="0" applyNumberFormat="1" applyFont="1" applyFill="1"/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/>
    <xf numFmtId="9" fontId="0" fillId="12" borderId="1" xfId="0" applyNumberFormat="1" applyFill="1" applyBorder="1" applyProtection="1">
      <protection locked="0"/>
    </xf>
    <xf numFmtId="2" fontId="0" fillId="12" borderId="1" xfId="0" applyNumberFormat="1" applyFill="1" applyBorder="1" applyProtection="1">
      <protection locked="0"/>
    </xf>
    <xf numFmtId="3" fontId="0" fillId="12" borderId="1" xfId="0" applyNumberFormat="1" applyFill="1" applyBorder="1" applyProtection="1">
      <protection locked="0"/>
    </xf>
    <xf numFmtId="0" fontId="0" fillId="0" borderId="0" xfId="0" applyAlignment="1">
      <alignment horizontal="center"/>
    </xf>
  </cellXfs>
  <cellStyles count="3">
    <cellStyle name="Normal" xfId="0" builtinId="0"/>
    <cellStyle name="Normal 2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8EA9DB"/>
      <color rgb="FFC6E0B4"/>
      <color rgb="FFA6A6A6"/>
      <color rgb="FFC65911"/>
      <color rgb="FFFFF2CC"/>
      <color rgb="FFFCE4D6"/>
      <color rgb="FF92D050"/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zoomScale="130" zoomScaleNormal="130" workbookViewId="0">
      <selection activeCell="AI12" sqref="AI12"/>
    </sheetView>
  </sheetViews>
  <sheetFormatPr defaultRowHeight="15" x14ac:dyDescent="0.25"/>
  <cols>
    <col min="3" max="3" width="11.42578125" customWidth="1"/>
    <col min="4" max="4" width="12.85546875" customWidth="1"/>
    <col min="5" max="5" width="12.5703125" customWidth="1"/>
    <col min="6" max="6" width="16.5703125" customWidth="1"/>
    <col min="10" max="10" width="12.5703125" customWidth="1"/>
    <col min="11" max="11" width="11.5703125" customWidth="1"/>
    <col min="14" max="14" width="10.85546875" customWidth="1"/>
    <col min="15" max="15" width="51.5703125" customWidth="1"/>
    <col min="16" max="18" width="15.85546875" style="69" customWidth="1"/>
    <col min="19" max="19" width="12.85546875" customWidth="1"/>
    <col min="21" max="21" width="9.140625" style="69"/>
    <col min="33" max="34" width="11.28515625" customWidth="1"/>
  </cols>
  <sheetData>
    <row r="1" spans="1:34" ht="157.5" x14ac:dyDescent="0.25">
      <c r="B1" s="52" t="s">
        <v>113</v>
      </c>
      <c r="C1" s="3" t="s">
        <v>3</v>
      </c>
      <c r="D1" s="8" t="s">
        <v>1</v>
      </c>
      <c r="E1" s="2" t="s">
        <v>5</v>
      </c>
      <c r="F1" s="3" t="s">
        <v>2</v>
      </c>
      <c r="G1" s="1" t="s">
        <v>4</v>
      </c>
      <c r="H1" s="1" t="s">
        <v>22</v>
      </c>
      <c r="I1" s="1" t="s">
        <v>34</v>
      </c>
      <c r="J1" s="3" t="s">
        <v>24</v>
      </c>
      <c r="K1" s="2" t="s">
        <v>6</v>
      </c>
      <c r="L1" s="2" t="s">
        <v>7</v>
      </c>
      <c r="M1" s="17" t="s">
        <v>35</v>
      </c>
      <c r="N1" s="5" t="s">
        <v>18</v>
      </c>
      <c r="O1" s="4" t="s">
        <v>46</v>
      </c>
      <c r="P1" s="68"/>
      <c r="Q1" s="68"/>
      <c r="R1" s="12" t="s">
        <v>175</v>
      </c>
      <c r="S1" s="11" t="s">
        <v>37</v>
      </c>
      <c r="T1" s="12" t="s">
        <v>38</v>
      </c>
      <c r="U1" s="52" t="s">
        <v>8</v>
      </c>
      <c r="V1" s="3" t="s">
        <v>3</v>
      </c>
      <c r="W1" s="8" t="s">
        <v>1</v>
      </c>
      <c r="X1" s="9" t="s">
        <v>5</v>
      </c>
      <c r="Y1" s="3" t="s">
        <v>2</v>
      </c>
      <c r="Z1" s="1" t="s">
        <v>4</v>
      </c>
      <c r="AA1" s="1" t="s">
        <v>22</v>
      </c>
      <c r="AB1" s="1" t="s">
        <v>34</v>
      </c>
      <c r="AC1" s="3" t="s">
        <v>24</v>
      </c>
      <c r="AD1" s="2" t="s">
        <v>6</v>
      </c>
      <c r="AE1" s="2" t="s">
        <v>7</v>
      </c>
      <c r="AF1" s="17" t="s">
        <v>35</v>
      </c>
      <c r="AG1" s="13" t="s">
        <v>39</v>
      </c>
      <c r="AH1" s="13" t="s">
        <v>106</v>
      </c>
    </row>
    <row r="2" spans="1:34" ht="24.75" customHeight="1" x14ac:dyDescent="0.25">
      <c r="A2" s="53" t="s">
        <v>114</v>
      </c>
      <c r="B2" s="54" t="s">
        <v>115</v>
      </c>
      <c r="C2" s="54" t="s">
        <v>116</v>
      </c>
      <c r="D2" s="54" t="s">
        <v>117</v>
      </c>
      <c r="E2" s="55" t="s">
        <v>118</v>
      </c>
      <c r="F2" s="54" t="s">
        <v>119</v>
      </c>
      <c r="G2" s="54" t="s">
        <v>120</v>
      </c>
      <c r="H2" s="54" t="s">
        <v>121</v>
      </c>
      <c r="I2" s="54" t="s">
        <v>122</v>
      </c>
      <c r="J2" s="56" t="s">
        <v>123</v>
      </c>
      <c r="K2" s="55" t="s">
        <v>124</v>
      </c>
      <c r="L2" s="57" t="s">
        <v>125</v>
      </c>
      <c r="M2" s="57" t="s">
        <v>126</v>
      </c>
      <c r="N2" s="58" t="s">
        <v>127</v>
      </c>
      <c r="O2" s="59"/>
      <c r="P2" s="60" t="s">
        <v>114</v>
      </c>
      <c r="Q2" s="61" t="s">
        <v>128</v>
      </c>
      <c r="R2" s="58" t="s">
        <v>176</v>
      </c>
      <c r="S2" s="62" t="s">
        <v>129</v>
      </c>
      <c r="T2" s="58" t="s">
        <v>130</v>
      </c>
      <c r="U2" s="54" t="s">
        <v>131</v>
      </c>
      <c r="V2" s="54" t="s">
        <v>132</v>
      </c>
      <c r="W2" s="54" t="s">
        <v>133</v>
      </c>
      <c r="X2" s="55" t="s">
        <v>134</v>
      </c>
      <c r="Y2" s="54" t="s">
        <v>135</v>
      </c>
      <c r="Z2" s="54" t="s">
        <v>136</v>
      </c>
      <c r="AA2" s="54" t="s">
        <v>137</v>
      </c>
      <c r="AB2" s="54" t="s">
        <v>138</v>
      </c>
      <c r="AC2" s="54" t="s">
        <v>139</v>
      </c>
      <c r="AD2" s="55" t="s">
        <v>140</v>
      </c>
      <c r="AE2" s="55" t="s">
        <v>141</v>
      </c>
      <c r="AF2" s="57" t="s">
        <v>142</v>
      </c>
      <c r="AG2" s="54" t="s">
        <v>143</v>
      </c>
      <c r="AH2" s="54" t="s">
        <v>144</v>
      </c>
    </row>
    <row r="3" spans="1:34" ht="24.75" customHeight="1" x14ac:dyDescent="0.25">
      <c r="A3" s="53" t="s">
        <v>128</v>
      </c>
      <c r="B3" s="63"/>
      <c r="C3" s="64" t="s">
        <v>145</v>
      </c>
      <c r="D3" s="64" t="s">
        <v>145</v>
      </c>
      <c r="E3" s="64" t="s">
        <v>115</v>
      </c>
      <c r="F3" s="64" t="s">
        <v>115</v>
      </c>
      <c r="G3" s="64" t="s">
        <v>115</v>
      </c>
      <c r="H3" s="64" t="s">
        <v>145</v>
      </c>
      <c r="I3" s="64" t="s">
        <v>145</v>
      </c>
      <c r="J3" s="64" t="s">
        <v>115</v>
      </c>
      <c r="K3" s="64" t="s">
        <v>115</v>
      </c>
      <c r="L3" s="65" t="s">
        <v>115</v>
      </c>
      <c r="M3" s="65" t="s">
        <v>115</v>
      </c>
      <c r="N3" s="58"/>
      <c r="O3" s="59" t="s">
        <v>146</v>
      </c>
      <c r="P3" s="60"/>
      <c r="Q3" s="61"/>
      <c r="R3" s="84"/>
      <c r="S3" s="66"/>
      <c r="T3" s="67"/>
      <c r="U3" s="63"/>
      <c r="V3" s="64" t="s">
        <v>131</v>
      </c>
      <c r="W3" s="64" t="s">
        <v>131</v>
      </c>
      <c r="X3" s="64" t="s">
        <v>131</v>
      </c>
      <c r="Y3" s="64" t="s">
        <v>131</v>
      </c>
      <c r="Z3" s="64" t="s">
        <v>131</v>
      </c>
      <c r="AA3" s="64" t="s">
        <v>131</v>
      </c>
      <c r="AB3" s="64" t="s">
        <v>147</v>
      </c>
      <c r="AC3" s="64" t="s">
        <v>131</v>
      </c>
      <c r="AD3" s="64" t="s">
        <v>131</v>
      </c>
      <c r="AE3" s="64" t="s">
        <v>131</v>
      </c>
      <c r="AF3" s="65" t="s">
        <v>131</v>
      </c>
      <c r="AG3" s="64"/>
      <c r="AH3" s="64"/>
    </row>
    <row r="4" spans="1:34" ht="24.75" customHeight="1" x14ac:dyDescent="0.25">
      <c r="A4" s="82" t="s">
        <v>174</v>
      </c>
      <c r="B4" s="82">
        <f>'Størrelse på strømme'!E9</f>
        <v>29054.799999999999</v>
      </c>
      <c r="C4" s="64"/>
      <c r="D4" s="64"/>
      <c r="E4" s="64"/>
      <c r="F4" s="64"/>
      <c r="G4" s="64"/>
      <c r="H4" s="64"/>
      <c r="I4" s="64"/>
      <c r="J4" s="64"/>
      <c r="K4" s="64"/>
      <c r="L4" s="65"/>
      <c r="M4" s="65"/>
      <c r="N4" s="58"/>
      <c r="O4" s="59"/>
      <c r="P4" s="83"/>
      <c r="Q4" s="61"/>
      <c r="R4" s="84"/>
      <c r="S4" s="66"/>
      <c r="T4" s="67"/>
      <c r="U4" s="63">
        <f>B4</f>
        <v>29054.799999999999</v>
      </c>
      <c r="V4" s="64"/>
      <c r="W4" s="64"/>
      <c r="X4" s="64"/>
      <c r="Y4" s="64"/>
      <c r="Z4" s="64"/>
      <c r="AA4" s="64"/>
      <c r="AB4" s="64"/>
      <c r="AC4" s="64"/>
      <c r="AD4" s="64"/>
      <c r="AE4" s="64"/>
      <c r="AF4" s="65"/>
      <c r="AG4" s="64">
        <f>U4</f>
        <v>29054.799999999999</v>
      </c>
      <c r="AH4" s="64">
        <f>U4</f>
        <v>29054.799999999999</v>
      </c>
    </row>
    <row r="5" spans="1:34" x14ac:dyDescent="0.25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24">
        <f>SUM(C5:M5)</f>
        <v>0</v>
      </c>
      <c r="O5" s="22" t="s">
        <v>40</v>
      </c>
      <c r="P5" s="71" t="s">
        <v>148</v>
      </c>
      <c r="Q5" s="72"/>
      <c r="R5" s="72"/>
      <c r="S5" s="25">
        <f>SUM(V5:AF5)</f>
        <v>512217.91112221696</v>
      </c>
      <c r="T5" s="41"/>
      <c r="U5" s="70"/>
      <c r="V5" s="14">
        <f>-(C6+C5)</f>
        <v>139593.52692352174</v>
      </c>
      <c r="W5" s="14">
        <f>-(D6+D5)</f>
        <v>161921.38865167231</v>
      </c>
      <c r="X5" s="14"/>
      <c r="Y5" s="14">
        <f>-(F6+F5)</f>
        <v>119587.17972442289</v>
      </c>
      <c r="Z5" s="14">
        <f>-(G6+G5)</f>
        <v>28449.540636112033</v>
      </c>
      <c r="AA5" s="14"/>
      <c r="AB5" s="14"/>
      <c r="AC5" s="14">
        <f>-(J6+J5)</f>
        <v>62666.27518648799</v>
      </c>
      <c r="AD5" s="14"/>
      <c r="AE5" s="14"/>
      <c r="AF5" s="14"/>
      <c r="AG5" s="14"/>
      <c r="AH5" s="14"/>
    </row>
    <row r="6" spans="1:34" x14ac:dyDescent="0.25">
      <c r="C6" s="14">
        <f>-V6</f>
        <v>-139593.52692352174</v>
      </c>
      <c r="D6" s="14">
        <f>-W6</f>
        <v>-161921.38865167231</v>
      </c>
      <c r="E6" s="14"/>
      <c r="F6" s="14">
        <f>-Y6</f>
        <v>-119587.17972442289</v>
      </c>
      <c r="G6" s="14">
        <f>-Z6</f>
        <v>-28449.540636112033</v>
      </c>
      <c r="H6" s="14"/>
      <c r="I6" s="14"/>
      <c r="J6" s="14">
        <f>-AC6</f>
        <v>-62666.27518648799</v>
      </c>
      <c r="K6" s="14"/>
      <c r="L6" s="18"/>
      <c r="M6" s="18"/>
      <c r="N6" s="24">
        <f t="shared" ref="N6:N15" si="0">SUM(C6:M6)</f>
        <v>-512217.91112221696</v>
      </c>
      <c r="O6" s="23" t="s">
        <v>41</v>
      </c>
      <c r="P6" s="74" t="s">
        <v>149</v>
      </c>
      <c r="Q6" s="75"/>
      <c r="R6" s="75"/>
      <c r="S6" s="25">
        <f t="shared" ref="S6:S20" si="1">SUM(V6:AF6)</f>
        <v>512217.91112221696</v>
      </c>
      <c r="T6" s="41"/>
      <c r="U6" s="70"/>
      <c r="V6" s="14">
        <f>-(C16+C8)</f>
        <v>139593.52692352174</v>
      </c>
      <c r="W6" s="14">
        <f>-(D16+D8)</f>
        <v>161921.38865167231</v>
      </c>
      <c r="X6" s="14"/>
      <c r="Y6" s="14">
        <f>-(F16+F8)</f>
        <v>119587.17972442289</v>
      </c>
      <c r="Z6" s="14">
        <f>-(G16+G8)</f>
        <v>28449.540636112033</v>
      </c>
      <c r="AA6" s="14"/>
      <c r="AB6" s="14"/>
      <c r="AC6" s="14">
        <f>-(J16+J8)</f>
        <v>62666.27518648799</v>
      </c>
      <c r="AD6" s="14"/>
      <c r="AE6" s="14"/>
      <c r="AF6" s="14"/>
      <c r="AG6" s="21">
        <f>-(N6+S6)</f>
        <v>0</v>
      </c>
      <c r="AH6" s="21"/>
    </row>
    <row r="7" spans="1:34" x14ac:dyDescent="0.25"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24">
        <f t="shared" si="0"/>
        <v>0</v>
      </c>
      <c r="O7" s="23" t="s">
        <v>42</v>
      </c>
      <c r="P7" s="76" t="s">
        <v>150</v>
      </c>
      <c r="Q7" s="75"/>
      <c r="R7" s="75"/>
      <c r="S7" s="25">
        <f t="shared" si="1"/>
        <v>25988.464008799994</v>
      </c>
      <c r="T7" s="41"/>
      <c r="U7" s="70"/>
      <c r="V7" s="14"/>
      <c r="W7" s="14"/>
      <c r="X7" s="14"/>
      <c r="Y7" s="14"/>
      <c r="Z7" s="16"/>
      <c r="AA7" s="19">
        <f>-H8</f>
        <v>15893.790031199998</v>
      </c>
      <c r="AB7" s="19">
        <f>-I8</f>
        <v>10094.673977599998</v>
      </c>
      <c r="AC7" s="14"/>
      <c r="AD7" s="14"/>
      <c r="AE7" s="14"/>
      <c r="AF7" s="14"/>
      <c r="AG7" s="14"/>
      <c r="AH7" s="14"/>
    </row>
    <row r="8" spans="1:34" x14ac:dyDescent="0.25">
      <c r="C8" s="14">
        <f>SUM(C9:C13)</f>
        <v>-97603.526923521742</v>
      </c>
      <c r="D8" s="14">
        <f t="shared" ref="D8:M8" si="2">SUM(D9:D13)</f>
        <v>-161921.38865167231</v>
      </c>
      <c r="E8" s="14">
        <f t="shared" si="2"/>
        <v>-15623.472776323266</v>
      </c>
      <c r="F8" s="14">
        <f t="shared" si="2"/>
        <v>-66615.179724422895</v>
      </c>
      <c r="G8" s="14">
        <f t="shared" si="2"/>
        <v>-28449.540636112033</v>
      </c>
      <c r="H8" s="14">
        <f t="shared" si="2"/>
        <v>-15893.790031199998</v>
      </c>
      <c r="I8" s="14">
        <f t="shared" si="2"/>
        <v>-10094.673977599998</v>
      </c>
      <c r="J8" s="14">
        <f t="shared" si="2"/>
        <v>-12354.275186487997</v>
      </c>
      <c r="K8" s="14">
        <f t="shared" si="2"/>
        <v>-9500</v>
      </c>
      <c r="L8" s="14">
        <f t="shared" si="2"/>
        <v>-1900</v>
      </c>
      <c r="M8" s="14">
        <f t="shared" si="2"/>
        <v>0</v>
      </c>
      <c r="N8" s="24">
        <f t="shared" si="0"/>
        <v>-419955.84790734027</v>
      </c>
      <c r="O8" s="23" t="s">
        <v>43</v>
      </c>
      <c r="P8" s="76" t="s">
        <v>151</v>
      </c>
      <c r="Q8" s="75"/>
      <c r="R8" s="75">
        <f>'Størrelse på strømme'!E18</f>
        <v>20997.792395367014</v>
      </c>
      <c r="S8" s="25">
        <f t="shared" si="1"/>
        <v>265164.22725632321</v>
      </c>
      <c r="T8" s="41"/>
      <c r="U8" s="70"/>
      <c r="V8" s="14">
        <f>SUM(V9:V13)</f>
        <v>0</v>
      </c>
      <c r="W8" s="14"/>
      <c r="X8" s="14">
        <f>(E14+E8)*-1</f>
        <v>158351.47277632327</v>
      </c>
      <c r="Y8" s="14"/>
      <c r="Z8" s="14"/>
      <c r="AA8" s="14"/>
      <c r="AB8" s="14"/>
      <c r="AC8" s="14"/>
      <c r="AD8" s="14">
        <f>(K14+K8)*-1</f>
        <v>95514.594479999985</v>
      </c>
      <c r="AE8" s="14">
        <f>(L14+L8)*-1</f>
        <v>11298.16</v>
      </c>
      <c r="AF8" s="14"/>
      <c r="AG8" s="21">
        <f>-(N8+S8)</f>
        <v>154791.62065101706</v>
      </c>
      <c r="AH8" s="21">
        <f>SUM(AH9:AH13)</f>
        <v>14256.78423302724</v>
      </c>
    </row>
    <row r="9" spans="1:34" x14ac:dyDescent="0.25">
      <c r="C9" s="27">
        <f>-($AD$9+$H$9+$I$9)/$T$9*'Key figures'!$B72</f>
        <v>-71759.444607437836</v>
      </c>
      <c r="D9" s="27">
        <f>-($AD$9+$H$9+$I$9)/$T$9*'Key figures'!$B73</f>
        <v>-1559.9879262486484</v>
      </c>
      <c r="E9" s="27">
        <f>-($AD$9+$H$9+$I$9)/$T$9*'Key figures'!$B74</f>
        <v>-6239.9517049945935</v>
      </c>
      <c r="F9" s="27">
        <f>-($AD$9+$H$9+$I$9)/$T$9*'Key figures'!$B75</f>
        <v>-40559.686082464861</v>
      </c>
      <c r="G9" s="27">
        <f>-($AD$9+$H$9+$I$9)/$T$9*'Key figures'!$B76</f>
        <v>-28079.782672475671</v>
      </c>
      <c r="H9" s="27">
        <f>AD9*'Key figures'!B57*-1</f>
        <v>-15893.790031199998</v>
      </c>
      <c r="I9" s="27">
        <f>AD9*'Key figures'!B58*-1</f>
        <v>-10038.183177599998</v>
      </c>
      <c r="J9" s="27">
        <f>-($AD$9+$H$9+$I$9)/$T$9*'Key figures'!$B77</f>
        <v>-7799.9396312432427</v>
      </c>
      <c r="K9" s="26"/>
      <c r="L9" s="26"/>
      <c r="M9" s="26"/>
      <c r="N9" s="24">
        <f t="shared" si="0"/>
        <v>-181930.76583366483</v>
      </c>
      <c r="O9" s="6" t="s">
        <v>36</v>
      </c>
      <c r="P9" s="77" t="s">
        <v>152</v>
      </c>
      <c r="Q9" s="78" t="s">
        <v>151</v>
      </c>
      <c r="R9" s="78"/>
      <c r="S9" s="25">
        <f t="shared" si="1"/>
        <v>83651.526479999986</v>
      </c>
      <c r="T9" s="41">
        <f>'Key figures'!B67</f>
        <v>0.37</v>
      </c>
      <c r="U9" s="70"/>
      <c r="V9" s="29"/>
      <c r="W9" s="29"/>
      <c r="X9" s="29"/>
      <c r="Y9" s="29"/>
      <c r="Z9" s="29"/>
      <c r="AA9" s="29"/>
      <c r="AB9" s="29"/>
      <c r="AC9" s="29"/>
      <c r="AD9" s="29">
        <f>AD8-AD10</f>
        <v>83651.526479999986</v>
      </c>
      <c r="AE9" s="29"/>
      <c r="AF9" s="29"/>
      <c r="AG9" s="30">
        <f>-(S9+N9)</f>
        <v>98279.239353664845</v>
      </c>
      <c r="AH9" s="30">
        <f>-(C9*Emissionsfaktorer!$B$2*(1-'Key figures'!H96)+D9*Emissionsfaktorer!$B$3+E9*Emissionsfaktorer!$B$4*(1-'Key figures'!H97)+F9*Emissionsfaktorer!$B$5*(1-'Key figures'!H98)+G9*Emissionsfaktorer!$B$6+H9*Emissionsfaktorer!$B$7+I9*Emissionsfaktorer!$B$8-J9*Emissionsfaktorer!B13*'Key figures'!H99+K9*Emissionsfaktorer!$B$10+L9*Emissionsfaktorer!$B$11+M9*Emissionsfaktorer!$B$12)</f>
        <v>9603.285673986682</v>
      </c>
    </row>
    <row r="10" spans="1:34" x14ac:dyDescent="0.25">
      <c r="C10" s="27">
        <f>-($AD$10+$AE$10+$H$10+$I$10)/$T$10*'Key figures'!$B79</f>
        <v>-21815.719854545445</v>
      </c>
      <c r="D10" s="27">
        <f>-($AD$10+$AE$10+$H$10+$I$10)/$T$10*'Key figures'!$B80</f>
        <v>0</v>
      </c>
      <c r="E10" s="27">
        <f>-($AD$10+$AE$10+$H$10+$I$10)/$T$10*'Key figures'!$B81</f>
        <v>-369.75796363636351</v>
      </c>
      <c r="F10" s="27">
        <f>-($AD$10+$AE$10+$H$10+$I$10)/$T$10*'Key figures'!$B82</f>
        <v>-11462.496872727268</v>
      </c>
      <c r="G10" s="27">
        <f>-($AD$10+$AE$10+$H$10+$I$10)/$T$10*'Key figures'!$B83</f>
        <v>-369.75796363636351</v>
      </c>
      <c r="H10" s="27"/>
      <c r="I10" s="27">
        <f>(AD10+AE10)*'Key figures'!B61*-1</f>
        <v>0</v>
      </c>
      <c r="J10" s="27">
        <f>-($AD$10+$AE$10+$H$10+$I$10)/$T$10*'Key figures'!$B84</f>
        <v>-2958.0637090909081</v>
      </c>
      <c r="K10" s="26"/>
      <c r="L10" s="26"/>
      <c r="M10" s="26"/>
      <c r="N10" s="24">
        <f t="shared" si="0"/>
        <v>-36975.796363636349</v>
      </c>
      <c r="O10" s="6" t="s">
        <v>10</v>
      </c>
      <c r="P10" s="77" t="s">
        <v>153</v>
      </c>
      <c r="Q10" s="78" t="s">
        <v>151</v>
      </c>
      <c r="R10" s="78"/>
      <c r="S10" s="25">
        <f t="shared" si="1"/>
        <v>20336.687999999995</v>
      </c>
      <c r="T10" s="41">
        <f>'Key figures'!B68</f>
        <v>0.55000000000000004</v>
      </c>
      <c r="U10" s="70"/>
      <c r="V10" s="29"/>
      <c r="W10" s="29"/>
      <c r="X10" s="29"/>
      <c r="Y10" s="29"/>
      <c r="Z10" s="29"/>
      <c r="AA10" s="29"/>
      <c r="AB10" s="29"/>
      <c r="AC10" s="29"/>
      <c r="AD10" s="29">
        <f>AE10*'Key figures'!B53</f>
        <v>11863.067999999997</v>
      </c>
      <c r="AE10" s="29">
        <f>AE8*'Key figures'!B48</f>
        <v>8473.619999999999</v>
      </c>
      <c r="AF10" s="29"/>
      <c r="AG10" s="30">
        <f t="shared" ref="AG10:AG11" si="3">-(S10+N10)</f>
        <v>16639.108363636355</v>
      </c>
      <c r="AH10" s="30">
        <f>-(C10*Emissionsfaktorer!$B$2*(1-'Key figures'!H97)+D10*Emissionsfaktorer!$B$3+E10*Emissionsfaktorer!$B$4*(1-'Key figures'!H98)+F10*Emissionsfaktorer!$B$5*(1-'Key figures'!H99)+G10*Emissionsfaktorer!$B$6+H10*Emissionsfaktorer!$B$7+I10*Emissionsfaktorer!$B$8-J10*Emissionsfaktorer!B14*'Key figures'!H100+K10*Emissionsfaktorer!$B$10+L10*Emissionsfaktorer!$B$11+M10*Emissionsfaktorer!$B$12)</f>
        <v>2753.9573131636348</v>
      </c>
    </row>
    <row r="11" spans="1:34" x14ac:dyDescent="0.25">
      <c r="C11" s="27">
        <f>-($AE$11+$H$11+$I$11)/$T$11*'Key figures'!$B86</f>
        <v>-608.3624615384615</v>
      </c>
      <c r="D11" s="27">
        <f>-($AE$11+$H$11+$I$11)/$T$11*'Key figures'!$B87</f>
        <v>-30.418123076923077</v>
      </c>
      <c r="E11" s="27">
        <f>-($AE$11+$H$11+$I$11)/$T$11*'Key figures'!$B88</f>
        <v>-273.76310769230764</v>
      </c>
      <c r="F11" s="27">
        <f>-($AE$11+$H$11+$I$11)/$T$11*'Key figures'!$B89</f>
        <v>-1672.9967692307694</v>
      </c>
      <c r="G11" s="27">
        <f>-($AE$11+$H$11+$I$11)/$T$11*'Key figures'!$B90</f>
        <v>0</v>
      </c>
      <c r="H11" s="27"/>
      <c r="I11" s="27">
        <f>AE11*'Key figures'!B64*-1</f>
        <v>-56.4908</v>
      </c>
      <c r="J11" s="27">
        <f>-($AE$11+$H$11+$I$11)/$T$11*'Key figures'!$B91</f>
        <v>-456.27184615384613</v>
      </c>
      <c r="K11" s="29">
        <f>AE11*'Key figures'!B51*-1</f>
        <v>0</v>
      </c>
      <c r="L11" s="26"/>
      <c r="M11" s="26"/>
      <c r="N11" s="24">
        <f t="shared" si="0"/>
        <v>-3098.3031076923075</v>
      </c>
      <c r="O11" s="6" t="s">
        <v>11</v>
      </c>
      <c r="P11" s="73" t="s">
        <v>154</v>
      </c>
      <c r="Q11" s="78" t="s">
        <v>151</v>
      </c>
      <c r="R11" s="78"/>
      <c r="S11" s="25">
        <f t="shared" si="1"/>
        <v>2824.54</v>
      </c>
      <c r="T11" s="41">
        <f>'Key figures'!B69</f>
        <v>0.91</v>
      </c>
      <c r="U11" s="70"/>
      <c r="V11" s="29"/>
      <c r="W11" s="29"/>
      <c r="X11" s="29"/>
      <c r="Y11" s="29"/>
      <c r="Z11" s="29"/>
      <c r="AA11" s="29"/>
      <c r="AB11" s="29"/>
      <c r="AC11" s="29"/>
      <c r="AD11" s="29"/>
      <c r="AE11" s="29">
        <f>AE8*'Key figures'!B49</f>
        <v>2824.54</v>
      </c>
      <c r="AF11" s="29"/>
      <c r="AG11" s="30">
        <f t="shared" si="3"/>
        <v>273.76310769230759</v>
      </c>
      <c r="AH11" s="30">
        <f>-(C11*Emissionsfaktorer!$B$2+D11*Emissionsfaktorer!$B$3+E11*Emissionsfaktorer!$B$4+F11*Emissionsfaktorer!$B$5+G11*Emissionsfaktorer!$B$6+H11*Emissionsfaktorer!$B$7+I11*Emissionsfaktorer!$B$8+J11*Emissionsfaktorer!$B$9+K11*Emissionsfaktorer!$B$10+L11*Emissionsfaktorer!$B$11+M11*Emissionsfaktorer!$B$12)</f>
        <v>173.96124587692307</v>
      </c>
    </row>
    <row r="12" spans="1:34" x14ac:dyDescent="0.25">
      <c r="C12" s="27"/>
      <c r="D12" s="27">
        <f>-X12/T12*'Key figures'!B93</f>
        <v>-159950.98260234675</v>
      </c>
      <c r="E12" s="26"/>
      <c r="F12" s="27"/>
      <c r="G12" s="27"/>
      <c r="H12" s="27"/>
      <c r="I12" s="27"/>
      <c r="J12" s="28">
        <f>-X12/T12*'Key figures'!B94</f>
        <v>0</v>
      </c>
      <c r="K12" s="26"/>
      <c r="L12" s="26"/>
      <c r="M12" s="26"/>
      <c r="N12" s="24">
        <f t="shared" si="0"/>
        <v>-159950.98260234675</v>
      </c>
      <c r="O12" s="6" t="s">
        <v>12</v>
      </c>
      <c r="P12" s="73" t="s">
        <v>155</v>
      </c>
      <c r="Q12" s="78" t="s">
        <v>151</v>
      </c>
      <c r="R12" s="78"/>
      <c r="S12" s="25">
        <f t="shared" si="1"/>
        <v>158351.47277632327</v>
      </c>
      <c r="T12" s="41">
        <f>'Key figures'!B70</f>
        <v>0.99</v>
      </c>
      <c r="U12" s="70"/>
      <c r="V12" s="29"/>
      <c r="W12" s="29"/>
      <c r="X12" s="29">
        <f>-(E9+E10+E11+E13+E14)</f>
        <v>158351.47277632327</v>
      </c>
      <c r="Y12" s="29"/>
      <c r="Z12" s="29"/>
      <c r="AA12" s="29"/>
      <c r="AB12" s="29"/>
      <c r="AC12" s="29"/>
      <c r="AD12" s="29"/>
      <c r="AE12" s="29"/>
      <c r="AF12" s="29"/>
      <c r="AG12" s="30">
        <f>-(S12+N12)</f>
        <v>1599.5098260234809</v>
      </c>
      <c r="AH12" s="30">
        <f>J12*Emissionsfaktorer!B4</f>
        <v>0</v>
      </c>
    </row>
    <row r="13" spans="1:34" x14ac:dyDescent="0.25">
      <c r="C13" s="29">
        <f>N13*'Key figures'!B42</f>
        <v>-3420</v>
      </c>
      <c r="D13" s="29">
        <f>N13*'Key figures'!B44</f>
        <v>-380</v>
      </c>
      <c r="E13" s="29">
        <f>N13*'Key figures'!B45</f>
        <v>-8740</v>
      </c>
      <c r="F13" s="29">
        <f>N13*'Key figures'!B43</f>
        <v>-12920.000000000002</v>
      </c>
      <c r="G13" s="29"/>
      <c r="H13" s="29"/>
      <c r="I13" s="29"/>
      <c r="J13" s="40">
        <f>N13*'Key figures'!B46</f>
        <v>-1140</v>
      </c>
      <c r="K13" s="29">
        <f>N13*'Key figures'!B40</f>
        <v>-9500</v>
      </c>
      <c r="L13" s="29">
        <f>N13*'Key figures'!B41</f>
        <v>-1900</v>
      </c>
      <c r="M13" s="26"/>
      <c r="N13" s="24">
        <f>N16*'Key figures'!B38</f>
        <v>-38000</v>
      </c>
      <c r="O13" s="6" t="s">
        <v>80</v>
      </c>
      <c r="P13" s="73" t="s">
        <v>156</v>
      </c>
      <c r="Q13" s="78" t="s">
        <v>151</v>
      </c>
      <c r="R13" s="78"/>
      <c r="S13" s="25">
        <f t="shared" si="1"/>
        <v>0</v>
      </c>
      <c r="T13" s="41">
        <v>0</v>
      </c>
      <c r="U13" s="70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30">
        <f>-(S13+N13)</f>
        <v>38000</v>
      </c>
      <c r="AH13" s="30">
        <f>-(C13*Emissionsfaktorer!$B$2+D13*Emissionsfaktorer!$B$3+E13*Emissionsfaktorer!$B$4+F13*Emissionsfaktorer!$B$5+G13*Emissionsfaktorer!$B$6+H13*Emissionsfaktorer!$B$7+I13*Emissionsfaktorer!$B$8+J13*Emissionsfaktorer!$B$9+K13*Emissionsfaktorer!$B$10+L13*Emissionsfaktorer!$B$11+M13*Emissionsfaktorer!$B$12)</f>
        <v>1725.5800000000002</v>
      </c>
    </row>
    <row r="14" spans="1:34" x14ac:dyDescent="0.25">
      <c r="C14" s="15"/>
      <c r="D14" s="15"/>
      <c r="E14" s="16">
        <f>-X14*1</f>
        <v>-142728</v>
      </c>
      <c r="F14" s="15"/>
      <c r="G14" s="15"/>
      <c r="H14" s="15"/>
      <c r="I14" s="15"/>
      <c r="J14" s="20"/>
      <c r="K14" s="16">
        <f>-AD14*(1+'Key figures'!B35)</f>
        <v>-86014.594479999985</v>
      </c>
      <c r="L14" s="16">
        <f>-AE14*(1+'Key figures'!B36)</f>
        <v>-9398.16</v>
      </c>
      <c r="M14" s="16"/>
      <c r="N14" s="24">
        <f t="shared" si="0"/>
        <v>-238140.75447999997</v>
      </c>
      <c r="O14" s="23" t="s">
        <v>44</v>
      </c>
      <c r="P14" s="75" t="s">
        <v>157</v>
      </c>
      <c r="Q14" s="79"/>
      <c r="R14" s="79"/>
      <c r="S14" s="25">
        <f t="shared" si="1"/>
        <v>230342.47199999998</v>
      </c>
      <c r="T14" s="41"/>
      <c r="U14" s="70"/>
      <c r="V14" s="16"/>
      <c r="W14" s="16"/>
      <c r="X14" s="16">
        <f>-E16</f>
        <v>142728</v>
      </c>
      <c r="Y14" s="16"/>
      <c r="Z14" s="16"/>
      <c r="AA14" s="16"/>
      <c r="AB14" s="16"/>
      <c r="AC14" s="16"/>
      <c r="AD14" s="16">
        <f>-K16</f>
        <v>78912.47199999998</v>
      </c>
      <c r="AE14" s="16">
        <f>-L16</f>
        <v>8702</v>
      </c>
      <c r="AF14" s="16"/>
      <c r="AG14" s="21">
        <f>-(N14+S14)</f>
        <v>7798.2824799999944</v>
      </c>
      <c r="AH14" s="21"/>
    </row>
    <row r="15" spans="1:34" x14ac:dyDescent="0.25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4">
        <f t="shared" si="0"/>
        <v>0</v>
      </c>
      <c r="O15" s="23" t="s">
        <v>45</v>
      </c>
      <c r="P15" s="76" t="s">
        <v>158</v>
      </c>
      <c r="Q15" s="75"/>
      <c r="R15" s="75"/>
      <c r="S15" s="25">
        <f t="shared" si="1"/>
        <v>2659.9999999999995</v>
      </c>
      <c r="T15" s="41"/>
      <c r="U15" s="70"/>
      <c r="V15" s="14"/>
      <c r="W15" s="14"/>
      <c r="X15" s="14"/>
      <c r="Y15" s="14"/>
      <c r="Z15" s="14"/>
      <c r="AA15" s="14"/>
      <c r="AB15" s="14">
        <f>I16*-1</f>
        <v>2659.9999999999995</v>
      </c>
      <c r="AC15" s="14"/>
      <c r="AD15" s="14"/>
      <c r="AE15" s="14"/>
      <c r="AF15" s="14"/>
      <c r="AG15" s="14"/>
      <c r="AH15" s="14"/>
    </row>
    <row r="16" spans="1:34" x14ac:dyDescent="0.25">
      <c r="C16" s="14">
        <f t="shared" ref="C16:M16" si="4">SUM(C17:C19)</f>
        <v>-41990</v>
      </c>
      <c r="D16" s="14">
        <f t="shared" si="4"/>
        <v>0</v>
      </c>
      <c r="E16" s="14">
        <f t="shared" si="4"/>
        <v>-142728</v>
      </c>
      <c r="F16" s="14">
        <f t="shared" si="4"/>
        <v>-52972</v>
      </c>
      <c r="G16" s="14">
        <f t="shared" si="4"/>
        <v>0</v>
      </c>
      <c r="H16" s="14">
        <f t="shared" si="4"/>
        <v>0</v>
      </c>
      <c r="I16" s="14">
        <f t="shared" si="4"/>
        <v>-2659.9999999999995</v>
      </c>
      <c r="J16" s="14">
        <f t="shared" si="4"/>
        <v>-50311.999999999993</v>
      </c>
      <c r="K16" s="14">
        <f t="shared" si="4"/>
        <v>-78912.47199999998</v>
      </c>
      <c r="L16" s="14">
        <f t="shared" si="4"/>
        <v>-8702</v>
      </c>
      <c r="M16" s="14">
        <f t="shared" si="4"/>
        <v>0</v>
      </c>
      <c r="N16" s="24">
        <f>'Key figures'!B4</f>
        <v>-380000</v>
      </c>
      <c r="O16" s="10" t="s">
        <v>13</v>
      </c>
      <c r="P16" s="80" t="s">
        <v>159</v>
      </c>
      <c r="Q16" s="80"/>
      <c r="R16" s="80">
        <f>'Størrelse på strømme'!E20</f>
        <v>12666.666666666666</v>
      </c>
      <c r="S16" s="25">
        <f t="shared" si="1"/>
        <v>233510</v>
      </c>
      <c r="T16" s="41"/>
      <c r="U16" s="70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>
        <f>SUM(AF17:AF19)</f>
        <v>233510</v>
      </c>
      <c r="AG16" s="14">
        <f t="shared" ref="AG16:AH16" si="5">SUM(AG17:AG19)</f>
        <v>146490</v>
      </c>
      <c r="AH16" s="14">
        <f t="shared" si="5"/>
        <v>17855.781999999999</v>
      </c>
    </row>
    <row r="17" spans="3:34" x14ac:dyDescent="0.25">
      <c r="C17" s="26">
        <f>N17*'Key figures'!B10</f>
        <v>-35340</v>
      </c>
      <c r="D17" s="26">
        <f>N17*'Key figures'!B11</f>
        <v>0</v>
      </c>
      <c r="E17" s="26">
        <f>N17*'Key figures'!B12</f>
        <v>-11780</v>
      </c>
      <c r="F17" s="26">
        <f>N17*'Key figures'!B13</f>
        <v>-21204</v>
      </c>
      <c r="G17" s="26"/>
      <c r="H17" s="26"/>
      <c r="I17" s="26">
        <f>N17*'Key figures'!B14</f>
        <v>0</v>
      </c>
      <c r="J17" s="26">
        <f>N17*'Key figures'!B15</f>
        <v>-10602</v>
      </c>
      <c r="K17" s="26">
        <f>N17*'Key figures'!B16</f>
        <v>-34162</v>
      </c>
      <c r="L17" s="26">
        <f>N17*'Key figures'!B17</f>
        <v>-4712</v>
      </c>
      <c r="M17" s="26"/>
      <c r="N17" s="24">
        <f>'Key figures'!B6*N16</f>
        <v>-117800</v>
      </c>
      <c r="O17" s="6" t="s">
        <v>14</v>
      </c>
      <c r="P17" s="73" t="s">
        <v>160</v>
      </c>
      <c r="Q17" s="78" t="s">
        <v>159</v>
      </c>
      <c r="R17" s="78"/>
      <c r="S17" s="25">
        <f t="shared" si="1"/>
        <v>88350</v>
      </c>
      <c r="T17" s="41">
        <v>0.75</v>
      </c>
      <c r="U17" s="70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>
        <f>-N17*T17</f>
        <v>88350</v>
      </c>
      <c r="AG17" s="26">
        <f>-(AF17+N17)</f>
        <v>29450</v>
      </c>
      <c r="AH17" s="30">
        <f>-(C17*Emissionsfaktorer!$B$2+D17*Emissionsfaktorer!$B$3+E17*Emissionsfaktorer!$B$4+F17*Emissionsfaktorer!$B$5+G17*Emissionsfaktorer!$B$6+H17*Emissionsfaktorer!$B$7+I17*Emissionsfaktorer!$B$8+J17*Emissionsfaktorer!$B$9+K17*Emissionsfaktorer!$B$10+L17*Emissionsfaktorer!$B$11+M17*Emissionsfaktorer!$B$12)</f>
        <v>5461.2080000000005</v>
      </c>
    </row>
    <row r="18" spans="3:34" x14ac:dyDescent="0.25">
      <c r="C18" s="26">
        <f>N18*'Key figures'!B19</f>
        <v>0</v>
      </c>
      <c r="D18" s="26"/>
      <c r="E18" s="26">
        <f>N18*'Key figures'!B20</f>
        <v>-114988</v>
      </c>
      <c r="F18" s="26">
        <f>N18*'Key figures'!B21</f>
        <v>-5168.0000000000009</v>
      </c>
      <c r="G18" s="26"/>
      <c r="H18" s="26"/>
      <c r="I18" s="26">
        <f>N18*'Key figures'!B22</f>
        <v>0</v>
      </c>
      <c r="J18" s="26">
        <f>N18*'Key figures'!B23</f>
        <v>-6460.0000000000009</v>
      </c>
      <c r="K18" s="26">
        <f>N18*'Key figures'!B24*0.333</f>
        <v>-860.47200000000021</v>
      </c>
      <c r="L18" s="26">
        <f>N18*'Key figures'!B25</f>
        <v>0</v>
      </c>
      <c r="M18" s="26"/>
      <c r="N18" s="24">
        <f>'Key figures'!B7*N16</f>
        <v>-129200.00000000001</v>
      </c>
      <c r="O18" s="6" t="s">
        <v>0</v>
      </c>
      <c r="P18" s="73" t="s">
        <v>161</v>
      </c>
      <c r="Q18" s="78" t="s">
        <v>159</v>
      </c>
      <c r="R18" s="78"/>
      <c r="S18" s="25">
        <f t="shared" si="1"/>
        <v>38760</v>
      </c>
      <c r="T18" s="41">
        <v>0.3</v>
      </c>
      <c r="U18" s="70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>
        <f t="shared" ref="AF18:AF19" si="6">-N18*T18</f>
        <v>38760</v>
      </c>
      <c r="AG18" s="26">
        <f t="shared" ref="AG18:AG19" si="7">-(AF18+N18)</f>
        <v>90440.000000000015</v>
      </c>
      <c r="AH18" s="30">
        <f>-(C18*Emissionsfaktorer!$B$2+D18*Emissionsfaktorer!$B$3+E18*Emissionsfaktorer!$B$4+F18*Emissionsfaktorer!$B$5+G18*Emissionsfaktorer!$B$6+H18*Emissionsfaktorer!$B$7+I18*Emissionsfaktorer!$B$8+J18*Emissionsfaktorer!$B$9+K18*Emissionsfaktorer!$B$10+L18*Emissionsfaktorer!$B$11+M18*Emissionsfaktorer!$B$12)</f>
        <v>9033.6640000000007</v>
      </c>
    </row>
    <row r="19" spans="3:34" x14ac:dyDescent="0.25">
      <c r="C19" s="26">
        <f>N19*'Key figures'!B27</f>
        <v>-6649.9999999999991</v>
      </c>
      <c r="D19" s="26"/>
      <c r="E19" s="26">
        <f>N19*'Key figures'!B28</f>
        <v>-15959.999999999996</v>
      </c>
      <c r="F19" s="26">
        <f>N19*'Key figures'!B29</f>
        <v>-26599.999999999996</v>
      </c>
      <c r="G19" s="26"/>
      <c r="H19" s="26"/>
      <c r="I19" s="26">
        <f>N19*'Key figures'!B30</f>
        <v>-2659.9999999999995</v>
      </c>
      <c r="J19" s="26">
        <f>N19*'Key figures'!B31</f>
        <v>-33249.999999999993</v>
      </c>
      <c r="K19" s="26">
        <f>N19*'Key figures'!B32</f>
        <v>-43889.999999999985</v>
      </c>
      <c r="L19" s="26">
        <f>N19*'Key figures'!B33</f>
        <v>-3989.9999999999991</v>
      </c>
      <c r="M19" s="26"/>
      <c r="N19" s="24">
        <f>N16*'Key figures'!B8</f>
        <v>-132999.99999999997</v>
      </c>
      <c r="O19" s="6" t="s">
        <v>15</v>
      </c>
      <c r="P19" s="73" t="s">
        <v>162</v>
      </c>
      <c r="Q19" s="78" t="s">
        <v>159</v>
      </c>
      <c r="R19" s="78"/>
      <c r="S19" s="25">
        <f t="shared" si="1"/>
        <v>106399.99999999999</v>
      </c>
      <c r="T19" s="41">
        <v>0.8</v>
      </c>
      <c r="U19" s="70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>
        <f t="shared" si="6"/>
        <v>106399.99999999999</v>
      </c>
      <c r="AG19" s="26">
        <f t="shared" si="7"/>
        <v>26599.999999999985</v>
      </c>
      <c r="AH19" s="30">
        <f>-(C19*Emissionsfaktorer!$B$2+D19*Emissionsfaktorer!$B$3+E19*Emissionsfaktorer!$B$4+F19*Emissionsfaktorer!$B$5+G19*Emissionsfaktorer!$B$6+H19*Emissionsfaktorer!$B$7+I19*Emissionsfaktorer!$B$8+J19*Emissionsfaktorer!$B$9+K19*Emissionsfaktorer!$B$10+L19*Emissionsfaktorer!$B$11+M19*Emissionsfaktorer!$B$12)</f>
        <v>3360.9099999999994</v>
      </c>
    </row>
    <row r="20" spans="3:34" x14ac:dyDescent="0.25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4">
        <f>N16</f>
        <v>-380000</v>
      </c>
      <c r="O20" s="10" t="s">
        <v>35</v>
      </c>
      <c r="P20" s="80" t="s">
        <v>163</v>
      </c>
      <c r="Q20" s="80"/>
      <c r="R20" s="80"/>
      <c r="S20" s="25">
        <f t="shared" si="1"/>
        <v>233510</v>
      </c>
      <c r="T20" s="41">
        <f>AF20/N20*-1</f>
        <v>0.61450000000000005</v>
      </c>
      <c r="U20" s="70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>
        <f>AF16</f>
        <v>233510</v>
      </c>
      <c r="AG20" s="14">
        <f>-(S20+N20)</f>
        <v>146490</v>
      </c>
      <c r="AH20" s="14"/>
    </row>
  </sheetData>
  <sheetProtection algorithmName="SHA-512" hashValue="aLcKQ4K/bvIvjfg/SPLQELdrWphlSQq+xWu3KjgwXSZHOKcvncT/xgwkyBU/UENoPzWeRRDMyBp0OdcON7unzw==" saltValue="TFUxlyR6d1KkfIpu0btuhA==" spinCount="100000" sheet="1" objects="1" scenarios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8"/>
  <sheetViews>
    <sheetView workbookViewId="0">
      <selection activeCell="C20" sqref="C20"/>
    </sheetView>
  </sheetViews>
  <sheetFormatPr defaultRowHeight="15" x14ac:dyDescent="0.25"/>
  <cols>
    <col min="1" max="1" width="22.140625" customWidth="1"/>
    <col min="2" max="2" width="12.140625" customWidth="1"/>
  </cols>
  <sheetData>
    <row r="2" spans="1:2" x14ac:dyDescent="0.25">
      <c r="A2" t="s">
        <v>203</v>
      </c>
      <c r="B2" t="s">
        <v>204</v>
      </c>
    </row>
    <row r="3" spans="1:2" x14ac:dyDescent="0.25">
      <c r="A3" t="s">
        <v>164</v>
      </c>
      <c r="B3" t="s">
        <v>173</v>
      </c>
    </row>
    <row r="4" spans="1:2" x14ac:dyDescent="0.25">
      <c r="A4" t="s">
        <v>165</v>
      </c>
      <c r="B4" t="s">
        <v>166</v>
      </c>
    </row>
    <row r="5" spans="1:2" x14ac:dyDescent="0.25">
      <c r="A5" t="s">
        <v>167</v>
      </c>
      <c r="B5" t="s">
        <v>168</v>
      </c>
    </row>
    <row r="6" spans="1:2" x14ac:dyDescent="0.25">
      <c r="A6" t="s">
        <v>169</v>
      </c>
      <c r="B6" t="s">
        <v>170</v>
      </c>
    </row>
    <row r="7" spans="1:2" x14ac:dyDescent="0.25">
      <c r="A7" t="s">
        <v>171</v>
      </c>
      <c r="B7" s="7">
        <f>'2050'!AG8+'2050'!AG14+'2050'!AG16+'2050'!AG16</f>
        <v>455569.90313101705</v>
      </c>
    </row>
    <row r="8" spans="1:2" x14ac:dyDescent="0.25">
      <c r="A8" t="s">
        <v>172</v>
      </c>
      <c r="B8" s="7">
        <f>'2050'!AH8+'2050'!AH16</f>
        <v>32112.566233027239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"/>
  <sheetViews>
    <sheetView workbookViewId="0">
      <selection activeCell="C18" sqref="C18"/>
    </sheetView>
  </sheetViews>
  <sheetFormatPr defaultRowHeight="15" x14ac:dyDescent="0.25"/>
  <cols>
    <col min="1" max="1" width="34.42578125" customWidth="1"/>
    <col min="2" max="2" width="13.42578125" customWidth="1"/>
  </cols>
  <sheetData>
    <row r="1" spans="1:2" x14ac:dyDescent="0.25">
      <c r="B1" t="s">
        <v>107</v>
      </c>
    </row>
    <row r="2" spans="1:2" x14ac:dyDescent="0.25">
      <c r="A2" t="s">
        <v>3</v>
      </c>
      <c r="B2">
        <v>9.5000000000000001E-2</v>
      </c>
    </row>
    <row r="3" spans="1:2" x14ac:dyDescent="0.25">
      <c r="A3" t="s">
        <v>108</v>
      </c>
      <c r="B3">
        <v>0</v>
      </c>
    </row>
    <row r="4" spans="1:2" x14ac:dyDescent="0.25">
      <c r="A4" t="s">
        <v>20</v>
      </c>
      <c r="B4">
        <v>7.5999999999999998E-2</v>
      </c>
    </row>
    <row r="5" spans="1:2" x14ac:dyDescent="0.25">
      <c r="A5" t="s">
        <v>2</v>
      </c>
      <c r="B5">
        <v>5.7000000000000002E-2</v>
      </c>
    </row>
    <row r="6" spans="1:2" x14ac:dyDescent="0.25">
      <c r="A6" t="s">
        <v>4</v>
      </c>
      <c r="B6">
        <v>0</v>
      </c>
    </row>
    <row r="7" spans="1:2" x14ac:dyDescent="0.25">
      <c r="A7" t="s">
        <v>22</v>
      </c>
      <c r="B7">
        <v>0</v>
      </c>
    </row>
    <row r="8" spans="1:2" x14ac:dyDescent="0.25">
      <c r="A8" t="s">
        <v>109</v>
      </c>
      <c r="B8">
        <v>0</v>
      </c>
    </row>
    <row r="9" spans="1:2" x14ac:dyDescent="0.25">
      <c r="A9" t="s">
        <v>110</v>
      </c>
      <c r="B9">
        <v>0</v>
      </c>
    </row>
    <row r="10" spans="1:2" x14ac:dyDescent="0.25">
      <c r="A10" t="s">
        <v>6</v>
      </c>
      <c r="B10">
        <v>0</v>
      </c>
    </row>
    <row r="11" spans="1:2" x14ac:dyDescent="0.25">
      <c r="A11" t="s">
        <v>7</v>
      </c>
      <c r="B11">
        <v>0</v>
      </c>
    </row>
    <row r="12" spans="1:2" x14ac:dyDescent="0.25">
      <c r="A12" t="s">
        <v>35</v>
      </c>
      <c r="B12">
        <v>0</v>
      </c>
    </row>
    <row r="13" spans="1:2" x14ac:dyDescent="0.25">
      <c r="A13" t="s">
        <v>211</v>
      </c>
      <c r="B13">
        <v>0.1</v>
      </c>
    </row>
  </sheetData>
  <sheetProtection algorithmName="SHA-512" hashValue="AHsiXvWFwVkULBCwm2BW7DougBIGy5MftqIjtUsxikEQc02uVs757F/kPS4JueMzkX6797Q0Uf30FSNuH2qynQ==" saltValue="Zu4vBwKU3mApDOeYLnWSI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27"/>
  <sheetViews>
    <sheetView workbookViewId="0">
      <selection activeCell="K30" sqref="K30"/>
    </sheetView>
  </sheetViews>
  <sheetFormatPr defaultRowHeight="15" x14ac:dyDescent="0.25"/>
  <cols>
    <col min="1" max="1" width="50.28515625" customWidth="1"/>
    <col min="2" max="2" width="10.7109375" customWidth="1"/>
    <col min="3" max="3" width="13.140625" customWidth="1"/>
    <col min="4" max="4" width="14.5703125" customWidth="1"/>
    <col min="5" max="5" width="17.140625" customWidth="1"/>
  </cols>
  <sheetData>
    <row r="3" spans="1:5" x14ac:dyDescent="0.25">
      <c r="A3" t="s">
        <v>177</v>
      </c>
    </row>
    <row r="4" spans="1:5" x14ac:dyDescent="0.25">
      <c r="B4" s="81" t="s">
        <v>178</v>
      </c>
      <c r="C4" s="81" t="s">
        <v>179</v>
      </c>
      <c r="D4" t="s">
        <v>180</v>
      </c>
      <c r="E4" t="s">
        <v>181</v>
      </c>
    </row>
    <row r="5" spans="1:5" x14ac:dyDescent="0.25">
      <c r="A5" t="s">
        <v>182</v>
      </c>
      <c r="B5">
        <v>50</v>
      </c>
      <c r="C5">
        <f>'2050'!N6*-1</f>
        <v>512217.91112221696</v>
      </c>
      <c r="D5">
        <v>1</v>
      </c>
      <c r="E5">
        <f>(C5)/(B5-D5*4)</f>
        <v>11135.171980917759</v>
      </c>
    </row>
    <row r="6" spans="1:5" x14ac:dyDescent="0.25">
      <c r="A6" t="s">
        <v>183</v>
      </c>
      <c r="B6">
        <v>14</v>
      </c>
      <c r="C6" s="7">
        <f>'2050'!S7</f>
        <v>25988.464008799994</v>
      </c>
      <c r="E6">
        <f t="shared" ref="E6:E15" si="0">(C6)/(B6-D6*4)</f>
        <v>1856.3188577714282</v>
      </c>
    </row>
    <row r="7" spans="1:5" x14ac:dyDescent="0.25">
      <c r="A7" t="s">
        <v>184</v>
      </c>
      <c r="B7">
        <v>60</v>
      </c>
      <c r="C7">
        <f>'2050'!N8*-1</f>
        <v>419955.84790734027</v>
      </c>
      <c r="D7">
        <v>5</v>
      </c>
      <c r="E7">
        <f t="shared" si="0"/>
        <v>10498.896197683507</v>
      </c>
    </row>
    <row r="8" spans="1:5" x14ac:dyDescent="0.25">
      <c r="A8" t="s">
        <v>185</v>
      </c>
      <c r="B8">
        <v>50</v>
      </c>
      <c r="C8" s="7">
        <f>'2050'!S8</f>
        <v>265164.22725632321</v>
      </c>
      <c r="D8">
        <v>5</v>
      </c>
      <c r="E8">
        <f t="shared" si="0"/>
        <v>8838.8075752107743</v>
      </c>
    </row>
    <row r="9" spans="1:5" x14ac:dyDescent="0.25">
      <c r="A9" t="s">
        <v>186</v>
      </c>
      <c r="B9">
        <v>5</v>
      </c>
      <c r="C9">
        <f>('2050'!C16+'2050'!F16+'2050'!J16)*-1</f>
        <v>145274</v>
      </c>
      <c r="E9">
        <f t="shared" si="0"/>
        <v>29054.799999999999</v>
      </c>
    </row>
    <row r="10" spans="1:5" x14ac:dyDescent="0.25">
      <c r="A10" t="s">
        <v>187</v>
      </c>
      <c r="B10">
        <v>50</v>
      </c>
      <c r="C10">
        <f>'2050'!N14*-1</f>
        <v>238140.75447999997</v>
      </c>
      <c r="E10">
        <f t="shared" si="0"/>
        <v>4762.8150895999997</v>
      </c>
    </row>
    <row r="11" spans="1:5" x14ac:dyDescent="0.25">
      <c r="A11" t="s">
        <v>188</v>
      </c>
      <c r="B11">
        <v>10</v>
      </c>
      <c r="C11" s="7">
        <f>'2050'!S15</f>
        <v>2659.9999999999995</v>
      </c>
      <c r="E11">
        <f t="shared" si="0"/>
        <v>265.99999999999994</v>
      </c>
    </row>
    <row r="12" spans="1:5" x14ac:dyDescent="0.25">
      <c r="A12" t="s">
        <v>189</v>
      </c>
      <c r="B12">
        <v>60</v>
      </c>
      <c r="C12">
        <f>'2050'!N16*-1</f>
        <v>380000</v>
      </c>
      <c r="D12">
        <v>5</v>
      </c>
      <c r="E12">
        <f t="shared" si="0"/>
        <v>9500</v>
      </c>
    </row>
    <row r="13" spans="1:5" x14ac:dyDescent="0.25">
      <c r="A13" t="s">
        <v>190</v>
      </c>
      <c r="B13">
        <v>24</v>
      </c>
      <c r="C13" s="7">
        <f>'2050'!AG8</f>
        <v>154791.62065101706</v>
      </c>
      <c r="E13">
        <f t="shared" si="0"/>
        <v>6449.6508604590445</v>
      </c>
    </row>
    <row r="14" spans="1:5" x14ac:dyDescent="0.25">
      <c r="A14" t="s">
        <v>191</v>
      </c>
      <c r="B14">
        <v>24</v>
      </c>
      <c r="C14" s="85">
        <f>'2050'!AG16</f>
        <v>146490</v>
      </c>
      <c r="E14">
        <f t="shared" si="0"/>
        <v>6103.75</v>
      </c>
    </row>
    <row r="15" spans="1:5" x14ac:dyDescent="0.25">
      <c r="A15" t="s">
        <v>192</v>
      </c>
      <c r="B15">
        <v>7.6</v>
      </c>
      <c r="C15" s="7">
        <f>'2050'!AG14</f>
        <v>7798.2824799999944</v>
      </c>
      <c r="E15">
        <f t="shared" si="0"/>
        <v>1026.0897999999993</v>
      </c>
    </row>
    <row r="18" spans="1:5" x14ac:dyDescent="0.25">
      <c r="A18" t="s">
        <v>193</v>
      </c>
      <c r="B18">
        <v>60</v>
      </c>
      <c r="C18">
        <f>'2050'!N8*-1</f>
        <v>419955.84790734027</v>
      </c>
      <c r="D18">
        <v>4</v>
      </c>
      <c r="E18">
        <f>(C18)/(B18-D18*10)</f>
        <v>20997.792395367014</v>
      </c>
    </row>
    <row r="19" spans="1:5" x14ac:dyDescent="0.25">
      <c r="A19" t="s">
        <v>194</v>
      </c>
      <c r="B19">
        <v>25</v>
      </c>
      <c r="C19" s="7">
        <f>'2050'!AG8</f>
        <v>154791.62065101706</v>
      </c>
      <c r="E19">
        <f t="shared" ref="E19:E27" si="1">(C19)/(B19-D19*10)</f>
        <v>6191.6648260406828</v>
      </c>
    </row>
    <row r="20" spans="1:5" x14ac:dyDescent="0.25">
      <c r="A20" t="s">
        <v>195</v>
      </c>
      <c r="B20">
        <v>60</v>
      </c>
      <c r="C20">
        <f>'2050'!N16*-1</f>
        <v>380000</v>
      </c>
      <c r="D20">
        <v>3</v>
      </c>
      <c r="E20">
        <f t="shared" si="1"/>
        <v>12666.666666666666</v>
      </c>
    </row>
    <row r="21" spans="1:5" x14ac:dyDescent="0.25">
      <c r="A21" t="s">
        <v>196</v>
      </c>
      <c r="B21">
        <v>25</v>
      </c>
      <c r="C21" s="7">
        <f>'2050'!AG16</f>
        <v>146490</v>
      </c>
      <c r="E21">
        <f t="shared" si="1"/>
        <v>5859.6</v>
      </c>
    </row>
    <row r="22" spans="1:5" x14ac:dyDescent="0.25">
      <c r="A22" t="s">
        <v>197</v>
      </c>
      <c r="B22">
        <v>60</v>
      </c>
      <c r="D22">
        <v>4</v>
      </c>
      <c r="E22">
        <f t="shared" si="1"/>
        <v>0</v>
      </c>
    </row>
    <row r="23" spans="1:5" x14ac:dyDescent="0.25">
      <c r="A23" t="s">
        <v>198</v>
      </c>
      <c r="B23">
        <v>25</v>
      </c>
      <c r="C23" s="85"/>
      <c r="E23">
        <f t="shared" si="1"/>
        <v>0</v>
      </c>
    </row>
    <row r="24" spans="1:5" x14ac:dyDescent="0.25">
      <c r="A24" t="s">
        <v>199</v>
      </c>
      <c r="B24">
        <v>50</v>
      </c>
      <c r="D24">
        <v>2</v>
      </c>
      <c r="E24">
        <f t="shared" si="1"/>
        <v>0</v>
      </c>
    </row>
    <row r="25" spans="1:5" x14ac:dyDescent="0.25">
      <c r="A25" t="s">
        <v>200</v>
      </c>
      <c r="B25">
        <v>25</v>
      </c>
      <c r="E25">
        <f t="shared" si="1"/>
        <v>0</v>
      </c>
    </row>
    <row r="26" spans="1:5" x14ac:dyDescent="0.25">
      <c r="A26" t="s">
        <v>201</v>
      </c>
      <c r="B26">
        <v>50</v>
      </c>
      <c r="D26">
        <v>2</v>
      </c>
      <c r="E26">
        <f t="shared" si="1"/>
        <v>0</v>
      </c>
    </row>
    <row r="27" spans="1:5" x14ac:dyDescent="0.25">
      <c r="A27" t="s">
        <v>202</v>
      </c>
      <c r="B27">
        <v>25</v>
      </c>
      <c r="E27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4"/>
  <sheetViews>
    <sheetView zoomScale="66" zoomScaleNormal="66" workbookViewId="0">
      <selection activeCell="H59" sqref="H59"/>
    </sheetView>
  </sheetViews>
  <sheetFormatPr defaultRowHeight="15" x14ac:dyDescent="0.25"/>
  <cols>
    <col min="1" max="1" width="36.5703125" customWidth="1"/>
    <col min="2" max="2" width="14.28515625" customWidth="1"/>
    <col min="3" max="3" width="14.140625" customWidth="1"/>
    <col min="4" max="4" width="15" customWidth="1"/>
    <col min="5" max="5" width="13.42578125" customWidth="1"/>
    <col min="6" max="6" width="13.7109375" customWidth="1"/>
    <col min="7" max="7" width="14.28515625" customWidth="1"/>
    <col min="8" max="8" width="26.28515625" customWidth="1"/>
    <col min="9" max="9" width="20.42578125" customWidth="1"/>
    <col min="10" max="10" width="10.7109375" customWidth="1"/>
    <col min="11" max="11" width="12.85546875" customWidth="1"/>
    <col min="12" max="12" width="17.5703125" customWidth="1"/>
  </cols>
  <sheetData>
    <row r="1" spans="1:12" ht="30.75" customHeight="1" x14ac:dyDescent="0.25">
      <c r="B1" t="s">
        <v>19</v>
      </c>
      <c r="C1" t="s">
        <v>1</v>
      </c>
      <c r="D1" t="s">
        <v>20</v>
      </c>
      <c r="E1" t="s">
        <v>21</v>
      </c>
      <c r="F1" t="s">
        <v>4</v>
      </c>
      <c r="G1" t="s">
        <v>22</v>
      </c>
      <c r="H1" t="s">
        <v>23</v>
      </c>
      <c r="I1" t="s">
        <v>24</v>
      </c>
      <c r="J1" t="s">
        <v>6</v>
      </c>
      <c r="K1" t="s">
        <v>7</v>
      </c>
      <c r="L1" t="s">
        <v>25</v>
      </c>
    </row>
    <row r="2" spans="1:12" x14ac:dyDescent="0.25">
      <c r="B2" t="s">
        <v>26</v>
      </c>
      <c r="C2" t="s">
        <v>26</v>
      </c>
      <c r="D2" t="s">
        <v>26</v>
      </c>
      <c r="E2" t="s">
        <v>26</v>
      </c>
      <c r="F2" t="s">
        <v>26</v>
      </c>
      <c r="G2" t="s">
        <v>26</v>
      </c>
      <c r="H2" t="s">
        <v>26</v>
      </c>
      <c r="I2" t="s">
        <v>26</v>
      </c>
      <c r="J2" t="s">
        <v>26</v>
      </c>
      <c r="K2" t="s">
        <v>26</v>
      </c>
      <c r="L2" t="s">
        <v>26</v>
      </c>
    </row>
    <row r="3" spans="1:12" x14ac:dyDescent="0.25">
      <c r="A3" t="s">
        <v>8</v>
      </c>
      <c r="B3" s="7">
        <v>3886386</v>
      </c>
      <c r="C3" s="7">
        <v>4411165</v>
      </c>
      <c r="D3" s="7">
        <v>0</v>
      </c>
      <c r="E3" s="7">
        <v>2989361</v>
      </c>
      <c r="F3" s="7">
        <v>670298</v>
      </c>
      <c r="G3" s="7">
        <v>335745</v>
      </c>
      <c r="H3" s="7">
        <v>204339</v>
      </c>
      <c r="I3" s="7">
        <v>1312008</v>
      </c>
      <c r="J3" s="7">
        <v>0</v>
      </c>
      <c r="K3" s="7">
        <v>1749</v>
      </c>
      <c r="L3" s="7">
        <v>13811053</v>
      </c>
    </row>
    <row r="4" spans="1:12" x14ac:dyDescent="0.25">
      <c r="A4" t="s">
        <v>9</v>
      </c>
      <c r="B4" s="7">
        <v>790715</v>
      </c>
      <c r="C4" s="7">
        <v>2311170</v>
      </c>
      <c r="D4" s="7">
        <v>1266427</v>
      </c>
      <c r="E4" s="7">
        <v>874554</v>
      </c>
      <c r="F4" s="7">
        <v>0</v>
      </c>
      <c r="G4" s="7">
        <v>0</v>
      </c>
      <c r="H4" s="7">
        <v>0</v>
      </c>
      <c r="I4" s="7">
        <v>21719</v>
      </c>
      <c r="J4" s="7">
        <v>64844</v>
      </c>
      <c r="K4" s="7">
        <v>6</v>
      </c>
      <c r="L4" s="7">
        <v>5329435</v>
      </c>
    </row>
    <row r="5" spans="1:12" x14ac:dyDescent="0.25">
      <c r="A5" t="s">
        <v>27</v>
      </c>
      <c r="B5" s="7">
        <v>-818050</v>
      </c>
      <c r="C5" s="7">
        <v>-2254043</v>
      </c>
      <c r="D5" s="7">
        <v>-1359960</v>
      </c>
      <c r="E5" s="7">
        <v>-903939</v>
      </c>
      <c r="F5" s="7">
        <v>0</v>
      </c>
      <c r="G5" s="7">
        <v>0</v>
      </c>
      <c r="H5" s="7">
        <v>0</v>
      </c>
      <c r="I5" s="7">
        <v>-16871</v>
      </c>
      <c r="J5" s="7">
        <v>-63362</v>
      </c>
      <c r="K5" s="7">
        <v>-5</v>
      </c>
      <c r="L5" s="7">
        <v>-5416229</v>
      </c>
    </row>
    <row r="6" spans="1:12" x14ac:dyDescent="0.25">
      <c r="A6" t="s">
        <v>91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x14ac:dyDescent="0.25">
      <c r="A7" t="s">
        <v>92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x14ac:dyDescent="0.25">
      <c r="A8" t="s">
        <v>93</v>
      </c>
      <c r="B8" s="7">
        <v>-8518</v>
      </c>
      <c r="C8" s="7">
        <v>-9210</v>
      </c>
      <c r="D8" s="7">
        <v>-18291</v>
      </c>
      <c r="E8" s="7">
        <v>-16291</v>
      </c>
      <c r="F8" s="7">
        <v>0</v>
      </c>
      <c r="G8" s="7">
        <v>0</v>
      </c>
      <c r="H8" s="7">
        <v>0</v>
      </c>
      <c r="I8" s="7">
        <v>360</v>
      </c>
      <c r="J8" s="7">
        <v>0</v>
      </c>
      <c r="K8" s="7">
        <v>0</v>
      </c>
      <c r="L8" s="7">
        <v>-51949</v>
      </c>
    </row>
    <row r="9" spans="1:12" x14ac:dyDescent="0.25">
      <c r="A9" t="s">
        <v>28</v>
      </c>
      <c r="B9" s="7">
        <v>3850534</v>
      </c>
      <c r="C9" s="7">
        <v>4459083</v>
      </c>
      <c r="D9" s="7">
        <v>-111824</v>
      </c>
      <c r="E9" s="7">
        <v>2943686</v>
      </c>
      <c r="F9" s="7">
        <v>670298</v>
      </c>
      <c r="G9" s="7">
        <v>335745</v>
      </c>
      <c r="H9" s="7">
        <v>204339</v>
      </c>
      <c r="I9" s="7">
        <v>1317216</v>
      </c>
      <c r="J9" s="7">
        <v>1482</v>
      </c>
      <c r="K9" s="7">
        <v>1750</v>
      </c>
      <c r="L9" s="7">
        <v>13672309</v>
      </c>
    </row>
    <row r="10" spans="1:12" x14ac:dyDescent="0.25">
      <c r="A10" t="s">
        <v>29</v>
      </c>
      <c r="B10" s="7">
        <v>-971</v>
      </c>
      <c r="C10" s="7">
        <v>-220990</v>
      </c>
      <c r="D10" s="7">
        <v>251889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29928</v>
      </c>
    </row>
    <row r="11" spans="1:12" x14ac:dyDescent="0.25">
      <c r="A11" t="s">
        <v>94</v>
      </c>
      <c r="B11" s="7">
        <v>-24271</v>
      </c>
      <c r="C11" s="7">
        <v>-14377</v>
      </c>
      <c r="D11" s="7">
        <v>23735</v>
      </c>
      <c r="E11" s="7">
        <v>2337</v>
      </c>
      <c r="F11" s="7">
        <v>0</v>
      </c>
      <c r="G11" s="7">
        <v>0</v>
      </c>
      <c r="H11" s="7">
        <v>-24</v>
      </c>
      <c r="I11" s="7">
        <v>300</v>
      </c>
      <c r="J11" s="7">
        <v>-6580</v>
      </c>
      <c r="K11" s="7">
        <v>256</v>
      </c>
      <c r="L11" s="7">
        <v>-18623</v>
      </c>
    </row>
    <row r="12" spans="1:12" x14ac:dyDescent="0.25">
      <c r="A12" t="s">
        <v>95</v>
      </c>
      <c r="B12" s="7">
        <v>-1687930</v>
      </c>
      <c r="C12" s="7">
        <v>-43024</v>
      </c>
      <c r="D12" s="7">
        <v>-189799</v>
      </c>
      <c r="E12" s="7">
        <v>-826252</v>
      </c>
      <c r="F12" s="7">
        <v>-662714</v>
      </c>
      <c r="G12" s="7">
        <v>-335745</v>
      </c>
      <c r="H12" s="7">
        <v>-158762</v>
      </c>
      <c r="I12" s="7">
        <v>-99367</v>
      </c>
      <c r="J12" s="7">
        <v>1758275</v>
      </c>
      <c r="K12" s="7">
        <v>-812</v>
      </c>
      <c r="L12" s="7">
        <v>-2246131</v>
      </c>
    </row>
    <row r="13" spans="1:12" x14ac:dyDescent="0.25">
      <c r="A13" t="s">
        <v>10</v>
      </c>
      <c r="B13" s="7">
        <v>-617674</v>
      </c>
      <c r="C13" s="7">
        <v>-7</v>
      </c>
      <c r="D13" s="7">
        <v>-18966</v>
      </c>
      <c r="E13" s="7">
        <v>-317655</v>
      </c>
      <c r="F13" s="7">
        <v>-7584</v>
      </c>
      <c r="G13" s="7">
        <v>0</v>
      </c>
      <c r="H13" s="7">
        <v>-2732</v>
      </c>
      <c r="I13" s="7">
        <v>-58530</v>
      </c>
      <c r="J13" s="7">
        <v>329790</v>
      </c>
      <c r="K13" s="7">
        <v>227042</v>
      </c>
      <c r="L13" s="7">
        <v>-466317</v>
      </c>
    </row>
    <row r="14" spans="1:12" x14ac:dyDescent="0.25">
      <c r="A14" t="s">
        <v>96</v>
      </c>
      <c r="B14" s="7">
        <v>-24143</v>
      </c>
      <c r="C14" s="7">
        <v>-654</v>
      </c>
      <c r="D14" s="7">
        <v>-11556</v>
      </c>
      <c r="E14" s="7">
        <v>-62124</v>
      </c>
      <c r="F14" s="7">
        <v>0</v>
      </c>
      <c r="G14" s="7">
        <v>0</v>
      </c>
      <c r="H14" s="7">
        <v>-1205</v>
      </c>
      <c r="I14" s="7">
        <v>-11971</v>
      </c>
      <c r="J14" s="7">
        <v>-442</v>
      </c>
      <c r="K14" s="7">
        <v>98496</v>
      </c>
      <c r="L14" s="7">
        <v>-13600</v>
      </c>
    </row>
    <row r="15" spans="1:12" x14ac:dyDescent="0.25">
      <c r="A15" t="s">
        <v>97</v>
      </c>
      <c r="B15" s="7">
        <v>-11031</v>
      </c>
      <c r="C15" s="7">
        <v>-3</v>
      </c>
      <c r="D15" s="7">
        <v>-2586</v>
      </c>
      <c r="E15" s="7">
        <v>4556</v>
      </c>
      <c r="F15" s="7">
        <v>0</v>
      </c>
      <c r="G15" s="7">
        <v>0</v>
      </c>
      <c r="H15" s="7">
        <v>0</v>
      </c>
      <c r="I15" s="7">
        <v>-186</v>
      </c>
      <c r="J15" s="7">
        <v>0</v>
      </c>
      <c r="K15" s="7">
        <v>0</v>
      </c>
      <c r="L15" s="7">
        <v>-9250</v>
      </c>
    </row>
    <row r="16" spans="1:12" x14ac:dyDescent="0.25">
      <c r="A16" t="s">
        <v>12</v>
      </c>
      <c r="B16" s="7">
        <v>0</v>
      </c>
      <c r="C16" s="7">
        <v>-4201228</v>
      </c>
      <c r="D16" s="7">
        <v>4131700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-69528</v>
      </c>
    </row>
    <row r="17" spans="1:12" x14ac:dyDescent="0.25">
      <c r="A17" t="s">
        <v>98</v>
      </c>
      <c r="B17" s="7">
        <v>-299336</v>
      </c>
      <c r="C17" s="7">
        <v>0</v>
      </c>
      <c r="D17" s="7">
        <v>-2681</v>
      </c>
      <c r="E17" s="7">
        <v>-64</v>
      </c>
      <c r="F17" s="7">
        <v>0</v>
      </c>
      <c r="G17" s="7">
        <v>0</v>
      </c>
      <c r="H17" s="7">
        <v>0</v>
      </c>
      <c r="I17" s="7">
        <v>-166</v>
      </c>
      <c r="J17" s="7">
        <v>0</v>
      </c>
      <c r="K17" s="7">
        <v>0</v>
      </c>
      <c r="L17" s="7">
        <v>-302247</v>
      </c>
    </row>
    <row r="18" spans="1:12" x14ac:dyDescent="0.25">
      <c r="A18" t="s">
        <v>99</v>
      </c>
      <c r="B18" s="7">
        <v>-10105</v>
      </c>
      <c r="C18" s="7">
        <v>14391</v>
      </c>
      <c r="D18" s="7">
        <v>0</v>
      </c>
      <c r="E18" s="7">
        <v>-17516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-13229</v>
      </c>
    </row>
    <row r="19" spans="1:12" x14ac:dyDescent="0.25">
      <c r="A19" t="s">
        <v>100</v>
      </c>
      <c r="B19" s="7">
        <v>-368</v>
      </c>
      <c r="C19" s="7">
        <v>45744</v>
      </c>
      <c r="D19" s="7">
        <v>-35141</v>
      </c>
      <c r="E19" s="7">
        <v>-12758</v>
      </c>
      <c r="F19" s="7">
        <v>0</v>
      </c>
      <c r="G19" s="7">
        <v>0</v>
      </c>
      <c r="H19" s="7">
        <v>0</v>
      </c>
      <c r="I19" s="7">
        <v>-89449</v>
      </c>
      <c r="J19" s="7">
        <v>0</v>
      </c>
      <c r="K19" s="7">
        <v>-570</v>
      </c>
      <c r="L19" s="7">
        <v>-92543</v>
      </c>
    </row>
    <row r="20" spans="1:12" x14ac:dyDescent="0.25">
      <c r="A20" t="s">
        <v>101</v>
      </c>
      <c r="B20" s="7">
        <v>-89481</v>
      </c>
      <c r="C20" s="7">
        <v>-11481</v>
      </c>
      <c r="D20" s="7">
        <v>-206709</v>
      </c>
      <c r="E20" s="7">
        <v>-288634</v>
      </c>
      <c r="F20" s="7">
        <v>0</v>
      </c>
      <c r="G20" s="7">
        <v>0</v>
      </c>
      <c r="H20" s="7">
        <v>0</v>
      </c>
      <c r="I20" s="7">
        <v>-14374</v>
      </c>
      <c r="J20" s="7">
        <v>-177941</v>
      </c>
      <c r="K20" s="7">
        <v>-36721</v>
      </c>
      <c r="L20" s="7">
        <v>-825342</v>
      </c>
    </row>
    <row r="21" spans="1:12" x14ac:dyDescent="0.25">
      <c r="A21" t="s">
        <v>30</v>
      </c>
      <c r="B21" s="7">
        <v>-4044</v>
      </c>
      <c r="C21" s="7">
        <v>-8610</v>
      </c>
      <c r="D21" s="7">
        <v>-424</v>
      </c>
      <c r="E21" s="7">
        <v>-18940</v>
      </c>
      <c r="F21" s="7">
        <v>0</v>
      </c>
      <c r="G21" s="7">
        <v>0</v>
      </c>
      <c r="H21" s="7">
        <v>-11</v>
      </c>
      <c r="I21" s="7">
        <v>-122</v>
      </c>
      <c r="J21" s="7">
        <v>-166997</v>
      </c>
      <c r="K21" s="7">
        <v>-18502</v>
      </c>
      <c r="L21" s="7">
        <v>-217651</v>
      </c>
    </row>
    <row r="22" spans="1:12" x14ac:dyDescent="0.25">
      <c r="A22" t="s">
        <v>31</v>
      </c>
      <c r="B22" s="7">
        <v>1081179</v>
      </c>
      <c r="C22" s="7">
        <v>18844</v>
      </c>
      <c r="D22" s="7">
        <v>3827636</v>
      </c>
      <c r="E22" s="7">
        <v>1406636</v>
      </c>
      <c r="F22" s="7">
        <v>0</v>
      </c>
      <c r="G22" s="7">
        <v>0</v>
      </c>
      <c r="H22" s="7">
        <v>41605</v>
      </c>
      <c r="I22" s="7">
        <v>1043349</v>
      </c>
      <c r="J22" s="7">
        <v>1737588</v>
      </c>
      <c r="K22" s="7">
        <v>270938</v>
      </c>
      <c r="L22" s="7">
        <v>9427775</v>
      </c>
    </row>
    <row r="23" spans="1:12" x14ac:dyDescent="0.25">
      <c r="A23" t="s">
        <v>14</v>
      </c>
      <c r="B23" s="7">
        <v>875642</v>
      </c>
      <c r="C23" s="7">
        <v>8727</v>
      </c>
      <c r="D23" s="7">
        <v>294619</v>
      </c>
      <c r="E23" s="7">
        <v>531425</v>
      </c>
      <c r="F23" s="7">
        <v>0</v>
      </c>
      <c r="G23" s="7">
        <v>0</v>
      </c>
      <c r="H23" s="7">
        <v>853</v>
      </c>
      <c r="I23" s="7">
        <v>194206</v>
      </c>
      <c r="J23" s="7">
        <v>731344</v>
      </c>
      <c r="K23" s="7">
        <v>123673</v>
      </c>
      <c r="L23" s="7">
        <v>2760489</v>
      </c>
    </row>
    <row r="24" spans="1:12" x14ac:dyDescent="0.25">
      <c r="A24" t="s">
        <v>0</v>
      </c>
      <c r="B24" s="7">
        <v>105</v>
      </c>
      <c r="C24" s="7">
        <v>11</v>
      </c>
      <c r="D24" s="7">
        <v>2480708</v>
      </c>
      <c r="E24" s="7">
        <v>97432</v>
      </c>
      <c r="F24" s="7">
        <v>0</v>
      </c>
      <c r="G24" s="7">
        <v>0</v>
      </c>
      <c r="H24" s="7">
        <v>0</v>
      </c>
      <c r="I24" s="7">
        <v>78645</v>
      </c>
      <c r="J24" s="7">
        <v>29030</v>
      </c>
      <c r="K24" s="7">
        <v>0</v>
      </c>
      <c r="L24" s="7">
        <v>2685933</v>
      </c>
    </row>
    <row r="25" spans="1:12" x14ac:dyDescent="0.25">
      <c r="A25" t="s">
        <v>32</v>
      </c>
      <c r="B25" s="7">
        <v>153964</v>
      </c>
      <c r="C25" s="7">
        <v>68</v>
      </c>
      <c r="D25" s="7">
        <v>422006</v>
      </c>
      <c r="E25" s="7">
        <v>616618</v>
      </c>
      <c r="F25" s="7">
        <v>0</v>
      </c>
      <c r="G25" s="7">
        <v>0</v>
      </c>
      <c r="H25" s="7">
        <v>40752</v>
      </c>
      <c r="I25" s="7">
        <v>770498</v>
      </c>
      <c r="J25" s="7">
        <v>977213</v>
      </c>
      <c r="K25" s="7">
        <v>147265</v>
      </c>
      <c r="L25" s="7">
        <v>3128385</v>
      </c>
    </row>
    <row r="26" spans="1:12" x14ac:dyDescent="0.25">
      <c r="A26" t="s">
        <v>16</v>
      </c>
      <c r="B26" s="7">
        <v>73651</v>
      </c>
      <c r="C26" s="7">
        <v>0</v>
      </c>
      <c r="D26" s="7">
        <v>206385</v>
      </c>
      <c r="E26" s="7">
        <v>419322</v>
      </c>
      <c r="F26" s="7">
        <v>0</v>
      </c>
      <c r="G26" s="7">
        <v>0</v>
      </c>
      <c r="H26" s="7">
        <v>30030</v>
      </c>
      <c r="I26" s="7">
        <v>728533</v>
      </c>
      <c r="J26" s="7">
        <v>471176</v>
      </c>
      <c r="K26" s="7">
        <v>102369</v>
      </c>
      <c r="L26" s="7">
        <v>2031466</v>
      </c>
    </row>
    <row r="27" spans="1:12" x14ac:dyDescent="0.25">
      <c r="A27" t="s">
        <v>102</v>
      </c>
      <c r="B27" s="7">
        <v>34669</v>
      </c>
      <c r="C27" s="7">
        <v>0</v>
      </c>
      <c r="D27" s="7">
        <v>83621</v>
      </c>
      <c r="E27" s="7">
        <v>184457</v>
      </c>
      <c r="F27" s="7">
        <v>0</v>
      </c>
      <c r="G27" s="7">
        <v>0</v>
      </c>
      <c r="H27" s="7">
        <v>7774</v>
      </c>
      <c r="I27" s="7">
        <v>28362</v>
      </c>
      <c r="J27" s="7">
        <v>387072</v>
      </c>
      <c r="K27" s="7">
        <v>34510</v>
      </c>
      <c r="L27" s="7">
        <v>760464</v>
      </c>
    </row>
    <row r="28" spans="1:12" x14ac:dyDescent="0.25">
      <c r="A28" t="s">
        <v>103</v>
      </c>
      <c r="B28" s="7">
        <v>15307</v>
      </c>
      <c r="C28" s="7">
        <v>10</v>
      </c>
      <c r="D28" s="7">
        <v>105504</v>
      </c>
      <c r="E28" s="7">
        <v>8938</v>
      </c>
      <c r="F28" s="7">
        <v>0</v>
      </c>
      <c r="G28" s="7">
        <v>0</v>
      </c>
      <c r="H28" s="7">
        <v>1934</v>
      </c>
      <c r="I28" s="7">
        <v>9810</v>
      </c>
      <c r="J28" s="7">
        <v>49412</v>
      </c>
      <c r="K28" s="7">
        <v>3076</v>
      </c>
      <c r="L28" s="7">
        <v>193991</v>
      </c>
    </row>
    <row r="29" spans="1:12" x14ac:dyDescent="0.25">
      <c r="A29" t="s">
        <v>33</v>
      </c>
      <c r="B29" s="7">
        <v>1</v>
      </c>
      <c r="C29" s="7">
        <v>0</v>
      </c>
      <c r="D29" s="7">
        <v>6148</v>
      </c>
      <c r="E29" s="7">
        <v>97</v>
      </c>
      <c r="F29" s="7">
        <v>0</v>
      </c>
      <c r="G29" s="7">
        <v>0</v>
      </c>
      <c r="H29" s="7">
        <v>40</v>
      </c>
      <c r="I29" s="7">
        <v>14</v>
      </c>
      <c r="J29" s="7">
        <v>615</v>
      </c>
      <c r="K29" s="7">
        <v>31</v>
      </c>
      <c r="L29" s="7">
        <v>6946</v>
      </c>
    </row>
    <row r="30" spans="1:12" x14ac:dyDescent="0.25">
      <c r="A30" t="s">
        <v>17</v>
      </c>
      <c r="B30" s="7">
        <v>30336</v>
      </c>
      <c r="C30" s="7">
        <v>58</v>
      </c>
      <c r="D30" s="7">
        <v>20349</v>
      </c>
      <c r="E30" s="7">
        <v>3804</v>
      </c>
      <c r="F30" s="7">
        <v>0</v>
      </c>
      <c r="G30" s="7">
        <v>0</v>
      </c>
      <c r="H30" s="7">
        <v>973</v>
      </c>
      <c r="I30" s="7">
        <v>3779</v>
      </c>
      <c r="J30" s="7">
        <v>68938</v>
      </c>
      <c r="K30" s="7">
        <v>7279</v>
      </c>
      <c r="L30" s="7">
        <v>135518</v>
      </c>
    </row>
    <row r="31" spans="1:12" x14ac:dyDescent="0.25">
      <c r="A31" t="s">
        <v>104</v>
      </c>
      <c r="B31" s="7">
        <v>51468</v>
      </c>
      <c r="C31" s="7">
        <v>10037</v>
      </c>
      <c r="D31" s="7">
        <v>630303</v>
      </c>
      <c r="E31" s="7">
        <v>161161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852969</v>
      </c>
    </row>
    <row r="32" spans="1:12" x14ac:dyDescent="0.25">
      <c r="B32" s="7">
        <v>3090</v>
      </c>
      <c r="C32" s="7">
        <v>9986</v>
      </c>
      <c r="D32" s="7">
        <v>440780</v>
      </c>
      <c r="E32" s="7">
        <v>159997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613853</v>
      </c>
    </row>
    <row r="34" spans="2:12" x14ac:dyDescent="0.25">
      <c r="B34" s="7">
        <f>SUM(B9,B10:B21,B22*-1)</f>
        <v>1</v>
      </c>
      <c r="C34" s="7">
        <f t="shared" ref="C34:L34" si="0">SUM(C9,C10:C21,C22*-1)</f>
        <v>0</v>
      </c>
      <c r="D34" s="7">
        <f t="shared" si="0"/>
        <v>2</v>
      </c>
      <c r="E34" s="7">
        <f t="shared" si="0"/>
        <v>0</v>
      </c>
      <c r="F34" s="7">
        <f t="shared" si="0"/>
        <v>0</v>
      </c>
      <c r="G34" s="7">
        <f t="shared" si="0"/>
        <v>0</v>
      </c>
      <c r="H34" s="7">
        <f t="shared" si="0"/>
        <v>0</v>
      </c>
      <c r="I34" s="7">
        <f t="shared" si="0"/>
        <v>2</v>
      </c>
      <c r="J34" s="7">
        <f t="shared" si="0"/>
        <v>-1</v>
      </c>
      <c r="K34" s="7">
        <f t="shared" si="0"/>
        <v>1</v>
      </c>
      <c r="L34" s="7">
        <f t="shared" si="0"/>
        <v>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9"/>
  <sheetViews>
    <sheetView tabSelected="1" zoomScale="136" zoomScaleNormal="136" workbookViewId="0">
      <pane ySplit="1" topLeftCell="A2" activePane="bottomLeft" state="frozen"/>
      <selection pane="bottomLeft" activeCell="K8" sqref="K8"/>
    </sheetView>
  </sheetViews>
  <sheetFormatPr defaultRowHeight="15" x14ac:dyDescent="0.25"/>
  <cols>
    <col min="1" max="1" width="39.5703125" customWidth="1"/>
    <col min="2" max="2" width="18.140625" customWidth="1"/>
    <col min="9" max="9" width="11.5703125" customWidth="1"/>
    <col min="10" max="10" width="13.7109375" customWidth="1"/>
  </cols>
  <sheetData>
    <row r="1" spans="1:10" ht="19.5" customHeight="1" x14ac:dyDescent="0.25">
      <c r="A1" t="s">
        <v>212</v>
      </c>
      <c r="B1" s="87">
        <f>'2050'!AH8+'2050'!AH16</f>
        <v>32112.566233027239</v>
      </c>
      <c r="C1" s="88">
        <v>23067.169655380123</v>
      </c>
      <c r="D1" s="88">
        <v>26931.594546159169</v>
      </c>
      <c r="E1" s="88">
        <v>30091.315092835473</v>
      </c>
      <c r="F1" s="88">
        <v>31645.361757272378</v>
      </c>
      <c r="G1" s="89">
        <v>32113</v>
      </c>
      <c r="H1" s="89">
        <f>B1</f>
        <v>32112.566233027239</v>
      </c>
      <c r="I1" t="s">
        <v>205</v>
      </c>
    </row>
    <row r="2" spans="1:10" ht="48.75" customHeight="1" x14ac:dyDescent="0.25">
      <c r="B2" s="46" t="s">
        <v>90</v>
      </c>
      <c r="C2" s="94" t="s">
        <v>105</v>
      </c>
      <c r="D2" s="94"/>
      <c r="E2" s="94"/>
      <c r="F2" s="94"/>
      <c r="G2" s="94"/>
      <c r="H2" s="94"/>
    </row>
    <row r="3" spans="1:10" ht="23.25" customHeight="1" x14ac:dyDescent="0.25">
      <c r="B3" s="46">
        <v>2050</v>
      </c>
      <c r="C3" s="31">
        <v>2000</v>
      </c>
      <c r="D3" s="31">
        <v>2005</v>
      </c>
      <c r="E3" s="31">
        <v>2010</v>
      </c>
      <c r="F3" s="31">
        <v>2015</v>
      </c>
      <c r="G3" s="37">
        <v>2020</v>
      </c>
      <c r="H3" s="37">
        <v>2050</v>
      </c>
    </row>
    <row r="4" spans="1:10" x14ac:dyDescent="0.25">
      <c r="A4" s="32" t="s">
        <v>31</v>
      </c>
      <c r="B4" s="85">
        <f>H4</f>
        <v>-380000</v>
      </c>
      <c r="C4" s="85">
        <v>-268900.30911999999</v>
      </c>
      <c r="D4" s="85">
        <v>-304358.64926400001</v>
      </c>
      <c r="E4" s="85">
        <v>-337574.07385599997</v>
      </c>
      <c r="F4" s="85">
        <v>-359044.276832</v>
      </c>
      <c r="G4" s="90">
        <v>-380000</v>
      </c>
      <c r="H4" s="93">
        <v>-380000</v>
      </c>
      <c r="J4" s="36"/>
    </row>
    <row r="5" spans="1:10" x14ac:dyDescent="0.25">
      <c r="A5" s="33" t="s">
        <v>49</v>
      </c>
      <c r="B5" s="35"/>
      <c r="C5" s="35"/>
      <c r="D5" s="35"/>
      <c r="E5" s="35"/>
      <c r="F5" s="35"/>
      <c r="G5" s="38"/>
      <c r="H5" s="35"/>
    </row>
    <row r="6" spans="1:10" x14ac:dyDescent="0.25">
      <c r="A6" s="32" t="s">
        <v>47</v>
      </c>
      <c r="B6" s="44">
        <f>H6</f>
        <v>0.31</v>
      </c>
      <c r="C6" s="44">
        <v>0.290804832169618</v>
      </c>
      <c r="D6" s="44">
        <v>0.30669009836166611</v>
      </c>
      <c r="E6" s="44">
        <v>0.32505933976081514</v>
      </c>
      <c r="F6" s="44">
        <v>0.32193019877067769</v>
      </c>
      <c r="G6" s="45">
        <v>0.31</v>
      </c>
      <c r="H6" s="91">
        <v>0.31</v>
      </c>
    </row>
    <row r="7" spans="1:10" x14ac:dyDescent="0.25">
      <c r="A7" s="32" t="s">
        <v>48</v>
      </c>
      <c r="B7" s="44">
        <f>H7</f>
        <v>0.34</v>
      </c>
      <c r="C7" s="44">
        <v>0.30489990594771688</v>
      </c>
      <c r="D7" s="44">
        <v>0.30388495356928191</v>
      </c>
      <c r="E7" s="44">
        <v>0.3002513753329179</v>
      </c>
      <c r="F7" s="44">
        <v>0.31323542480144739</v>
      </c>
      <c r="G7" s="45">
        <v>0.34</v>
      </c>
      <c r="H7" s="91">
        <v>0.34</v>
      </c>
    </row>
    <row r="8" spans="1:10" x14ac:dyDescent="0.25">
      <c r="A8" s="32" t="s">
        <v>50</v>
      </c>
      <c r="B8" s="44">
        <f>H8</f>
        <v>0.34999999999999992</v>
      </c>
      <c r="C8" s="44">
        <v>0.40429526188266512</v>
      </c>
      <c r="D8" s="44">
        <v>0.38942481049451577</v>
      </c>
      <c r="E8" s="44">
        <v>0.37468928490626702</v>
      </c>
      <c r="F8" s="44">
        <v>0.36483449304858906</v>
      </c>
      <c r="G8" s="45">
        <v>0.35</v>
      </c>
      <c r="H8" s="86">
        <f>1-H6-H7</f>
        <v>0.34999999999999992</v>
      </c>
    </row>
    <row r="9" spans="1:10" x14ac:dyDescent="0.25">
      <c r="A9" s="33" t="s">
        <v>58</v>
      </c>
      <c r="B9" s="47"/>
      <c r="C9" s="47"/>
      <c r="D9" s="47"/>
      <c r="E9" s="47"/>
      <c r="F9" s="47"/>
      <c r="G9" s="51"/>
      <c r="H9" s="47"/>
    </row>
    <row r="10" spans="1:10" x14ac:dyDescent="0.25">
      <c r="A10" s="32" t="s">
        <v>51</v>
      </c>
      <c r="B10" s="44">
        <f t="shared" ref="B10:B17" si="0">H10</f>
        <v>0.3</v>
      </c>
      <c r="C10" s="44">
        <v>0.21411463333792047</v>
      </c>
      <c r="D10" s="44">
        <v>0.29295530141100318</v>
      </c>
      <c r="E10" s="44">
        <v>0.32640412051388895</v>
      </c>
      <c r="F10" s="44">
        <v>0.31720539368206141</v>
      </c>
      <c r="G10" s="45">
        <v>0.3</v>
      </c>
      <c r="H10" s="91">
        <v>0.3</v>
      </c>
    </row>
    <row r="11" spans="1:10" x14ac:dyDescent="0.25">
      <c r="A11" s="32" t="s">
        <v>72</v>
      </c>
      <c r="B11" s="44">
        <f t="shared" si="0"/>
        <v>0</v>
      </c>
      <c r="C11" s="44">
        <v>2.8277886863821173E-3</v>
      </c>
      <c r="D11" s="44">
        <v>2.0141167604569221E-3</v>
      </c>
      <c r="E11" s="44">
        <v>3.6246815668209797E-3</v>
      </c>
      <c r="F11" s="44">
        <v>3.1613964047674161E-3</v>
      </c>
      <c r="G11" s="45">
        <v>0</v>
      </c>
      <c r="H11" s="91">
        <v>0</v>
      </c>
    </row>
    <row r="12" spans="1:10" x14ac:dyDescent="0.25">
      <c r="A12" s="32" t="s">
        <v>52</v>
      </c>
      <c r="B12" s="44">
        <f t="shared" si="0"/>
        <v>0.1</v>
      </c>
      <c r="C12" s="44">
        <v>0.16825101724892197</v>
      </c>
      <c r="D12" s="44">
        <v>0.14465754407842943</v>
      </c>
      <c r="E12" s="44">
        <v>0.11928823602137489</v>
      </c>
      <c r="F12" s="44">
        <v>0.10672710523389153</v>
      </c>
      <c r="G12" s="45">
        <v>0.1</v>
      </c>
      <c r="H12" s="91">
        <v>0.1</v>
      </c>
    </row>
    <row r="13" spans="1:10" x14ac:dyDescent="0.25">
      <c r="A13" s="32" t="s">
        <v>53</v>
      </c>
      <c r="B13" s="44">
        <f t="shared" si="0"/>
        <v>0.18</v>
      </c>
      <c r="C13" s="44">
        <v>0.22637302500566253</v>
      </c>
      <c r="D13" s="44">
        <v>0.19224183755632462</v>
      </c>
      <c r="E13" s="44">
        <v>0.19006206108116935</v>
      </c>
      <c r="F13" s="44">
        <v>0.19251118189567137</v>
      </c>
      <c r="G13" s="45">
        <v>0.18</v>
      </c>
      <c r="H13" s="91">
        <v>0.18</v>
      </c>
    </row>
    <row r="14" spans="1:10" x14ac:dyDescent="0.25">
      <c r="A14" s="32" t="s">
        <v>54</v>
      </c>
      <c r="B14" s="44">
        <f t="shared" si="0"/>
        <v>0</v>
      </c>
      <c r="C14" s="44">
        <v>2.3239164739440236E-4</v>
      </c>
      <c r="D14" s="44">
        <v>2.2608348491543178E-4</v>
      </c>
      <c r="E14" s="44">
        <v>1.858321847606924E-4</v>
      </c>
      <c r="F14" s="44">
        <v>3.0900322370420601E-4</v>
      </c>
      <c r="G14" s="45">
        <v>0</v>
      </c>
      <c r="H14" s="91">
        <v>0</v>
      </c>
    </row>
    <row r="15" spans="1:10" x14ac:dyDescent="0.25">
      <c r="A15" s="32" t="s">
        <v>55</v>
      </c>
      <c r="B15" s="44">
        <f t="shared" si="0"/>
        <v>0.09</v>
      </c>
      <c r="C15" s="44">
        <v>8.6688510053616066E-2</v>
      </c>
      <c r="D15" s="44">
        <v>7.6052869443516136E-2</v>
      </c>
      <c r="E15" s="44">
        <v>6.9940442120333776E-2</v>
      </c>
      <c r="F15" s="44">
        <v>7.0352028209494766E-2</v>
      </c>
      <c r="G15" s="45">
        <v>0.09</v>
      </c>
      <c r="H15" s="91">
        <v>0.09</v>
      </c>
    </row>
    <row r="16" spans="1:10" x14ac:dyDescent="0.25">
      <c r="A16" s="32" t="s">
        <v>56</v>
      </c>
      <c r="B16" s="44">
        <f t="shared" si="0"/>
        <v>0.28999999999999998</v>
      </c>
      <c r="C16" s="44">
        <v>0.247658814791889</v>
      </c>
      <c r="D16" s="44">
        <v>0.24104357265735568</v>
      </c>
      <c r="E16" s="44">
        <v>0.24337376614297859</v>
      </c>
      <c r="F16" s="44">
        <v>0.26493277096920148</v>
      </c>
      <c r="G16" s="45">
        <v>0.28999999999999998</v>
      </c>
      <c r="H16" s="86">
        <f>1-H10-H11-H12-H13-H14-H15-H17</f>
        <v>0.28999999999999998</v>
      </c>
    </row>
    <row r="17" spans="1:8" x14ac:dyDescent="0.25">
      <c r="A17" s="32" t="s">
        <v>57</v>
      </c>
      <c r="B17" s="44">
        <f t="shared" si="0"/>
        <v>0.04</v>
      </c>
      <c r="C17" s="44">
        <v>5.3854354692838752E-2</v>
      </c>
      <c r="D17" s="44">
        <v>5.0808674607998601E-2</v>
      </c>
      <c r="E17" s="44">
        <v>4.7120860368672739E-2</v>
      </c>
      <c r="F17" s="44">
        <v>4.4801120381207822E-2</v>
      </c>
      <c r="G17" s="45">
        <v>0.04</v>
      </c>
      <c r="H17" s="91">
        <v>0.04</v>
      </c>
    </row>
    <row r="18" spans="1:8" x14ac:dyDescent="0.25">
      <c r="A18" s="33" t="s">
        <v>59</v>
      </c>
      <c r="B18" s="47"/>
      <c r="C18" s="47"/>
      <c r="D18" s="47"/>
      <c r="E18" s="47"/>
      <c r="F18" s="47"/>
      <c r="G18" s="51"/>
      <c r="H18" s="47"/>
    </row>
    <row r="19" spans="1:8" x14ac:dyDescent="0.25">
      <c r="A19" s="32" t="s">
        <v>51</v>
      </c>
      <c r="B19" s="44">
        <f t="shared" ref="B19:B25" si="1">H19</f>
        <v>0</v>
      </c>
      <c r="C19" s="44">
        <v>3.4217629229005313E-4</v>
      </c>
      <c r="D19" s="44">
        <v>1.21328730688699E-4</v>
      </c>
      <c r="E19" s="44">
        <v>7.7665378715802963E-5</v>
      </c>
      <c r="F19" s="44">
        <v>3.9092561132388633E-5</v>
      </c>
      <c r="G19" s="45">
        <v>0</v>
      </c>
      <c r="H19" s="91">
        <v>0</v>
      </c>
    </row>
    <row r="20" spans="1:8" x14ac:dyDescent="0.25">
      <c r="A20" s="32" t="s">
        <v>52</v>
      </c>
      <c r="B20" s="44">
        <f t="shared" si="1"/>
        <v>0.8899999999999999</v>
      </c>
      <c r="C20" s="44">
        <v>0.95566365602600545</v>
      </c>
      <c r="D20" s="44">
        <v>0.94792779129647442</v>
      </c>
      <c r="E20" s="44">
        <v>0.92971902896794689</v>
      </c>
      <c r="F20" s="44">
        <v>0.92359265849148131</v>
      </c>
      <c r="G20" s="45">
        <v>0.89</v>
      </c>
      <c r="H20" s="86">
        <f>1-H19-H21-H22-H23-H24-H25</f>
        <v>0.8899999999999999</v>
      </c>
    </row>
    <row r="21" spans="1:8" x14ac:dyDescent="0.25">
      <c r="A21" s="32" t="s">
        <v>53</v>
      </c>
      <c r="B21" s="44">
        <f t="shared" si="1"/>
        <v>0.04</v>
      </c>
      <c r="C21" s="44">
        <v>2.9416436208380255E-2</v>
      </c>
      <c r="D21" s="44">
        <v>3.336404278195914E-2</v>
      </c>
      <c r="E21" s="44">
        <v>3.6639055522896619E-2</v>
      </c>
      <c r="F21" s="44">
        <v>3.6274918250008469E-2</v>
      </c>
      <c r="G21" s="45">
        <v>0.04</v>
      </c>
      <c r="H21" s="91">
        <v>0.04</v>
      </c>
    </row>
    <row r="22" spans="1:8" x14ac:dyDescent="0.25">
      <c r="A22" s="32" t="s">
        <v>54</v>
      </c>
      <c r="B22" s="44">
        <f t="shared" si="1"/>
        <v>0</v>
      </c>
      <c r="C22" s="44">
        <v>0</v>
      </c>
      <c r="D22" s="44">
        <v>0</v>
      </c>
      <c r="E22" s="44">
        <v>0</v>
      </c>
      <c r="F22" s="44">
        <v>0</v>
      </c>
      <c r="G22" s="45">
        <v>0</v>
      </c>
      <c r="H22" s="91">
        <v>0</v>
      </c>
    </row>
    <row r="23" spans="1:8" x14ac:dyDescent="0.25">
      <c r="A23" s="32" t="s">
        <v>55</v>
      </c>
      <c r="B23" s="44">
        <f t="shared" si="1"/>
        <v>0.05</v>
      </c>
      <c r="C23" s="44">
        <v>5.0728912109210414E-3</v>
      </c>
      <c r="D23" s="44">
        <v>8.7569464093712867E-3</v>
      </c>
      <c r="E23" s="44">
        <v>2.3201705663912987E-2</v>
      </c>
      <c r="F23" s="44">
        <v>2.9280328288159088E-2</v>
      </c>
      <c r="G23" s="45">
        <v>0.05</v>
      </c>
      <c r="H23" s="91">
        <v>0.05</v>
      </c>
    </row>
    <row r="24" spans="1:8" x14ac:dyDescent="0.25">
      <c r="A24" s="32" t="s">
        <v>56</v>
      </c>
      <c r="B24" s="44">
        <f t="shared" si="1"/>
        <v>0.02</v>
      </c>
      <c r="C24" s="44">
        <v>9.5002438644471165E-3</v>
      </c>
      <c r="D24" s="44">
        <v>9.8208363986192065E-3</v>
      </c>
      <c r="E24" s="44">
        <v>1.0348911713880745E-2</v>
      </c>
      <c r="F24" s="44">
        <v>1.0808162377840401E-2</v>
      </c>
      <c r="G24" s="45">
        <v>0.02</v>
      </c>
      <c r="H24" s="91">
        <v>0.02</v>
      </c>
    </row>
    <row r="25" spans="1:8" x14ac:dyDescent="0.25">
      <c r="A25" s="32" t="s">
        <v>57</v>
      </c>
      <c r="B25" s="44">
        <f t="shared" si="1"/>
        <v>0</v>
      </c>
      <c r="C25" s="44">
        <v>0</v>
      </c>
      <c r="D25" s="44">
        <v>0</v>
      </c>
      <c r="E25" s="44">
        <v>0</v>
      </c>
      <c r="F25" s="44">
        <v>0</v>
      </c>
      <c r="G25" s="45">
        <v>0</v>
      </c>
      <c r="H25" s="91">
        <v>0</v>
      </c>
    </row>
    <row r="26" spans="1:8" x14ac:dyDescent="0.25">
      <c r="A26" s="33" t="s">
        <v>60</v>
      </c>
      <c r="B26" s="47"/>
      <c r="C26" s="47"/>
      <c r="D26" s="47"/>
      <c r="E26" s="47"/>
      <c r="F26" s="47"/>
      <c r="G26" s="51"/>
      <c r="H26" s="47"/>
    </row>
    <row r="27" spans="1:8" x14ac:dyDescent="0.25">
      <c r="A27" s="32" t="s">
        <v>51</v>
      </c>
      <c r="B27" s="44">
        <f t="shared" ref="B27:B33" si="2">H27</f>
        <v>0.05</v>
      </c>
      <c r="C27" s="44">
        <v>4.5999642577631519E-2</v>
      </c>
      <c r="D27" s="44">
        <v>5.0410401018000837E-2</v>
      </c>
      <c r="E27" s="44">
        <v>5.134431267861795E-2</v>
      </c>
      <c r="F27" s="44">
        <v>4.9215170127717658E-2</v>
      </c>
      <c r="G27" s="45">
        <v>0.05</v>
      </c>
      <c r="H27" s="91">
        <v>0.05</v>
      </c>
    </row>
    <row r="28" spans="1:8" x14ac:dyDescent="0.25">
      <c r="A28" s="32" t="s">
        <v>52</v>
      </c>
      <c r="B28" s="44">
        <f t="shared" si="2"/>
        <v>0.12</v>
      </c>
      <c r="C28" s="44">
        <v>0.17161011073930968</v>
      </c>
      <c r="D28" s="44">
        <v>0.16455713642751513</v>
      </c>
      <c r="E28" s="44">
        <v>0.14166718805811646</v>
      </c>
      <c r="F28" s="44">
        <v>0.13489580086849925</v>
      </c>
      <c r="G28" s="45">
        <v>0.12</v>
      </c>
      <c r="H28" s="91">
        <v>0.12</v>
      </c>
    </row>
    <row r="29" spans="1:8" x14ac:dyDescent="0.25">
      <c r="A29" s="32" t="s">
        <v>53</v>
      </c>
      <c r="B29" s="44">
        <f t="shared" si="2"/>
        <v>0.2</v>
      </c>
      <c r="C29" s="44">
        <v>0.20430231769918594</v>
      </c>
      <c r="D29" s="44">
        <v>0.2005605787512815</v>
      </c>
      <c r="E29" s="44">
        <v>0.20319104808950586</v>
      </c>
      <c r="F29" s="44">
        <v>0.19710425666917594</v>
      </c>
      <c r="G29" s="45">
        <v>0.2</v>
      </c>
      <c r="H29" s="91">
        <v>0.2</v>
      </c>
    </row>
    <row r="30" spans="1:8" x14ac:dyDescent="0.25">
      <c r="A30" s="32" t="s">
        <v>54</v>
      </c>
      <c r="B30" s="44">
        <f t="shared" si="2"/>
        <v>0.02</v>
      </c>
      <c r="C30" s="44">
        <v>3.17443444072643E-3</v>
      </c>
      <c r="D30" s="44">
        <v>4.1280329649133092E-3</v>
      </c>
      <c r="E30" s="44">
        <v>7.0131288022264576E-3</v>
      </c>
      <c r="F30" s="44">
        <v>1.3026529663068965E-2</v>
      </c>
      <c r="G30" s="45">
        <v>0.02</v>
      </c>
      <c r="H30" s="91">
        <v>0.02</v>
      </c>
    </row>
    <row r="31" spans="1:8" x14ac:dyDescent="0.25">
      <c r="A31" s="32" t="s">
        <v>55</v>
      </c>
      <c r="B31" s="44">
        <f t="shared" si="2"/>
        <v>0.25</v>
      </c>
      <c r="C31" s="44">
        <v>0.28334889353127135</v>
      </c>
      <c r="D31" s="44">
        <v>0.26653244524394787</v>
      </c>
      <c r="E31" s="44">
        <v>0.25644911567044487</v>
      </c>
      <c r="F31" s="44">
        <v>0.24629257588180484</v>
      </c>
      <c r="G31" s="45">
        <v>0.25</v>
      </c>
      <c r="H31" s="91">
        <v>0.25</v>
      </c>
    </row>
    <row r="32" spans="1:8" x14ac:dyDescent="0.25">
      <c r="A32" s="32" t="s">
        <v>56</v>
      </c>
      <c r="B32" s="44">
        <f t="shared" si="2"/>
        <v>0.32999999999999996</v>
      </c>
      <c r="C32" s="44">
        <v>0.23430653898060674</v>
      </c>
      <c r="D32" s="44">
        <v>0.26210412746772294</v>
      </c>
      <c r="E32" s="44">
        <v>0.29009260243190216</v>
      </c>
      <c r="F32" s="44">
        <v>0.31236980103152268</v>
      </c>
      <c r="G32" s="45">
        <v>0.33</v>
      </c>
      <c r="H32" s="86">
        <f>1-H33-H31-H30-H29-H28-H27</f>
        <v>0.32999999999999996</v>
      </c>
    </row>
    <row r="33" spans="1:8" x14ac:dyDescent="0.25">
      <c r="A33" s="32" t="s">
        <v>57</v>
      </c>
      <c r="B33" s="44">
        <f t="shared" si="2"/>
        <v>0.03</v>
      </c>
      <c r="C33" s="44">
        <v>5.6872138310131694E-2</v>
      </c>
      <c r="D33" s="44">
        <v>5.1693853629171574E-2</v>
      </c>
      <c r="E33" s="44">
        <v>4.9982736149774082E-2</v>
      </c>
      <c r="F33" s="44">
        <v>4.7073809649387781E-2</v>
      </c>
      <c r="G33" s="45">
        <v>0.03</v>
      </c>
      <c r="H33" s="91">
        <v>0.03</v>
      </c>
    </row>
    <row r="34" spans="1:8" x14ac:dyDescent="0.25">
      <c r="A34" s="42" t="s">
        <v>81</v>
      </c>
      <c r="B34" s="47"/>
      <c r="C34" s="49"/>
      <c r="D34" s="47"/>
      <c r="E34" s="47"/>
      <c r="F34" s="47"/>
      <c r="G34" s="51"/>
      <c r="H34" s="47"/>
    </row>
    <row r="35" spans="1:8" x14ac:dyDescent="0.25">
      <c r="A35" s="32" t="s">
        <v>56</v>
      </c>
      <c r="B35" s="44">
        <f>H35</f>
        <v>0.09</v>
      </c>
      <c r="C35" s="44">
        <v>0.10778183687331339</v>
      </c>
      <c r="D35" s="44">
        <v>0.10735091666429664</v>
      </c>
      <c r="E35" s="44">
        <v>9.916655188454912E-2</v>
      </c>
      <c r="F35" s="44">
        <v>9.6108513640747975E-2</v>
      </c>
      <c r="G35" s="45">
        <v>0.09</v>
      </c>
      <c r="H35" s="91">
        <v>0.09</v>
      </c>
    </row>
    <row r="36" spans="1:8" x14ac:dyDescent="0.25">
      <c r="A36" s="32" t="s">
        <v>57</v>
      </c>
      <c r="B36" s="44">
        <f>H36</f>
        <v>0.08</v>
      </c>
      <c r="C36" s="44">
        <v>7.7700252985062598E-2</v>
      </c>
      <c r="D36" s="44">
        <v>9.5333849525988765E-2</v>
      </c>
      <c r="E36" s="44">
        <v>7.918447351834243E-2</v>
      </c>
      <c r="F36" s="44">
        <v>6.8288685972436494E-2</v>
      </c>
      <c r="G36" s="45">
        <v>0.08</v>
      </c>
      <c r="H36" s="91">
        <v>0.08</v>
      </c>
    </row>
    <row r="37" spans="1:8" x14ac:dyDescent="0.25">
      <c r="A37" s="42" t="s">
        <v>86</v>
      </c>
      <c r="B37" s="47"/>
      <c r="C37" s="47"/>
      <c r="D37" s="47"/>
      <c r="E37" s="47"/>
      <c r="F37" s="47"/>
      <c r="G37" s="51"/>
      <c r="H37" s="47"/>
    </row>
    <row r="38" spans="1:8" x14ac:dyDescent="0.25">
      <c r="A38" s="32" t="s">
        <v>82</v>
      </c>
      <c r="B38" s="44">
        <f t="shared" ref="B38:B46" si="3">H38</f>
        <v>0.1</v>
      </c>
      <c r="C38" s="44">
        <v>9.2284754187195173E-2</v>
      </c>
      <c r="D38" s="44">
        <v>9.534369352135369E-2</v>
      </c>
      <c r="E38" s="44">
        <v>9.9745002758604262E-2</v>
      </c>
      <c r="F38" s="44">
        <v>9.6251973514036346E-2</v>
      </c>
      <c r="G38" s="45">
        <v>0.1</v>
      </c>
      <c r="H38" s="91">
        <v>0.1</v>
      </c>
    </row>
    <row r="39" spans="1:8" x14ac:dyDescent="0.25">
      <c r="A39" s="43" t="s">
        <v>87</v>
      </c>
      <c r="B39" s="44">
        <f t="shared" si="3"/>
        <v>0</v>
      </c>
      <c r="C39" s="50"/>
      <c r="D39" s="48"/>
      <c r="E39" s="48"/>
      <c r="F39" s="48"/>
      <c r="G39" s="48"/>
      <c r="H39" s="48"/>
    </row>
    <row r="40" spans="1:8" x14ac:dyDescent="0.25">
      <c r="A40" s="32" t="s">
        <v>56</v>
      </c>
      <c r="B40" s="44">
        <f t="shared" si="3"/>
        <v>0.25</v>
      </c>
      <c r="C40" s="44">
        <v>0.19999865012849088</v>
      </c>
      <c r="D40" s="44">
        <v>0.1920774335421257</v>
      </c>
      <c r="E40" s="44">
        <v>0.19512801732017326</v>
      </c>
      <c r="F40" s="44">
        <v>0.21559668597987258</v>
      </c>
      <c r="G40" s="45">
        <v>0.25</v>
      </c>
      <c r="H40" s="86">
        <f>1-H41-H42-H43-H44-H45-H46</f>
        <v>0.25</v>
      </c>
    </row>
    <row r="41" spans="1:8" x14ac:dyDescent="0.25">
      <c r="A41" s="32" t="s">
        <v>57</v>
      </c>
      <c r="B41" s="44">
        <f t="shared" si="3"/>
        <v>0.05</v>
      </c>
      <c r="C41" s="44">
        <v>4.0818427095970805E-2</v>
      </c>
      <c r="D41" s="44">
        <v>4.8749482347882421E-2</v>
      </c>
      <c r="E41" s="44">
        <v>4.9626375211559048E-2</v>
      </c>
      <c r="F41" s="44">
        <v>4.4491859132335443E-2</v>
      </c>
      <c r="G41" s="45">
        <v>0.05</v>
      </c>
      <c r="H41" s="91">
        <v>0.05</v>
      </c>
    </row>
    <row r="42" spans="1:8" x14ac:dyDescent="0.25">
      <c r="A42" s="32" t="s">
        <v>51</v>
      </c>
      <c r="B42" s="44">
        <f t="shared" si="3"/>
        <v>0.09</v>
      </c>
      <c r="C42" s="44">
        <v>9.6551247028173512E-2</v>
      </c>
      <c r="D42" s="44">
        <v>0.10012943106605313</v>
      </c>
      <c r="E42" s="44">
        <v>0.13699326866040995</v>
      </c>
      <c r="F42" s="44">
        <v>0.10841687445931504</v>
      </c>
      <c r="G42" s="45">
        <v>0.09</v>
      </c>
      <c r="H42" s="91">
        <v>0.09</v>
      </c>
    </row>
    <row r="43" spans="1:8" x14ac:dyDescent="0.25">
      <c r="A43" s="32" t="s">
        <v>83</v>
      </c>
      <c r="B43" s="44">
        <f t="shared" si="3"/>
        <v>0.34</v>
      </c>
      <c r="C43" s="44">
        <v>0.30438758860640952</v>
      </c>
      <c r="D43" s="44">
        <v>0.32281723958310787</v>
      </c>
      <c r="E43" s="44">
        <v>0.3184869968127797</v>
      </c>
      <c r="F43" s="44">
        <v>0.3497144214156071</v>
      </c>
      <c r="G43" s="45">
        <v>0.34</v>
      </c>
      <c r="H43" s="91">
        <v>0.34</v>
      </c>
    </row>
    <row r="44" spans="1:8" x14ac:dyDescent="0.25">
      <c r="A44" s="32" t="s">
        <v>84</v>
      </c>
      <c r="B44" s="44">
        <f t="shared" si="3"/>
        <v>0.01</v>
      </c>
      <c r="C44" s="44">
        <v>1.614952526706364E-2</v>
      </c>
      <c r="D44" s="44">
        <v>1.4469729435683438E-2</v>
      </c>
      <c r="E44" s="44">
        <v>1.1393410922602652E-2</v>
      </c>
      <c r="F44" s="44">
        <v>1.3910597061581745E-2</v>
      </c>
      <c r="G44" s="45">
        <v>0.01</v>
      </c>
      <c r="H44" s="91">
        <v>0.01</v>
      </c>
    </row>
    <row r="45" spans="1:8" x14ac:dyDescent="0.25">
      <c r="A45" s="32" t="s">
        <v>52</v>
      </c>
      <c r="B45" s="44">
        <f t="shared" si="3"/>
        <v>0.23</v>
      </c>
      <c r="C45" s="44">
        <v>0.33248853874721801</v>
      </c>
      <c r="D45" s="44">
        <v>0.30958410349867899</v>
      </c>
      <c r="E45" s="44">
        <v>0.27119476614408522</v>
      </c>
      <c r="F45" s="44">
        <v>0.25045253967446224</v>
      </c>
      <c r="G45" s="45">
        <v>0.23</v>
      </c>
      <c r="H45" s="91">
        <v>0.23</v>
      </c>
    </row>
    <row r="46" spans="1:8" x14ac:dyDescent="0.25">
      <c r="A46" s="32" t="s">
        <v>85</v>
      </c>
      <c r="B46" s="44">
        <f t="shared" si="3"/>
        <v>0.03</v>
      </c>
      <c r="C46" s="44">
        <v>9.6043357872872478E-3</v>
      </c>
      <c r="D46" s="44">
        <v>1.2172580526468437E-2</v>
      </c>
      <c r="E46" s="44">
        <v>1.7175921377754619E-2</v>
      </c>
      <c r="F46" s="44">
        <v>1.7415810657884851E-2</v>
      </c>
      <c r="G46" s="45">
        <v>0.03</v>
      </c>
      <c r="H46" s="91">
        <v>0.03</v>
      </c>
    </row>
    <row r="47" spans="1:8" ht="30" x14ac:dyDescent="0.25">
      <c r="A47" s="34" t="s">
        <v>63</v>
      </c>
      <c r="B47" s="47"/>
      <c r="C47" s="47"/>
      <c r="D47" s="47"/>
      <c r="E47" s="47"/>
      <c r="F47" s="47"/>
      <c r="G47" s="51"/>
      <c r="H47" s="47"/>
    </row>
    <row r="48" spans="1:8" x14ac:dyDescent="0.25">
      <c r="A48" s="32" t="s">
        <v>62</v>
      </c>
      <c r="B48" s="44">
        <f>H48</f>
        <v>0.75</v>
      </c>
      <c r="C48" s="44">
        <v>0.47922115763673451</v>
      </c>
      <c r="D48" s="44">
        <v>0.60585141664387587</v>
      </c>
      <c r="E48" s="44">
        <v>0.62344833718655523</v>
      </c>
      <c r="F48" s="44">
        <v>0.69743624400223625</v>
      </c>
      <c r="G48" s="45">
        <v>0.75</v>
      </c>
      <c r="H48" s="86">
        <f>1-H49</f>
        <v>0.75</v>
      </c>
    </row>
    <row r="49" spans="1:8" x14ac:dyDescent="0.25">
      <c r="A49" s="32" t="s">
        <v>64</v>
      </c>
      <c r="B49" s="44">
        <f>H49</f>
        <v>0.25</v>
      </c>
      <c r="C49" s="44">
        <v>0.52077884236326555</v>
      </c>
      <c r="D49" s="44">
        <v>0.39414858335612413</v>
      </c>
      <c r="E49" s="44">
        <v>0.37655166281344477</v>
      </c>
      <c r="F49" s="44">
        <v>0.30256375599776369</v>
      </c>
      <c r="G49" s="45">
        <v>0.25</v>
      </c>
      <c r="H49" s="91">
        <v>0.25</v>
      </c>
    </row>
    <row r="50" spans="1:8" x14ac:dyDescent="0.25">
      <c r="A50" s="34" t="s">
        <v>111</v>
      </c>
      <c r="B50" s="47"/>
      <c r="C50" s="47"/>
      <c r="D50" s="47"/>
      <c r="E50" s="47"/>
      <c r="F50" s="47"/>
      <c r="G50" s="51"/>
      <c r="H50" s="47"/>
    </row>
    <row r="51" spans="1:8" x14ac:dyDescent="0.25">
      <c r="A51" s="32" t="s">
        <v>112</v>
      </c>
      <c r="B51" s="44">
        <f>H51</f>
        <v>0</v>
      </c>
      <c r="C51" s="44"/>
      <c r="D51" s="44"/>
      <c r="E51" s="44"/>
      <c r="F51" s="44"/>
      <c r="G51" s="45"/>
      <c r="H51" s="91">
        <v>0</v>
      </c>
    </row>
    <row r="52" spans="1:8" ht="30" x14ac:dyDescent="0.25">
      <c r="A52" s="34" t="s">
        <v>89</v>
      </c>
      <c r="B52" s="47"/>
      <c r="C52" s="47"/>
      <c r="D52" s="47"/>
      <c r="E52" s="47"/>
      <c r="F52" s="47"/>
      <c r="G52" s="51"/>
      <c r="H52" s="47"/>
    </row>
    <row r="53" spans="1:8" x14ac:dyDescent="0.25">
      <c r="A53" s="32" t="s">
        <v>88</v>
      </c>
      <c r="B53" s="44">
        <f>H53</f>
        <v>1.4</v>
      </c>
      <c r="C53" s="36">
        <v>1.0179547340410313</v>
      </c>
      <c r="D53" s="36">
        <v>1.291130505167905</v>
      </c>
      <c r="E53" s="36">
        <v>1.4336808675519044</v>
      </c>
      <c r="F53" s="36">
        <v>1.4525506293989658</v>
      </c>
      <c r="G53" s="39">
        <v>1.4</v>
      </c>
      <c r="H53" s="92">
        <v>1.4</v>
      </c>
    </row>
    <row r="54" spans="1:8" ht="30" x14ac:dyDescent="0.25">
      <c r="A54" s="34" t="s">
        <v>65</v>
      </c>
      <c r="B54" s="47"/>
      <c r="C54" s="35"/>
      <c r="D54" s="35"/>
      <c r="E54" s="35"/>
      <c r="F54" s="35"/>
      <c r="G54" s="38"/>
      <c r="H54" s="35"/>
    </row>
    <row r="55" spans="1:8" x14ac:dyDescent="0.25">
      <c r="A55" s="32" t="s">
        <v>66</v>
      </c>
      <c r="B55" s="44">
        <f>H55</f>
        <v>1</v>
      </c>
      <c r="C55" s="44">
        <v>1</v>
      </c>
      <c r="D55" s="44">
        <v>1</v>
      </c>
      <c r="E55" s="44">
        <v>1</v>
      </c>
      <c r="F55" s="44">
        <v>1</v>
      </c>
      <c r="G55" s="45">
        <v>1</v>
      </c>
      <c r="H55" s="91">
        <v>1</v>
      </c>
    </row>
    <row r="56" spans="1:8" ht="30" x14ac:dyDescent="0.25">
      <c r="A56" s="34" t="s">
        <v>69</v>
      </c>
      <c r="B56" s="47"/>
      <c r="C56" s="47"/>
      <c r="D56" s="47"/>
      <c r="E56" s="47"/>
      <c r="F56" s="47"/>
      <c r="G56" s="51"/>
      <c r="H56" s="47"/>
    </row>
    <row r="57" spans="1:8" x14ac:dyDescent="0.25">
      <c r="A57" s="32" t="s">
        <v>68</v>
      </c>
      <c r="B57" s="44">
        <f>H57</f>
        <v>0.19</v>
      </c>
      <c r="C57" s="44">
        <v>0.18992658757944858</v>
      </c>
      <c r="D57" s="44">
        <v>0.19053378998743598</v>
      </c>
      <c r="E57" s="44">
        <v>0.19165061205900505</v>
      </c>
      <c r="F57" s="44">
        <v>0.19095135857587692</v>
      </c>
      <c r="G57" s="45">
        <v>0.19</v>
      </c>
      <c r="H57" s="91">
        <v>0.19</v>
      </c>
    </row>
    <row r="58" spans="1:8" x14ac:dyDescent="0.25">
      <c r="A58" s="32" t="s">
        <v>54</v>
      </c>
      <c r="B58" s="44">
        <f>H58</f>
        <v>0.12</v>
      </c>
      <c r="C58" s="44">
        <v>4.2200752852724663E-2</v>
      </c>
      <c r="D58" s="44">
        <v>4.2624824828452694E-2</v>
      </c>
      <c r="E58" s="44">
        <v>5.5514224015795408E-2</v>
      </c>
      <c r="F58" s="44">
        <v>9.0294180375652275E-2</v>
      </c>
      <c r="G58" s="45">
        <v>0.12</v>
      </c>
      <c r="H58" s="91">
        <v>0.12</v>
      </c>
    </row>
    <row r="59" spans="1:8" x14ac:dyDescent="0.25">
      <c r="A59" s="32" t="s">
        <v>70</v>
      </c>
      <c r="B59" s="44">
        <f>H59</f>
        <v>0.69</v>
      </c>
      <c r="C59" s="44">
        <v>0.7678726595678268</v>
      </c>
      <c r="D59" s="44">
        <v>0.76684138518411138</v>
      </c>
      <c r="E59" s="44">
        <v>0.75283516392519956</v>
      </c>
      <c r="F59" s="44">
        <v>0.71875446104847085</v>
      </c>
      <c r="G59" s="45">
        <v>0.69</v>
      </c>
      <c r="H59" s="86">
        <f>1-H58-H57</f>
        <v>0.69</v>
      </c>
    </row>
    <row r="60" spans="1:8" x14ac:dyDescent="0.25">
      <c r="A60" s="34" t="s">
        <v>77</v>
      </c>
      <c r="B60" s="47"/>
      <c r="C60" s="47"/>
      <c r="D60" s="47"/>
      <c r="E60" s="47"/>
      <c r="F60" s="47"/>
      <c r="G60" s="51"/>
      <c r="H60" s="47"/>
    </row>
    <row r="61" spans="1:8" x14ac:dyDescent="0.25">
      <c r="A61" s="32" t="s">
        <v>54</v>
      </c>
      <c r="B61" s="44">
        <f>H61</f>
        <v>0</v>
      </c>
      <c r="C61" s="44">
        <v>3.1371631537528981E-3</v>
      </c>
      <c r="D61" s="44">
        <v>2.169556011006307E-3</v>
      </c>
      <c r="E61" s="44">
        <v>3.9949364912541174E-3</v>
      </c>
      <c r="F61" s="44">
        <v>4.9063272225734157E-3</v>
      </c>
      <c r="G61" s="45">
        <v>0</v>
      </c>
      <c r="H61" s="91">
        <v>0</v>
      </c>
    </row>
    <row r="62" spans="1:8" x14ac:dyDescent="0.25">
      <c r="A62" s="32" t="s">
        <v>70</v>
      </c>
      <c r="B62" s="44">
        <f>H62</f>
        <v>1</v>
      </c>
      <c r="C62" s="44">
        <v>0.9968628368462471</v>
      </c>
      <c r="D62" s="44">
        <v>0.99783044398899368</v>
      </c>
      <c r="E62" s="44">
        <v>0.99600506350874585</v>
      </c>
      <c r="F62" s="44">
        <v>0.99509367277742655</v>
      </c>
      <c r="G62" s="45">
        <v>1</v>
      </c>
      <c r="H62" s="86">
        <f>1-H61</f>
        <v>1</v>
      </c>
    </row>
    <row r="63" spans="1:8" x14ac:dyDescent="0.25">
      <c r="A63" s="34" t="s">
        <v>78</v>
      </c>
      <c r="B63" s="47"/>
      <c r="C63" s="47"/>
      <c r="D63" s="47"/>
      <c r="E63" s="47"/>
      <c r="F63" s="47"/>
      <c r="G63" s="51"/>
      <c r="H63" s="47"/>
    </row>
    <row r="64" spans="1:8" x14ac:dyDescent="0.25">
      <c r="A64" s="32" t="s">
        <v>54</v>
      </c>
      <c r="B64" s="44">
        <f>H64</f>
        <v>0.02</v>
      </c>
      <c r="C64" s="44">
        <v>3.0147644468433835E-3</v>
      </c>
      <c r="D64" s="44">
        <v>5.112335803099304E-3</v>
      </c>
      <c r="E64" s="44">
        <v>6.9505120394203444E-3</v>
      </c>
      <c r="F64" s="44">
        <v>1.2233999350227421E-2</v>
      </c>
      <c r="G64" s="45">
        <v>0.02</v>
      </c>
      <c r="H64" s="91">
        <v>0.02</v>
      </c>
    </row>
    <row r="65" spans="1:8" x14ac:dyDescent="0.25">
      <c r="A65" s="32" t="s">
        <v>70</v>
      </c>
      <c r="B65" s="44">
        <f>H65</f>
        <v>0.98</v>
      </c>
      <c r="C65" s="44">
        <v>0.99698523555315666</v>
      </c>
      <c r="D65" s="44">
        <v>0.99488766419690067</v>
      </c>
      <c r="E65" s="44">
        <v>0.99304948796057968</v>
      </c>
      <c r="F65" s="44">
        <v>0.9877660006497726</v>
      </c>
      <c r="G65" s="45">
        <v>0.98</v>
      </c>
      <c r="H65" s="86">
        <f>1-H64</f>
        <v>0.98</v>
      </c>
    </row>
    <row r="66" spans="1:8" x14ac:dyDescent="0.25">
      <c r="A66" s="33" t="s">
        <v>79</v>
      </c>
      <c r="B66" s="47"/>
      <c r="C66" s="47"/>
      <c r="D66" s="47"/>
      <c r="E66" s="47"/>
      <c r="F66" s="47"/>
      <c r="G66" s="51"/>
      <c r="H66" s="47"/>
    </row>
    <row r="67" spans="1:8" x14ac:dyDescent="0.25">
      <c r="A67" s="32" t="s">
        <v>61</v>
      </c>
      <c r="B67" s="44">
        <f>H67</f>
        <v>0.37</v>
      </c>
      <c r="C67" s="44">
        <v>0.33948205157851746</v>
      </c>
      <c r="D67" s="44">
        <v>0.34839951932922897</v>
      </c>
      <c r="E67" s="44">
        <v>0.35625119583901593</v>
      </c>
      <c r="F67" s="44">
        <v>0.36461205829555271</v>
      </c>
      <c r="G67" s="45">
        <v>0.37</v>
      </c>
      <c r="H67" s="91">
        <v>0.37</v>
      </c>
    </row>
    <row r="68" spans="1:8" x14ac:dyDescent="0.25">
      <c r="A68" s="32" t="s">
        <v>62</v>
      </c>
      <c r="B68" s="44">
        <f>H68</f>
        <v>0.55000000000000004</v>
      </c>
      <c r="C68" s="44">
        <v>0.57885138292244642</v>
      </c>
      <c r="D68" s="44">
        <v>0.5255362925589967</v>
      </c>
      <c r="E68" s="44">
        <v>0.53739220071799432</v>
      </c>
      <c r="F68" s="44">
        <v>0.54301755472560509</v>
      </c>
      <c r="G68" s="45">
        <v>0.55000000000000004</v>
      </c>
      <c r="H68" s="91">
        <v>0.55000000000000004</v>
      </c>
    </row>
    <row r="69" spans="1:8" x14ac:dyDescent="0.25">
      <c r="A69" s="32" t="s">
        <v>67</v>
      </c>
      <c r="B69" s="44">
        <f>H69</f>
        <v>0.91</v>
      </c>
      <c r="C69" s="44">
        <v>0.79438735878467492</v>
      </c>
      <c r="D69" s="44">
        <v>0.90236934246987299</v>
      </c>
      <c r="E69" s="44">
        <v>0.90870602943683587</v>
      </c>
      <c r="F69" s="44">
        <v>0.90807330090897498</v>
      </c>
      <c r="G69" s="45">
        <v>0.91</v>
      </c>
      <c r="H69" s="91">
        <v>0.91</v>
      </c>
    </row>
    <row r="70" spans="1:8" x14ac:dyDescent="0.25">
      <c r="A70" s="32" t="s">
        <v>66</v>
      </c>
      <c r="B70" s="44">
        <f>H70</f>
        <v>0.99</v>
      </c>
      <c r="C70" s="44">
        <v>0.9916431353728361</v>
      </c>
      <c r="D70" s="44">
        <v>0.98922782705711398</v>
      </c>
      <c r="E70" s="44">
        <v>0.99025366834292017</v>
      </c>
      <c r="F70" s="44">
        <v>0.98345055302878115</v>
      </c>
      <c r="G70" s="45">
        <v>0.99</v>
      </c>
      <c r="H70" s="91">
        <v>0.99</v>
      </c>
    </row>
    <row r="71" spans="1:8" x14ac:dyDescent="0.25">
      <c r="A71" s="34" t="s">
        <v>71</v>
      </c>
      <c r="B71" s="47"/>
      <c r="C71" s="47"/>
      <c r="D71" s="47"/>
      <c r="E71" s="47"/>
      <c r="F71" s="47"/>
      <c r="G71" s="51"/>
      <c r="H71" s="47"/>
    </row>
    <row r="72" spans="1:8" x14ac:dyDescent="0.25">
      <c r="A72" s="32" t="s">
        <v>51</v>
      </c>
      <c r="B72" s="44">
        <f t="shared" ref="B72:B77" si="4">H72</f>
        <v>0.46</v>
      </c>
      <c r="C72" s="44">
        <v>0.48902697298560394</v>
      </c>
      <c r="D72" s="44">
        <v>0.47887334967984768</v>
      </c>
      <c r="E72" s="44">
        <v>0.48040504718481603</v>
      </c>
      <c r="F72" s="44">
        <v>0.48090557591543232</v>
      </c>
      <c r="G72" s="45">
        <v>0.46</v>
      </c>
      <c r="H72" s="86">
        <f>1-H73-H74-H75-H76-H77</f>
        <v>0.46</v>
      </c>
    </row>
    <row r="73" spans="1:8" x14ac:dyDescent="0.25">
      <c r="A73" s="32" t="s">
        <v>72</v>
      </c>
      <c r="B73" s="44">
        <f t="shared" si="4"/>
        <v>0.01</v>
      </c>
      <c r="C73" s="44">
        <v>8.5963635718278864E-3</v>
      </c>
      <c r="D73" s="44">
        <v>7.7721379845462485E-3</v>
      </c>
      <c r="E73" s="44">
        <v>1.0233727676204615E-2</v>
      </c>
      <c r="F73" s="44">
        <v>1.2257902577823464E-2</v>
      </c>
      <c r="G73" s="45">
        <v>0.01</v>
      </c>
      <c r="H73" s="91">
        <v>0.01</v>
      </c>
    </row>
    <row r="74" spans="1:8" x14ac:dyDescent="0.25">
      <c r="A74" s="32" t="s">
        <v>52</v>
      </c>
      <c r="B74" s="44">
        <f t="shared" si="4"/>
        <v>0.04</v>
      </c>
      <c r="C74" s="44">
        <v>9.4172146155188582E-2</v>
      </c>
      <c r="D74" s="44">
        <v>7.5983726086416459E-2</v>
      </c>
      <c r="E74" s="44">
        <v>5.8229849887150277E-2</v>
      </c>
      <c r="F74" s="44">
        <v>5.4075345187995436E-2</v>
      </c>
      <c r="G74" s="45">
        <v>0.04</v>
      </c>
      <c r="H74" s="91">
        <v>0.04</v>
      </c>
    </row>
    <row r="75" spans="1:8" x14ac:dyDescent="0.25">
      <c r="A75" s="32" t="s">
        <v>53</v>
      </c>
      <c r="B75" s="44">
        <f t="shared" si="4"/>
        <v>0.26</v>
      </c>
      <c r="C75" s="44">
        <v>0.15115217153387225</v>
      </c>
      <c r="D75" s="44">
        <v>0.18159196445739159</v>
      </c>
      <c r="E75" s="44">
        <v>0.21486677673932472</v>
      </c>
      <c r="F75" s="44">
        <v>0.23540620399618337</v>
      </c>
      <c r="G75" s="45">
        <v>0.26</v>
      </c>
      <c r="H75" s="91">
        <v>0.26</v>
      </c>
    </row>
    <row r="76" spans="1:8" x14ac:dyDescent="0.25">
      <c r="A76" s="32" t="s">
        <v>73</v>
      </c>
      <c r="B76" s="44">
        <f t="shared" si="4"/>
        <v>0.18</v>
      </c>
      <c r="C76" s="44">
        <v>0.2473985370283277</v>
      </c>
      <c r="D76" s="44">
        <v>0.24172581076045324</v>
      </c>
      <c r="E76" s="44">
        <v>0.21553175697168911</v>
      </c>
      <c r="F76" s="44">
        <v>0.1888128404834441</v>
      </c>
      <c r="G76" s="45">
        <v>0.18</v>
      </c>
      <c r="H76" s="91">
        <v>0.18</v>
      </c>
    </row>
    <row r="77" spans="1:8" x14ac:dyDescent="0.25">
      <c r="A77" s="32" t="s">
        <v>55</v>
      </c>
      <c r="B77" s="44">
        <f t="shared" si="4"/>
        <v>0.05</v>
      </c>
      <c r="C77" s="44">
        <v>9.5698786378331686E-3</v>
      </c>
      <c r="D77" s="44">
        <v>1.3878088580865049E-2</v>
      </c>
      <c r="E77" s="44">
        <v>2.0570762076434858E-2</v>
      </c>
      <c r="F77" s="44">
        <v>2.8310501242343442E-2</v>
      </c>
      <c r="G77" s="45">
        <v>0.05</v>
      </c>
      <c r="H77" s="91">
        <v>0.05</v>
      </c>
    </row>
    <row r="78" spans="1:8" x14ac:dyDescent="0.25">
      <c r="A78" s="34" t="s">
        <v>74</v>
      </c>
      <c r="B78" s="47"/>
      <c r="C78" s="47"/>
      <c r="D78" s="47"/>
      <c r="E78" s="47"/>
      <c r="F78" s="47"/>
      <c r="G78" s="51"/>
      <c r="H78" s="47"/>
    </row>
    <row r="79" spans="1:8" x14ac:dyDescent="0.25">
      <c r="A79" s="32" t="s">
        <v>51</v>
      </c>
      <c r="B79" s="44">
        <f t="shared" ref="B79:B84" si="5">H79</f>
        <v>0.59</v>
      </c>
      <c r="C79" s="44">
        <v>0.35838690655966404</v>
      </c>
      <c r="D79" s="44">
        <v>0.5543391662770617</v>
      </c>
      <c r="E79" s="44">
        <v>0.59472682908834118</v>
      </c>
      <c r="F79" s="44">
        <v>0.60531527796969276</v>
      </c>
      <c r="G79" s="45">
        <v>0.59</v>
      </c>
      <c r="H79" s="86">
        <f>1-H80-H81-H82-H83-H84</f>
        <v>0.59</v>
      </c>
    </row>
    <row r="80" spans="1:8" x14ac:dyDescent="0.25">
      <c r="A80" s="32" t="s">
        <v>72</v>
      </c>
      <c r="B80" s="44">
        <f t="shared" si="5"/>
        <v>0</v>
      </c>
      <c r="C80" s="44">
        <v>1.8450146594427563E-3</v>
      </c>
      <c r="D80" s="44">
        <v>7.2752774146765E-5</v>
      </c>
      <c r="E80" s="44">
        <v>1.1594019593893114E-5</v>
      </c>
      <c r="F80" s="44">
        <v>6.8599405929144653E-6</v>
      </c>
      <c r="G80" s="45">
        <v>0</v>
      </c>
      <c r="H80" s="91">
        <v>0</v>
      </c>
    </row>
    <row r="81" spans="1:8" x14ac:dyDescent="0.25">
      <c r="A81" s="32" t="s">
        <v>52</v>
      </c>
      <c r="B81" s="44">
        <f t="shared" si="5"/>
        <v>0.01</v>
      </c>
      <c r="C81" s="44">
        <v>8.2339429278204784E-2</v>
      </c>
      <c r="D81" s="44">
        <v>4.0572194605322166E-2</v>
      </c>
      <c r="E81" s="44">
        <v>2.3253387298224536E-2</v>
      </c>
      <c r="F81" s="44">
        <v>1.8586519040745108E-2</v>
      </c>
      <c r="G81" s="45">
        <v>0.01</v>
      </c>
      <c r="H81" s="91">
        <v>0.01</v>
      </c>
    </row>
    <row r="82" spans="1:8" x14ac:dyDescent="0.25">
      <c r="A82" s="32" t="s">
        <v>53</v>
      </c>
      <c r="B82" s="44">
        <f t="shared" si="5"/>
        <v>0.31</v>
      </c>
      <c r="C82" s="44">
        <v>0.49266822403984245</v>
      </c>
      <c r="D82" s="44">
        <v>0.35226773975020753</v>
      </c>
      <c r="E82" s="44">
        <v>0.32961797705438123</v>
      </c>
      <c r="F82" s="44">
        <v>0.31129920414889206</v>
      </c>
      <c r="G82" s="45">
        <v>0.31</v>
      </c>
      <c r="H82" s="91">
        <v>0.31</v>
      </c>
    </row>
    <row r="83" spans="1:8" x14ac:dyDescent="0.25">
      <c r="A83" s="32" t="s">
        <v>73</v>
      </c>
      <c r="B83" s="44">
        <f t="shared" si="5"/>
        <v>0.01</v>
      </c>
      <c r="C83" s="44">
        <v>1.303632295563952E-2</v>
      </c>
      <c r="D83" s="44">
        <v>1.3604768765445056E-2</v>
      </c>
      <c r="E83" s="44">
        <v>7.7911811670961723E-3</v>
      </c>
      <c r="F83" s="44">
        <v>7.4322556366661864E-3</v>
      </c>
      <c r="G83" s="45">
        <v>0.01</v>
      </c>
      <c r="H83" s="91">
        <v>0.01</v>
      </c>
    </row>
    <row r="84" spans="1:8" x14ac:dyDescent="0.25">
      <c r="A84" s="32" t="s">
        <v>55</v>
      </c>
      <c r="B84" s="44">
        <f t="shared" si="5"/>
        <v>0.08</v>
      </c>
      <c r="C84" s="44">
        <v>5.1724102507206444E-2</v>
      </c>
      <c r="D84" s="44">
        <v>3.9143377827816843E-2</v>
      </c>
      <c r="E84" s="44">
        <v>4.459903137236302E-2</v>
      </c>
      <c r="F84" s="44">
        <v>5.7358903271897667E-2</v>
      </c>
      <c r="G84" s="45">
        <v>0.08</v>
      </c>
      <c r="H84" s="91">
        <v>0.08</v>
      </c>
    </row>
    <row r="85" spans="1:8" x14ac:dyDescent="0.25">
      <c r="A85" s="34" t="s">
        <v>75</v>
      </c>
      <c r="B85" s="47"/>
      <c r="C85" s="47"/>
      <c r="D85" s="47"/>
      <c r="E85" s="47"/>
      <c r="F85" s="47"/>
      <c r="G85" s="51"/>
      <c r="H85" s="47"/>
    </row>
    <row r="86" spans="1:8" x14ac:dyDescent="0.25">
      <c r="A86" s="32" t="s">
        <v>51</v>
      </c>
      <c r="B86" s="44">
        <f t="shared" ref="B86:B91" si="6">H86</f>
        <v>0.2</v>
      </c>
      <c r="C86" s="44">
        <v>0.35088983094766735</v>
      </c>
      <c r="D86" s="44">
        <v>0.16700486290592448</v>
      </c>
      <c r="E86" s="44">
        <v>0.19175053854574992</v>
      </c>
      <c r="F86" s="44">
        <v>0.21858957527908809</v>
      </c>
      <c r="G86" s="45">
        <v>0.2</v>
      </c>
      <c r="H86" s="91">
        <v>0.2</v>
      </c>
    </row>
    <row r="87" spans="1:8" x14ac:dyDescent="0.25">
      <c r="A87" s="32" t="s">
        <v>72</v>
      </c>
      <c r="B87" s="44">
        <f t="shared" si="6"/>
        <v>0.01</v>
      </c>
      <c r="C87" s="44">
        <v>5.9132039096590969E-3</v>
      </c>
      <c r="D87" s="44">
        <v>5.6389772945724843E-3</v>
      </c>
      <c r="E87" s="44">
        <v>5.7138821202811036E-3</v>
      </c>
      <c r="F87" s="44">
        <v>5.9212849369392204E-3</v>
      </c>
      <c r="G87" s="45">
        <v>0.01</v>
      </c>
      <c r="H87" s="91">
        <v>0.01</v>
      </c>
    </row>
    <row r="88" spans="1:8" x14ac:dyDescent="0.25">
      <c r="A88" s="32" t="s">
        <v>52</v>
      </c>
      <c r="B88" s="44">
        <f t="shared" si="6"/>
        <v>0.09</v>
      </c>
      <c r="C88" s="44">
        <v>0.10606971465292965</v>
      </c>
      <c r="D88" s="44">
        <v>0.10629329801852604</v>
      </c>
      <c r="E88" s="44">
        <v>0.10727125048557404</v>
      </c>
      <c r="F88" s="44">
        <v>0.1046274751242655</v>
      </c>
      <c r="G88" s="45">
        <v>0.09</v>
      </c>
      <c r="H88" s="91">
        <v>0.09</v>
      </c>
    </row>
    <row r="89" spans="1:8" x14ac:dyDescent="0.25">
      <c r="A89" s="32" t="s">
        <v>53</v>
      </c>
      <c r="B89" s="44">
        <f t="shared" si="6"/>
        <v>0.55000000000000004</v>
      </c>
      <c r="C89" s="44">
        <v>0.50701188859751867</v>
      </c>
      <c r="D89" s="44">
        <v>0.66767769542402688</v>
      </c>
      <c r="E89" s="44">
        <v>0.61498746336123178</v>
      </c>
      <c r="F89" s="44">
        <v>0.56246774529420818</v>
      </c>
      <c r="G89" s="45">
        <v>0.55000000000000004</v>
      </c>
      <c r="H89" s="86">
        <f>1-H86-H87-H88-H90-H91</f>
        <v>0.55000000000000004</v>
      </c>
    </row>
    <row r="90" spans="1:8" x14ac:dyDescent="0.25">
      <c r="A90" s="32" t="s">
        <v>73</v>
      </c>
      <c r="B90" s="44">
        <f t="shared" si="6"/>
        <v>0</v>
      </c>
      <c r="C90" s="44">
        <v>0</v>
      </c>
      <c r="D90" s="44">
        <v>0</v>
      </c>
      <c r="E90" s="44">
        <v>0</v>
      </c>
      <c r="F90" s="44">
        <v>0</v>
      </c>
      <c r="G90" s="45">
        <v>0</v>
      </c>
      <c r="H90" s="91">
        <v>0</v>
      </c>
    </row>
    <row r="91" spans="1:8" x14ac:dyDescent="0.25">
      <c r="A91" s="32" t="s">
        <v>55</v>
      </c>
      <c r="B91" s="44">
        <f t="shared" si="6"/>
        <v>0.15</v>
      </c>
      <c r="C91" s="44">
        <v>3.0115361892225252E-2</v>
      </c>
      <c r="D91" s="44">
        <v>5.3385166356950113E-2</v>
      </c>
      <c r="E91" s="44">
        <v>8.0276865487163188E-2</v>
      </c>
      <c r="F91" s="44">
        <v>0.10838486541299604</v>
      </c>
      <c r="G91" s="45">
        <v>0.15</v>
      </c>
      <c r="H91" s="91">
        <v>0.15</v>
      </c>
    </row>
    <row r="92" spans="1:8" x14ac:dyDescent="0.25">
      <c r="A92" s="34" t="s">
        <v>76</v>
      </c>
      <c r="B92" s="47"/>
      <c r="C92" s="47"/>
      <c r="D92" s="47"/>
      <c r="E92" s="47"/>
      <c r="F92" s="47"/>
      <c r="G92" s="51"/>
      <c r="H92" s="47"/>
    </row>
    <row r="93" spans="1:8" x14ac:dyDescent="0.25">
      <c r="A93" s="32" t="s">
        <v>72</v>
      </c>
      <c r="B93" s="44">
        <f>H93</f>
        <v>1</v>
      </c>
      <c r="C93" s="44">
        <v>1</v>
      </c>
      <c r="D93" s="44">
        <v>1</v>
      </c>
      <c r="E93" s="44">
        <v>1</v>
      </c>
      <c r="F93" s="44">
        <v>1</v>
      </c>
      <c r="G93" s="45">
        <v>1</v>
      </c>
      <c r="H93" s="86">
        <f>1-H94</f>
        <v>1</v>
      </c>
    </row>
    <row r="94" spans="1:8" x14ac:dyDescent="0.25">
      <c r="A94" s="32" t="s">
        <v>55</v>
      </c>
      <c r="B94" s="44">
        <f>H94</f>
        <v>0</v>
      </c>
      <c r="C94" s="44">
        <v>0</v>
      </c>
      <c r="D94" s="44">
        <v>0</v>
      </c>
      <c r="E94" s="44">
        <v>0</v>
      </c>
      <c r="F94" s="44">
        <v>0</v>
      </c>
      <c r="G94" s="45">
        <v>0</v>
      </c>
      <c r="H94" s="91">
        <v>0</v>
      </c>
    </row>
    <row r="95" spans="1:8" x14ac:dyDescent="0.25">
      <c r="A95" s="34" t="s">
        <v>206</v>
      </c>
      <c r="B95" s="47"/>
      <c r="C95" s="47"/>
      <c r="D95" s="47"/>
      <c r="E95" s="47"/>
      <c r="F95" s="47"/>
      <c r="G95" s="51"/>
      <c r="H95" s="47"/>
    </row>
    <row r="96" spans="1:8" x14ac:dyDescent="0.25">
      <c r="A96" s="32" t="s">
        <v>207</v>
      </c>
      <c r="B96" s="32"/>
      <c r="H96" s="91">
        <v>0</v>
      </c>
    </row>
    <row r="97" spans="1:8" x14ac:dyDescent="0.25">
      <c r="A97" s="32" t="s">
        <v>208</v>
      </c>
      <c r="H97" s="91">
        <v>0</v>
      </c>
    </row>
    <row r="98" spans="1:8" x14ac:dyDescent="0.25">
      <c r="A98" s="32" t="s">
        <v>210</v>
      </c>
      <c r="H98" s="91">
        <v>0</v>
      </c>
    </row>
    <row r="99" spans="1:8" x14ac:dyDescent="0.25">
      <c r="A99" s="32" t="s">
        <v>209</v>
      </c>
      <c r="H99" s="91">
        <v>0</v>
      </c>
    </row>
  </sheetData>
  <sheetProtection algorithmName="SHA-512" hashValue="9T/DceFJo6CmIQpWio2wVjZ7v6r+dd8JIyuNN1U2HU8MRYLh97U6zzEmB7kALCS0Ji0M6/r3A29J0DI07RoTKw==" saltValue="mYR25nlepm5q3MIhFmleFg==" spinCount="100000" sheet="1" objects="1" scenarios="1"/>
  <mergeCells count="1">
    <mergeCell ref="C2:H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2050</vt:lpstr>
      <vt:lpstr>Meta data</vt:lpstr>
      <vt:lpstr>Emissionsfaktorer</vt:lpstr>
      <vt:lpstr>Størrelse på strømme</vt:lpstr>
      <vt:lpstr>World IEA-format 2016</vt:lpstr>
      <vt:lpstr>Key figures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</dc:creator>
  <cp:lastModifiedBy>Flemming Nissen</cp:lastModifiedBy>
  <dcterms:created xsi:type="dcterms:W3CDTF">2018-01-06T07:25:37Z</dcterms:created>
  <dcterms:modified xsi:type="dcterms:W3CDTF">2020-08-07T12:55:48Z</dcterms:modified>
</cp:coreProperties>
</file>